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drawings/drawing1.xml" ContentType="application/vnd.openxmlformats-officedocument.drawing+xml"/>
  <Override PartName="/xl/tables/table1.xml" ContentType="application/vnd.openxmlformats-officedocument.spreadsheetml.table+xml"/>
  <Override PartName="/xl/comments1.xml" ContentType="application/vnd.openxmlformats-officedocument.spreadsheetml.comments+xml"/>
  <Override PartName="/xl/customProperty2.bin" ContentType="application/vnd.openxmlformats-officedocument.spreadsheetml.customProperty"/>
  <Override PartName="/xl/drawings/drawing2.xml" ContentType="application/vnd.openxmlformats-officedocument.drawing+xml"/>
  <Override PartName="/xl/customProperty3.bin" ContentType="application/vnd.openxmlformats-officedocument.spreadsheetml.customProperty"/>
  <Override PartName="/xl/drawings/drawing3.xml" ContentType="application/vnd.openxmlformats-officedocument.drawing+xml"/>
  <Override PartName="/xl/customProperty4.bin" ContentType="application/vnd.openxmlformats-officedocument.spreadsheetml.customProperty"/>
  <Override PartName="/xl/drawings/drawing4.xml" ContentType="application/vnd.openxmlformats-officedocument.drawing+xml"/>
  <Override PartName="/xl/customProperty5.bin" ContentType="application/vnd.openxmlformats-officedocument.spreadsheetml.customProperty"/>
  <Override PartName="/xl/drawings/drawing5.xml" ContentType="application/vnd.openxmlformats-officedocument.drawing+xml"/>
  <Override PartName="/xl/customProperty6.bin" ContentType="application/vnd.openxmlformats-officedocument.spreadsheetml.customProperty"/>
  <Override PartName="/xl/drawings/drawing6.xml" ContentType="application/vnd.openxmlformats-officedocument.drawing+xml"/>
  <Override PartName="/xl/customProperty7.bin" ContentType="application/vnd.openxmlformats-officedocument.spreadsheetml.customProperty"/>
  <Override PartName="/xl/customProperty8.bin" ContentType="application/vnd.openxmlformats-officedocument.spreadsheetml.customProperty"/>
  <Override PartName="/xl/drawings/drawing7.xml" ContentType="application/vnd.openxmlformats-officedocument.drawing+xml"/>
  <Override PartName="/xl/customProperty9.bin" ContentType="application/vnd.openxmlformats-officedocument.spreadsheetml.customProperty"/>
  <Override PartName="/xl/customProperty10.bin" ContentType="application/vnd.openxmlformats-officedocument.spreadsheetml.customProperty"/>
  <Override PartName="/xl/drawings/drawing8.xml" ContentType="application/vnd.openxmlformats-officedocument.drawing+xml"/>
  <Override PartName="/xl/customProperty11.bin" ContentType="application/vnd.openxmlformats-officedocument.spreadsheetml.customProperty"/>
  <Override PartName="/xl/customProperty12.bin" ContentType="application/vnd.openxmlformats-officedocument.spreadsheetml.customProperty"/>
  <Override PartName="/xl/drawings/drawing9.xml" ContentType="application/vnd.openxmlformats-officedocument.drawing+xml"/>
  <Override PartName="/xl/customProperty13.bin" ContentType="application/vnd.openxmlformats-officedocument.spreadsheetml.customProperty"/>
  <Override PartName="/xl/customProperty14.bin" ContentType="application/vnd.openxmlformats-officedocument.spreadsheetml.customProperty"/>
  <Override PartName="/xl/drawings/drawing10.xml" ContentType="application/vnd.openxmlformats-officedocument.drawing+xml"/>
  <Override PartName="/xl/customProperty15.bin" ContentType="application/vnd.openxmlformats-officedocument.spreadsheetml.customProperty"/>
  <Override PartName="/xl/customProperty16.bin" ContentType="application/vnd.openxmlformats-officedocument.spreadsheetml.customProperty"/>
  <Override PartName="/xl/drawings/drawing11.xml" ContentType="application/vnd.openxmlformats-officedocument.drawing+xml"/>
  <Override PartName="/xl/customProperty17.bin" ContentType="application/vnd.openxmlformats-officedocument.spreadsheetml.customProperty"/>
  <Override PartName="/xl/customProperty18.bin" ContentType="application/vnd.openxmlformats-officedocument.spreadsheetml.customProperty"/>
  <Override PartName="/xl/drawings/drawing12.xml" ContentType="application/vnd.openxmlformats-officedocument.drawing+xml"/>
  <Override PartName="/xl/customProperty19.bin" ContentType="application/vnd.openxmlformats-officedocument.spreadsheetml.customProperty"/>
  <Override PartName="/xl/customProperty20.bin" ContentType="application/vnd.openxmlformats-officedocument.spreadsheetml.customProperty"/>
  <Override PartName="/xl/drawings/drawing13.xml" ContentType="application/vnd.openxmlformats-officedocument.drawing+xml"/>
  <Override PartName="/xl/customProperty21.bin" ContentType="application/vnd.openxmlformats-officedocument.spreadsheetml.customProperty"/>
  <Override PartName="/xl/customProperty22.bin" ContentType="application/vnd.openxmlformats-officedocument.spreadsheetml.customProperty"/>
  <Override PartName="/xl/customProperty23.bin" ContentType="application/vnd.openxmlformats-officedocument.spreadsheetml.customProperty"/>
  <Override PartName="/xl/drawings/drawing14.xml" ContentType="application/vnd.openxmlformats-officedocument.drawing+xml"/>
  <Override PartName="/xl/customProperty24.bin" ContentType="application/vnd.openxmlformats-officedocument.spreadsheetml.customProperty"/>
  <Override PartName="/xl/customProperty25.bin" ContentType="application/vnd.openxmlformats-officedocument.spreadsheetml.customProperty"/>
  <Override PartName="/xl/drawings/drawing15.xml" ContentType="application/vnd.openxmlformats-officedocument.drawing+xml"/>
  <Override PartName="/xl/customProperty26.bin" ContentType="application/vnd.openxmlformats-officedocument.spreadsheetml.customProperty"/>
  <Override PartName="/xl/customProperty27.bin" ContentType="application/vnd.openxmlformats-officedocument.spreadsheetml.customProperty"/>
  <Override PartName="/xl/drawings/drawing16.xml" ContentType="application/vnd.openxmlformats-officedocument.drawing+xml"/>
  <Override PartName="/xl/customProperty28.bin" ContentType="application/vnd.openxmlformats-officedocument.spreadsheetml.customProperty"/>
  <Override PartName="/xl/customProperty29.bin" ContentType="application/vnd.openxmlformats-officedocument.spreadsheetml.customProperty"/>
  <Override PartName="/xl/drawings/drawing17.xml" ContentType="application/vnd.openxmlformats-officedocument.drawing+xml"/>
  <Override PartName="/xl/customProperty30.bin" ContentType="application/vnd.openxmlformats-officedocument.spreadsheetml.customProperty"/>
  <Override PartName="/xl/customProperty31.bin" ContentType="application/vnd.openxmlformats-officedocument.spreadsheetml.customProperty"/>
  <Override PartName="/xl/drawings/drawing18.xml" ContentType="application/vnd.openxmlformats-officedocument.drawing+xml"/>
  <Override PartName="/xl/customProperty32.bin" ContentType="application/vnd.openxmlformats-officedocument.spreadsheetml.customProperty"/>
  <Override PartName="/xl/customProperty33.bin" ContentType="application/vnd.openxmlformats-officedocument.spreadsheetml.customProperty"/>
  <Override PartName="/xl/drawings/drawing19.xml" ContentType="application/vnd.openxmlformats-officedocument.drawing+xml"/>
  <Override PartName="/xl/customProperty34.bin" ContentType="application/vnd.openxmlformats-officedocument.spreadsheetml.customProperty"/>
  <Override PartName="/xl/customProperty35.bin" ContentType="application/vnd.openxmlformats-officedocument.spreadsheetml.customProperty"/>
  <Override PartName="/xl/drawings/drawing20.xml" ContentType="application/vnd.openxmlformats-officedocument.drawing+xml"/>
  <Override PartName="/xl/customProperty36.bin" ContentType="application/vnd.openxmlformats-officedocument.spreadsheetml.customProperty"/>
  <Override PartName="/xl/customProperty37.bin" ContentType="application/vnd.openxmlformats-officedocument.spreadsheetml.customProperty"/>
  <Override PartName="/xl/drawings/drawing21.xml" ContentType="application/vnd.openxmlformats-officedocument.drawing+xml"/>
  <Override PartName="/xl/customProperty38.bin" ContentType="application/vnd.openxmlformats-officedocument.spreadsheetml.customProperty"/>
  <Override PartName="/xl/customProperty39.bin" ContentType="application/vnd.openxmlformats-officedocument.spreadsheetml.customProperty"/>
  <Override PartName="/xl/drawings/drawing22.xml" ContentType="application/vnd.openxmlformats-officedocument.drawing+xml"/>
  <Override PartName="/xl/customProperty40.bin" ContentType="application/vnd.openxmlformats-officedocument.spreadsheetml.customProperty"/>
  <Override PartName="/xl/customProperty41.bin" ContentType="application/vnd.openxmlformats-officedocument.spreadsheetml.customProperty"/>
  <Override PartName="/xl/drawings/drawing23.xml" ContentType="application/vnd.openxmlformats-officedocument.drawing+xml"/>
  <Override PartName="/xl/customProperty42.bin" ContentType="application/vnd.openxmlformats-officedocument.spreadsheetml.customProperty"/>
  <Override PartName="/xl/drawings/drawing24.xml" ContentType="application/vnd.openxmlformats-officedocument.drawing+xml"/>
  <Override PartName="/xl/customProperty43.bin" ContentType="application/vnd.openxmlformats-officedocument.spreadsheetml.customProperty"/>
  <Override PartName="/xl/customProperty44.bin" ContentType="application/vnd.openxmlformats-officedocument.spreadsheetml.customProperty"/>
  <Override PartName="/xl/drawings/drawing25.xml" ContentType="application/vnd.openxmlformats-officedocument.drawing+xml"/>
  <Override PartName="/xl/customProperty45.bin" ContentType="application/vnd.openxmlformats-officedocument.spreadsheetml.customProperty"/>
  <Override PartName="/xl/customProperty46.bin" ContentType="application/vnd.openxmlformats-officedocument.spreadsheetml.customProperty"/>
  <Override PartName="/xl/drawings/drawing26.xml" ContentType="application/vnd.openxmlformats-officedocument.drawing+xml"/>
  <Override PartName="/xl/customProperty47.bin" ContentType="application/vnd.openxmlformats-officedocument.spreadsheetml.customProperty"/>
  <Override PartName="/xl/customProperty48.bin" ContentType="application/vnd.openxmlformats-officedocument.spreadsheetml.customProperty"/>
  <Override PartName="/xl/drawings/drawing27.xml" ContentType="application/vnd.openxmlformats-officedocument.drawing+xml"/>
  <Override PartName="/xl/customProperty49.bin" ContentType="application/vnd.openxmlformats-officedocument.spreadsheetml.customProperty"/>
  <Override PartName="/xl/drawings/drawing28.xml" ContentType="application/vnd.openxmlformats-officedocument.drawing+xml"/>
  <Override PartName="/xl/customProperty50.bin" ContentType="application/vnd.openxmlformats-officedocument.spreadsheetml.customProperty"/>
  <Override PartName="/xl/customProperty51.bin" ContentType="application/vnd.openxmlformats-officedocument.spreadsheetml.customProperty"/>
  <Override PartName="/xl/customProperty52.bin" ContentType="application/vnd.openxmlformats-officedocument.spreadsheetml.customProperty"/>
  <Override PartName="/xl/drawings/drawing29.xml" ContentType="application/vnd.openxmlformats-officedocument.drawing+xml"/>
  <Override PartName="/xl/customProperty53.bin" ContentType="application/vnd.openxmlformats-officedocument.spreadsheetml.customProperty"/>
  <Override PartName="/xl/customProperty54.bin" ContentType="application/vnd.openxmlformats-officedocument.spreadsheetml.customProperty"/>
  <Override PartName="/xl/drawings/drawing30.xml" ContentType="application/vnd.openxmlformats-officedocument.drawing+xml"/>
  <Override PartName="/xl/customProperty55.bin" ContentType="application/vnd.openxmlformats-officedocument.spreadsheetml.customProperty"/>
  <Override PartName="/xl/drawings/drawing31.xml" ContentType="application/vnd.openxmlformats-officedocument.drawing+xml"/>
  <Override PartName="/xl/customProperty56.bin" ContentType="application/vnd.openxmlformats-officedocument.spreadsheetml.customProperty"/>
  <Override PartName="/xl/drawings/drawing32.xml" ContentType="application/vnd.openxmlformats-officedocument.drawing+xml"/>
  <Override PartName="/xl/customProperty57.bin" ContentType="application/vnd.openxmlformats-officedocument.spreadsheetml.customProperty"/>
  <Override PartName="/xl/customProperty58.bin" ContentType="application/vnd.openxmlformats-officedocument.spreadsheetml.customProperty"/>
  <Override PartName="/xl/drawings/drawing33.xml" ContentType="application/vnd.openxmlformats-officedocument.drawing+xml"/>
  <Override PartName="/xl/customProperty59.bin" ContentType="application/vnd.openxmlformats-officedocument.spreadsheetml.customProperty"/>
  <Override PartName="/xl/customProperty60.bin" ContentType="application/vnd.openxmlformats-officedocument.spreadsheetml.customProperty"/>
  <Override PartName="/xl/drawings/drawing34.xml" ContentType="application/vnd.openxmlformats-officedocument.drawing+xml"/>
  <Override PartName="/xl/customProperty61.bin" ContentType="application/vnd.openxmlformats-officedocument.spreadsheetml.customProperty"/>
  <Override PartName="/xl/drawings/drawing35.xml" ContentType="application/vnd.openxmlformats-officedocument.drawing+xml"/>
  <Override PartName="/xl/customProperty62.bin" ContentType="application/vnd.openxmlformats-officedocument.spreadsheetml.customProperty"/>
  <Override PartName="/xl/drawings/drawing36.xml" ContentType="application/vnd.openxmlformats-officedocument.drawing+xml"/>
  <Override PartName="/xl/customProperty63.bin" ContentType="application/vnd.openxmlformats-officedocument.spreadsheetml.customProperty"/>
  <Override PartName="/xl/drawings/drawing37.xml" ContentType="application/vnd.openxmlformats-officedocument.drawing+xml"/>
  <Override PartName="/xl/customProperty64.bin" ContentType="application/vnd.openxmlformats-officedocument.spreadsheetml.customProperty"/>
  <Override PartName="/xl/drawings/drawing38.xml" ContentType="application/vnd.openxmlformats-officedocument.drawing+xml"/>
  <Override PartName="/xl/customProperty65.bin" ContentType="application/vnd.openxmlformats-officedocument.spreadsheetml.customProperty"/>
  <Override PartName="/xl/drawings/drawing39.xml" ContentType="application/vnd.openxmlformats-officedocument.drawing+xml"/>
  <Override PartName="/xl/customProperty66.bin" ContentType="application/vnd.openxmlformats-officedocument.spreadsheetml.customProperty"/>
  <Override PartName="/xl/drawings/drawing40.xml" ContentType="application/vnd.openxmlformats-officedocument.drawing+xml"/>
  <Override PartName="/xl/customProperty67.bin" ContentType="application/vnd.openxmlformats-officedocument.spreadsheetml.customProperty"/>
  <Override PartName="/xl/drawings/drawing41.xml" ContentType="application/vnd.openxmlformats-officedocument.drawing+xml"/>
  <Override PartName="/xl/customProperty68.bin" ContentType="application/vnd.openxmlformats-officedocument.spreadsheetml.customProperty"/>
  <Override PartName="/xl/customProperty69.bin" ContentType="application/vnd.openxmlformats-officedocument.spreadsheetml.customProperty"/>
  <Override PartName="/xl/drawings/drawing42.xml" ContentType="application/vnd.openxmlformats-officedocument.drawing+xml"/>
  <Override PartName="/xl/customProperty70.bin" ContentType="application/vnd.openxmlformats-officedocument.spreadsheetml.customProperty"/>
  <Override PartName="/xl/customProperty71.bin" ContentType="application/vnd.openxmlformats-officedocument.spreadsheetml.customProperty"/>
  <Override PartName="/xl/drawings/drawing4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G:\Regulation\03. Multinet\22.22.03 2018 GAAR\Draft Decision\AER Issues register\"/>
    </mc:Choice>
  </mc:AlternateContent>
  <bookViews>
    <workbookView xWindow="0" yWindow="0" windowWidth="10050" windowHeight="7305" tabRatio="913" firstSheet="14" activeTab="20"/>
  </bookViews>
  <sheets>
    <sheet name="AER only" sheetId="248" state="veryHidden" r:id="rId1"/>
    <sheet name="Contents" sheetId="137" r:id="rId2"/>
    <sheet name="Instructions" sheetId="86" r:id="rId3"/>
    <sheet name="Business &amp; other details" sheetId="247" r:id="rId4"/>
    <sheet name="1. CPI" sheetId="216" r:id="rId5"/>
    <sheet name="2. Escalators" sheetId="237" r:id="rId6"/>
    <sheet name="3 - Capex summary" sheetId="203" state="hidden" r:id="rId7"/>
    <sheet name="4. Connections market expansion" sheetId="242" r:id="rId8"/>
    <sheet name="5. Mains augmentation" sheetId="205" r:id="rId9"/>
    <sheet name="6. Mains replacement" sheetId="187" r:id="rId10"/>
    <sheet name="7. Telemetry" sheetId="238" r:id="rId11"/>
    <sheet name="8. Meter replacement" sheetId="206" r:id="rId12"/>
    <sheet name="9. Other capex" sheetId="235" r:id="rId13"/>
    <sheet name="12. IT" sheetId="239" r:id="rId14"/>
    <sheet name="14. Overheads" sheetId="210" r:id="rId15"/>
    <sheet name="15. Related party transactions" sheetId="223" r:id="rId16"/>
    <sheet name="16. Capex allocation" sheetId="211" r:id="rId17"/>
    <sheet name="17. Gross Capex " sheetId="201" r:id="rId18"/>
    <sheet name="20. Changes in provisions" sheetId="217" r:id="rId19"/>
    <sheet name="21 - Indicative bill impacts" sheetId="233" r:id="rId20"/>
    <sheet name="22. WACC Inputs" sheetId="94" r:id="rId21"/>
    <sheet name="23.1 Opex incl. RPM" sheetId="218" r:id="rId22"/>
    <sheet name="23.2 Opex excl. RPM" sheetId="243" r:id="rId23"/>
    <sheet name="23.3 Opex base-step-trend" sheetId="228" r:id="rId24"/>
    <sheet name="23.4 Opex Incentive Mechanism" sheetId="246" r:id="rId25"/>
    <sheet name="24. Cost category matrix" sheetId="220" r:id="rId26"/>
    <sheet name="25. ARS" sheetId="221" r:id="rId27"/>
    <sheet name="26. Allocation of total revenue" sheetId="245" r:id="rId28"/>
    <sheet name="27. Customer numbers" sheetId="190" r:id="rId29"/>
    <sheet name="27.1 Customer numbers Total" sheetId="257" r:id="rId30"/>
    <sheet name="27.2 Customer numbers Metro" sheetId="258" r:id="rId31"/>
    <sheet name="27.3 Customer numbers YV" sheetId="259" r:id="rId32"/>
    <sheet name="27.4 Customer numbers SG" sheetId="260" r:id="rId33"/>
    <sheet name="28.1 Consumption &amp; demand TOTAL" sheetId="253" r:id="rId34"/>
    <sheet name="28.2 Consumption &amp; demand METRO" sheetId="254" r:id="rId35"/>
    <sheet name="28.3 Consumption &amp; demand YV" sheetId="255" r:id="rId36"/>
    <sheet name="28.4 Consumption &amp; demand SG" sheetId="256" r:id="rId37"/>
    <sheet name="29.1 Gas extenstions ($)" sheetId="234" r:id="rId38"/>
    <sheet name="29.2 Gas extenstions cust no" sheetId="230" r:id="rId39"/>
    <sheet name="29.3 Gas extensions - demand" sheetId="231" r:id="rId40"/>
    <sheet name="29.4 Gas extensions - tariffs" sheetId="232" r:id="rId41"/>
    <sheet name="30. Network characteristics" sheetId="222" r:id="rId42"/>
    <sheet name="31 - Pass throughs" sheetId="224" r:id="rId43"/>
  </sheets>
  <externalReferences>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s>
  <definedNames>
    <definedName name="___INDEX_SHEET___ASAP_Utilities">Contents!$A$10</definedName>
    <definedName name="_xlnm._FilterDatabase" localSheetId="14" hidden="1">'14. Overheads'!$B$1:$B$93</definedName>
    <definedName name="_xlnm._FilterDatabase" localSheetId="5" hidden="1">'2. Escalators'!$C$1:$C$59</definedName>
    <definedName name="_xlnm._FilterDatabase" localSheetId="7" hidden="1">'4. Connections market expansion'!$B$1:$B$271</definedName>
    <definedName name="_xlnm._FilterDatabase" localSheetId="9" hidden="1">'6. Mains replacement'!$F$1:$F$158</definedName>
    <definedName name="_xlnm._FilterDatabase" localSheetId="10" hidden="1">'7. Telemetry'!$F$1:$F$252</definedName>
    <definedName name="_xlnm._FilterDatabase" localSheetId="11" hidden="1">'8. Meter replacement'!$C$1:$C$451</definedName>
    <definedName name="_xlnm._FilterDatabase" localSheetId="12" hidden="1">'9. Other capex'!$F$1:$F$171</definedName>
    <definedName name="_xlnm._FilterDatabase" localSheetId="0" hidden="1">'AER only'!$B$7:$AA$42</definedName>
    <definedName name="_xlnm._FilterDatabase" localSheetId="3" hidden="1">'[1]AER only'!$G$1:$G$71</definedName>
    <definedName name="anscount" hidden="1">1</definedName>
    <definedName name="CRCP">'Business &amp; other details'!$C$38:$G$38</definedName>
    <definedName name="CRCP_span" localSheetId="24">CONCATENATE('23.4 Opex Incentive Mechanism'!CRCP_y1, " to ",'23.4 Opex Incentive Mechanism'!CRCP_y5)</definedName>
    <definedName name="CRCP_span" localSheetId="29">CONCATENATE('27.1 Customer numbers Total'!CRCP_y1, " to ",'27.1 Customer numbers Total'!CRCP_y5)</definedName>
    <definedName name="CRCP_span" localSheetId="30">CONCATENATE('27.2 Customer numbers Metro'!CRCP_y1, " to ",'27.2 Customer numbers Metro'!CRCP_y5)</definedName>
    <definedName name="CRCP_span" localSheetId="31">CONCATENATE('27.3 Customer numbers YV'!CRCP_y1, " to ",'27.3 Customer numbers YV'!CRCP_y5)</definedName>
    <definedName name="CRCP_span" localSheetId="32">CONCATENATE('27.4 Customer numbers SG'!CRCP_y1, " to ",'27.4 Customer numbers SG'!CRCP_y5)</definedName>
    <definedName name="CRCP_span" comment="Generic cover sheet" localSheetId="0">CONCATENATE('AER only'!CRCP_y1, " to ",'AER only'!CRCP_y5)</definedName>
    <definedName name="CRCP_span" comment="Generic cover sheet" localSheetId="3">CONCATENATE(CRCP_y1, " to ",CRCP_y5)</definedName>
    <definedName name="CRCP_span">CONCATENATE([0]!CRCP_y1, " to ",[0]!CRCP_y5)</definedName>
    <definedName name="CRCP_y1" localSheetId="29">'[2]Business &amp; other details'!$C$38</definedName>
    <definedName name="CRCP_y1" localSheetId="30">'[2]Business &amp; other details'!$C$38</definedName>
    <definedName name="CRCP_y1" localSheetId="31">'[2]Business &amp; other details'!$C$38</definedName>
    <definedName name="CRCP_y1" localSheetId="32">'[2]Business &amp; other details'!$C$38</definedName>
    <definedName name="CRCP_y1" localSheetId="0">'Business &amp; other details'!$C$38</definedName>
    <definedName name="CRCP_y1">'Business &amp; other details'!$C$38</definedName>
    <definedName name="CRCP_y10">'Business &amp; other details'!$L$38</definedName>
    <definedName name="CRCP_y2" localSheetId="29">'[2]Business &amp; other details'!$D$38</definedName>
    <definedName name="CRCP_y2" localSheetId="30">'[2]Business &amp; other details'!$D$38</definedName>
    <definedName name="CRCP_y2" localSheetId="31">'[2]Business &amp; other details'!$D$38</definedName>
    <definedName name="CRCP_y2" localSheetId="32">'[2]Business &amp; other details'!$D$38</definedName>
    <definedName name="CRCP_y2" localSheetId="0">'Business &amp; other details'!$D$38</definedName>
    <definedName name="CRCP_y2">'Business &amp; other details'!$D$38</definedName>
    <definedName name="CRCP_y3" localSheetId="29">'[2]Business &amp; other details'!$E$38</definedName>
    <definedName name="CRCP_y3" localSheetId="30">'[2]Business &amp; other details'!$E$38</definedName>
    <definedName name="CRCP_y3" localSheetId="31">'[2]Business &amp; other details'!$E$38</definedName>
    <definedName name="CRCP_y3" localSheetId="32">'[2]Business &amp; other details'!$E$38</definedName>
    <definedName name="CRCP_y3" localSheetId="0">'Business &amp; other details'!$E$38</definedName>
    <definedName name="CRCP_y3">'Business &amp; other details'!$E$38</definedName>
    <definedName name="CRCP_y4" localSheetId="29">'[2]Business &amp; other details'!$F$38</definedName>
    <definedName name="CRCP_y4" localSheetId="30">'[2]Business &amp; other details'!$F$38</definedName>
    <definedName name="CRCP_y4" localSheetId="31">'[2]Business &amp; other details'!$F$38</definedName>
    <definedName name="CRCP_y4" localSheetId="32">'[2]Business &amp; other details'!$F$38</definedName>
    <definedName name="CRCP_y4" localSheetId="0">'Business &amp; other details'!$F$38</definedName>
    <definedName name="CRCP_y4">'Business &amp; other details'!$F$38</definedName>
    <definedName name="CRCP_y5" localSheetId="29">'[2]Business &amp; other details'!$G$38</definedName>
    <definedName name="CRCP_y5" localSheetId="30">'[2]Business &amp; other details'!$G$38</definedName>
    <definedName name="CRCP_y5" localSheetId="31">'[2]Business &amp; other details'!$G$38</definedName>
    <definedName name="CRCP_y5" localSheetId="32">'[2]Business &amp; other details'!$G$38</definedName>
    <definedName name="CRCP_y5" localSheetId="0">'Business &amp; other details'!$G$38</definedName>
    <definedName name="CRCP_y5">'Business &amp; other details'!$G$38</definedName>
    <definedName name="CRCP_y6" localSheetId="29">'[2]Business &amp; other details'!$H$38</definedName>
    <definedName name="CRCP_y6" localSheetId="30">'[2]Business &amp; other details'!$H$38</definedName>
    <definedName name="CRCP_y6" localSheetId="31">'[2]Business &amp; other details'!$H$38</definedName>
    <definedName name="CRCP_y6" localSheetId="32">'[2]Business &amp; other details'!$H$38</definedName>
    <definedName name="CRCP_y6" localSheetId="0">'Business &amp; other details'!$H$38</definedName>
    <definedName name="CRCP_y6">'Business &amp; other details'!$H$38</definedName>
    <definedName name="CRCP_y7" localSheetId="29">'[2]Business &amp; other details'!$I$38</definedName>
    <definedName name="CRCP_y7" localSheetId="30">'[2]Business &amp; other details'!$I$38</definedName>
    <definedName name="CRCP_y7" localSheetId="31">'[2]Business &amp; other details'!$I$38</definedName>
    <definedName name="CRCP_y7" localSheetId="32">'[2]Business &amp; other details'!$I$38</definedName>
    <definedName name="CRCP_y7" localSheetId="0">'Business &amp; other details'!$I$38</definedName>
    <definedName name="CRCP_y7">'Business &amp; other details'!$I$38</definedName>
    <definedName name="CRCP_y8" localSheetId="29">'[2]Business &amp; other details'!$J$38</definedName>
    <definedName name="CRCP_y8" localSheetId="30">'[2]Business &amp; other details'!$J$38</definedName>
    <definedName name="CRCP_y8" localSheetId="31">'[2]Business &amp; other details'!$J$38</definedName>
    <definedName name="CRCP_y8" localSheetId="32">'[2]Business &amp; other details'!$J$38</definedName>
    <definedName name="CRCP_y8" localSheetId="0">'Business &amp; other details'!$J$38</definedName>
    <definedName name="CRCP_y8">'Business &amp; other details'!$J$38</definedName>
    <definedName name="CRCP_y9" localSheetId="29">'[2]Business &amp; other details'!$K$38</definedName>
    <definedName name="CRCP_y9" localSheetId="30">'[2]Business &amp; other details'!$K$38</definedName>
    <definedName name="CRCP_y9" localSheetId="31">'[2]Business &amp; other details'!$K$38</definedName>
    <definedName name="CRCP_y9" localSheetId="32">'[2]Business &amp; other details'!$K$38</definedName>
    <definedName name="CRCP_y9" localSheetId="0">'Business &amp; other details'!$K$38</definedName>
    <definedName name="CRCP_y9">'Business &amp; other details'!$K$38</definedName>
    <definedName name="dms_0203_ProjectType">'AER only'!$N$48:$N$55</definedName>
    <definedName name="dms_020303_01_UOM">'AER only'!$O$48:$O$54</definedName>
    <definedName name="dms_020501_01_UOM">'AER only'!$P$48:$P$60</definedName>
    <definedName name="dms_020501_02_UOM">'AER only'!$Q$48:$Q$56</definedName>
    <definedName name="dms_020501_03_UOM">'AER only'!$R$48:$R$57</definedName>
    <definedName name="dms_020501_04_UOM">'AER only'!$S$48:$S$56</definedName>
    <definedName name="dms_020603_01_UOM">'AER only'!$T$48:$T$52</definedName>
    <definedName name="dms_030601_01_UOM">'AER only'!$W$48:$W$51</definedName>
    <definedName name="dms_030601_02_UOM">'AER only'!$X$48:$X$51</definedName>
    <definedName name="dms_030701_01_UOM">'AER only'!$Y$48:$Y$50</definedName>
    <definedName name="dms_030702_01_UOM">'AER only'!$Z$48:$Z$61</definedName>
    <definedName name="dms_030703_01_UOM">'AER only'!$AA$48</definedName>
    <definedName name="dms_040102_01_UOM">'AER only'!$U$48:$U$51</definedName>
    <definedName name="dms_040102_04_UOM">'AER only'!$V$48:$V$51</definedName>
    <definedName name="dms_663">'Business &amp; other details'!$C$81</definedName>
    <definedName name="dms_663_List" localSheetId="29">'[2]AER only'!$M$8:$M$42</definedName>
    <definedName name="dms_663_List" localSheetId="30">'[2]AER only'!$M$8:$M$42</definedName>
    <definedName name="dms_663_List" localSheetId="31">'[2]AER only'!$M$8:$M$42</definedName>
    <definedName name="dms_663_List" localSheetId="32">'[2]AER only'!$M$8:$M$42</definedName>
    <definedName name="dms_663_List">'AER only'!$M$8:$M$42</definedName>
    <definedName name="dms_ABN">'Business &amp; other details'!$C$15</definedName>
    <definedName name="dms_ABN_List" localSheetId="29">'[2]AER only'!$D$8:$D$42</definedName>
    <definedName name="dms_ABN_List" localSheetId="30">'[2]AER only'!$D$8:$D$42</definedName>
    <definedName name="dms_ABN_List" localSheetId="31">'[2]AER only'!$D$8:$D$42</definedName>
    <definedName name="dms_ABN_List" localSheetId="32">'[2]AER only'!$D$8:$D$42</definedName>
    <definedName name="dms_ABN_List">'AER only'!$D$8:$D$42</definedName>
    <definedName name="dms_Addr1">'Business &amp; other details'!$E$18</definedName>
    <definedName name="dms_Addr1_List">'AER only'!$O$8:$O$42</definedName>
    <definedName name="dms_Addr2">'Business &amp; other details'!$E$19</definedName>
    <definedName name="dms_Addr2_List">'AER only'!$P$8:$P$42</definedName>
    <definedName name="dms_AGN_Assets" localSheetId="29">#REF!</definedName>
    <definedName name="dms_AGN_Assets" localSheetId="30">#REF!</definedName>
    <definedName name="dms_AGN_Assets" localSheetId="31">#REF!</definedName>
    <definedName name="dms_AGN_Assets" localSheetId="32">#REF!</definedName>
    <definedName name="dms_AGN_Assets">#REF!</definedName>
    <definedName name="dms_AmendmentReason">'Business &amp; other details'!$C$52</definedName>
    <definedName name="dms_ARR">'Business &amp; other details'!$C$71</definedName>
    <definedName name="dms_CA">'Business &amp; other details'!$C$70</definedName>
    <definedName name="dms_CBD_flag">'AER only'!$AC$8:$AC$42</definedName>
    <definedName name="dms_CFinalYear_List" localSheetId="29">'[2]AER only'!$H$66:$H$80</definedName>
    <definedName name="dms_CFinalYear_List" localSheetId="30">'[2]AER only'!$H$66:$H$80</definedName>
    <definedName name="dms_CFinalYear_List" localSheetId="31">'[2]AER only'!$H$66:$H$80</definedName>
    <definedName name="dms_CFinalYear_List" localSheetId="32">'[2]AER only'!$H$66:$H$80</definedName>
    <definedName name="dms_CFinalYear_List">'AER only'!$H$66:$H$80</definedName>
    <definedName name="dms_Classification">'Business &amp; other details'!$C$60</definedName>
    <definedName name="dms_ContactEmail">'Business &amp; other details'!$C$31</definedName>
    <definedName name="dms_ContactEmail_List">'AER only'!$AA$8:$AA$42</definedName>
    <definedName name="dms_ContactEmail2">'Business &amp; other details'!$F$31</definedName>
    <definedName name="dms_ContactName1">'Business &amp; other details'!$C$29</definedName>
    <definedName name="dms_ContactName1_List">'AER only'!$Y$8:$Y$42</definedName>
    <definedName name="dms_ContactName2">'Business &amp; other details'!$F$29</definedName>
    <definedName name="dms_ContactPh1">'Business &amp; other details'!$C$30</definedName>
    <definedName name="dms_ContactPh1_List">'AER only'!$Z$8:$Z$42</definedName>
    <definedName name="dms_ContactPh2">'Business &amp; other details'!$F$30</definedName>
    <definedName name="dms_crcp_cy1">'AER only'!$K$84</definedName>
    <definedName name="dms_crcp_cy10">'AER only'!$K$93</definedName>
    <definedName name="dms_crcp_cy11">'AER only'!$K$94</definedName>
    <definedName name="dms_crcp_cy12">'AER only'!$K$95</definedName>
    <definedName name="dms_crcp_cy13">'AER only'!$K$96</definedName>
    <definedName name="dms_crcp_cy14">'AER only'!$K$97</definedName>
    <definedName name="dms_crcp_cy15">'AER only'!$K$98</definedName>
    <definedName name="dms_crcp_cy2">'AER only'!$K$85</definedName>
    <definedName name="dms_crcp_cy3">'AER only'!$K$86</definedName>
    <definedName name="dms_crcp_cy4">'AER only'!$K$87</definedName>
    <definedName name="dms_crcp_cy5">'AER only'!$K$88</definedName>
    <definedName name="dms_crcp_cy6">'AER only'!$K$89</definedName>
    <definedName name="dms_crcp_cy7">'AER only'!$K$90</definedName>
    <definedName name="dms_crcp_cy8">'AER only'!$K$91</definedName>
    <definedName name="dms_crcp_cy9">'AER only'!$K$92</definedName>
    <definedName name="dms_CRCP_FinalYear_Ref">'Business &amp; other details'!$C$78</definedName>
    <definedName name="dms_CRCP_FinalYear_Result" localSheetId="29">'[2]Business &amp; other details'!$C$80</definedName>
    <definedName name="dms_CRCP_FinalYear_Result" localSheetId="30">'[2]Business &amp; other details'!$C$80</definedName>
    <definedName name="dms_CRCP_FinalYear_Result" localSheetId="31">'[2]Business &amp; other details'!$C$80</definedName>
    <definedName name="dms_CRCP_FinalYear_Result" localSheetId="32">'[2]Business &amp; other details'!$C$80</definedName>
    <definedName name="dms_CRCP_FinalYear_Result" localSheetId="0">'Business &amp; other details'!$C$80</definedName>
    <definedName name="dms_CRCP_FinalYear_Result">'Business &amp; other details'!$C$80</definedName>
    <definedName name="dms_CRCP_FirstYear_Result" localSheetId="29">'[2]Business &amp; other details'!$C$79</definedName>
    <definedName name="dms_CRCP_FirstYear_Result" localSheetId="30">'[2]Business &amp; other details'!$C$79</definedName>
    <definedName name="dms_CRCP_FirstYear_Result" localSheetId="31">'[2]Business &amp; other details'!$C$79</definedName>
    <definedName name="dms_CRCP_FirstYear_Result" localSheetId="32">'[2]Business &amp; other details'!$C$79</definedName>
    <definedName name="dms_CRCP_FirstYear_Result" localSheetId="0">'Business &amp; other details'!$C$79</definedName>
    <definedName name="dms_CRCP_FirstYear_Result">'Business &amp; other details'!$C$79</definedName>
    <definedName name="dms_CRCP_index" localSheetId="29">'[2]AER only'!$M$66:$M$80</definedName>
    <definedName name="dms_CRCP_index" localSheetId="30">'[2]AER only'!$M$66:$M$80</definedName>
    <definedName name="dms_CRCP_index" localSheetId="31">'[2]AER only'!$M$66:$M$80</definedName>
    <definedName name="dms_CRCP_index" localSheetId="32">'[2]AER only'!$M$66:$M$80</definedName>
    <definedName name="dms_CRCP_index">'AER only'!$M$66:$M$80</definedName>
    <definedName name="dms_CRCP_years" localSheetId="29">'[2]AER only'!$K$66:$K$80</definedName>
    <definedName name="dms_CRCP_years" localSheetId="30">'[2]AER only'!$K$66:$K$80</definedName>
    <definedName name="dms_CRCP_years" localSheetId="31">'[2]AER only'!$K$66:$K$80</definedName>
    <definedName name="dms_CRCP_years" localSheetId="32">'[2]AER only'!$K$66:$K$80</definedName>
    <definedName name="dms_CRCP_years">'AER only'!$K$66:$K$80</definedName>
    <definedName name="dms_CRCP_yM" localSheetId="29">'[2]AER only'!$K$79</definedName>
    <definedName name="dms_CRCP_yM" localSheetId="30">'[2]AER only'!$K$79</definedName>
    <definedName name="dms_CRCP_yM" localSheetId="31">'[2]AER only'!$K$79</definedName>
    <definedName name="dms_CRCP_yM" localSheetId="32">'[2]AER only'!$K$79</definedName>
    <definedName name="dms_CRCP_yM">'AER only'!$K$79</definedName>
    <definedName name="dms_CRCP_yN" localSheetId="29">'[2]AER only'!$K$78</definedName>
    <definedName name="dms_CRCP_yN" localSheetId="30">'[2]AER only'!$K$78</definedName>
    <definedName name="dms_CRCP_yN" localSheetId="31">'[2]AER only'!$K$78</definedName>
    <definedName name="dms_CRCP_yN" localSheetId="32">'[2]AER only'!$K$78</definedName>
    <definedName name="dms_CRCP_yN">'AER only'!$K$78</definedName>
    <definedName name="dms_CRCP_yO" localSheetId="29">'[2]AER only'!$K$77</definedName>
    <definedName name="dms_CRCP_yO" localSheetId="30">'[2]AER only'!$K$77</definedName>
    <definedName name="dms_CRCP_yO" localSheetId="31">'[2]AER only'!$K$77</definedName>
    <definedName name="dms_CRCP_yO" localSheetId="32">'[2]AER only'!$K$77</definedName>
    <definedName name="dms_CRCP_yO">'AER only'!$K$77</definedName>
    <definedName name="dms_CRCP_yP" localSheetId="29">'[2]AER only'!$K$76</definedName>
    <definedName name="dms_CRCP_yP" localSheetId="30">'[2]AER only'!$K$76</definedName>
    <definedName name="dms_CRCP_yP" localSheetId="31">'[2]AER only'!$K$76</definedName>
    <definedName name="dms_CRCP_yP" localSheetId="32">'[2]AER only'!$K$76</definedName>
    <definedName name="dms_CRCP_yP">'AER only'!$K$76</definedName>
    <definedName name="dms_CRCP_yQ" localSheetId="29">'[2]AER only'!$K$75</definedName>
    <definedName name="dms_CRCP_yQ" localSheetId="30">'[2]AER only'!$K$75</definedName>
    <definedName name="dms_CRCP_yQ" localSheetId="31">'[2]AER only'!$K$75</definedName>
    <definedName name="dms_CRCP_yQ" localSheetId="32">'[2]AER only'!$K$75</definedName>
    <definedName name="dms_CRCP_yQ">'AER only'!$K$75</definedName>
    <definedName name="dms_CRCP_yR" localSheetId="29">'[2]AER only'!$K$74</definedName>
    <definedName name="dms_CRCP_yR" localSheetId="30">'[2]AER only'!$K$74</definedName>
    <definedName name="dms_CRCP_yR" localSheetId="31">'[2]AER only'!$K$74</definedName>
    <definedName name="dms_CRCP_yR" localSheetId="32">'[2]AER only'!$K$74</definedName>
    <definedName name="dms_CRCP_yR">'AER only'!$K$74</definedName>
    <definedName name="dms_CRCP_yS" localSheetId="29">'[2]AER only'!$K$73</definedName>
    <definedName name="dms_CRCP_yS" localSheetId="30">'[2]AER only'!$K$73</definedName>
    <definedName name="dms_CRCP_yS" localSheetId="31">'[2]AER only'!$K$73</definedName>
    <definedName name="dms_CRCP_yS" localSheetId="32">'[2]AER only'!$K$73</definedName>
    <definedName name="dms_CRCP_yS">'AER only'!$K$73</definedName>
    <definedName name="dms_CRCP_yT" localSheetId="29">'[2]AER only'!$K$72</definedName>
    <definedName name="dms_CRCP_yT" localSheetId="30">'[2]AER only'!$K$72</definedName>
    <definedName name="dms_CRCP_yT" localSheetId="31">'[2]AER only'!$K$72</definedName>
    <definedName name="dms_CRCP_yT" localSheetId="32">'[2]AER only'!$K$72</definedName>
    <definedName name="dms_CRCP_yT">'AER only'!$K$72</definedName>
    <definedName name="dms_CRCP_yU" localSheetId="29">'[2]AER only'!$K$71</definedName>
    <definedName name="dms_CRCP_yU" localSheetId="30">'[2]AER only'!$K$71</definedName>
    <definedName name="dms_CRCP_yU" localSheetId="31">'[2]AER only'!$K$71</definedName>
    <definedName name="dms_CRCP_yU" localSheetId="32">'[2]AER only'!$K$71</definedName>
    <definedName name="dms_CRCP_yU">'AER only'!$K$71</definedName>
    <definedName name="dms_CRCP_yV" localSheetId="29">'[2]AER only'!$K$70</definedName>
    <definedName name="dms_CRCP_yV" localSheetId="30">'[2]AER only'!$K$70</definedName>
    <definedName name="dms_CRCP_yV" localSheetId="31">'[2]AER only'!$K$70</definedName>
    <definedName name="dms_CRCP_yV" localSheetId="32">'[2]AER only'!$K$70</definedName>
    <definedName name="dms_CRCP_yV">'AER only'!$K$70</definedName>
    <definedName name="dms_CRCP_yW" localSheetId="29">'[2]AER only'!$K$69</definedName>
    <definedName name="dms_CRCP_yW" localSheetId="30">'[2]AER only'!$K$69</definedName>
    <definedName name="dms_CRCP_yW" localSheetId="31">'[2]AER only'!$K$69</definedName>
    <definedName name="dms_CRCP_yW" localSheetId="32">'[2]AER only'!$K$69</definedName>
    <definedName name="dms_CRCP_yW">'AER only'!$K$69</definedName>
    <definedName name="dms_CRCP_yX" localSheetId="29">'[2]AER only'!$K$68</definedName>
    <definedName name="dms_CRCP_yX" localSheetId="30">'[2]AER only'!$K$68</definedName>
    <definedName name="dms_CRCP_yX" localSheetId="31">'[2]AER only'!$K$68</definedName>
    <definedName name="dms_CRCP_yX" localSheetId="32">'[2]AER only'!$K$68</definedName>
    <definedName name="dms_CRCP_yX">'AER only'!$K$68</definedName>
    <definedName name="dms_CRCP_yY" localSheetId="29">'[2]AER only'!$K$67</definedName>
    <definedName name="dms_CRCP_yY" localSheetId="30">'[2]AER only'!$K$67</definedName>
    <definedName name="dms_CRCP_yY" localSheetId="31">'[2]AER only'!$K$67</definedName>
    <definedName name="dms_CRCP_yY" localSheetId="32">'[2]AER only'!$K$67</definedName>
    <definedName name="dms_CRCP_yY">'AER only'!$K$67</definedName>
    <definedName name="dms_CRCP_yZ" localSheetId="29">'[2]AER only'!$K$66</definedName>
    <definedName name="dms_CRCP_yZ" localSheetId="30">'[2]AER only'!$K$66</definedName>
    <definedName name="dms_CRCP_yZ" localSheetId="31">'[2]AER only'!$K$66</definedName>
    <definedName name="dms_CRCP_yZ" localSheetId="32">'[2]AER only'!$K$66</definedName>
    <definedName name="dms_CRCP_yZ">'AER only'!$K$66</definedName>
    <definedName name="dms_CRCPlength_List" localSheetId="29">'[2]AER only'!$K$8:$K$42</definedName>
    <definedName name="dms_CRCPlength_List" localSheetId="30">'[2]AER only'!$K$8:$K$42</definedName>
    <definedName name="dms_CRCPlength_List" localSheetId="31">'[2]AER only'!$K$8:$K$42</definedName>
    <definedName name="dms_CRCPlength_List" localSheetId="32">'[2]AER only'!$K$8:$K$42</definedName>
    <definedName name="dms_CRCPlength_List">'AER only'!$K$8:$K$42</definedName>
    <definedName name="dms_CRCPlength_Num" localSheetId="29">'[2]Business &amp; other details'!$C$77</definedName>
    <definedName name="dms_CRCPlength_Num" localSheetId="30">'[2]Business &amp; other details'!$C$77</definedName>
    <definedName name="dms_CRCPlength_Num" localSheetId="31">'[2]Business &amp; other details'!$C$77</definedName>
    <definedName name="dms_CRCPlength_Num" localSheetId="32">'[2]Business &amp; other details'!$C$77</definedName>
    <definedName name="dms_CRCPlength_Num" localSheetId="0">'Business &amp; other details'!$C$77</definedName>
    <definedName name="dms_CRCPlength_Num">'Business &amp; other details'!$C$77</definedName>
    <definedName name="dms_CRCPlength_Num_List" localSheetId="29">'[2]AER only'!$G$66:$G$80</definedName>
    <definedName name="dms_CRCPlength_Num_List" localSheetId="30">'[2]AER only'!$G$66:$G$80</definedName>
    <definedName name="dms_CRCPlength_Num_List" localSheetId="31">'[2]AER only'!$G$66:$G$80</definedName>
    <definedName name="dms_CRCPlength_Num_List" localSheetId="32">'[2]AER only'!$G$66:$G$80</definedName>
    <definedName name="dms_CRCPlength_Num_List">'AER only'!$G$66:$G$80</definedName>
    <definedName name="dms_CRY_ListC" localSheetId="29">'[2]AER only'!$G$84:$G$98</definedName>
    <definedName name="dms_CRY_ListC" localSheetId="30">'[2]AER only'!$G$84:$G$98</definedName>
    <definedName name="dms_CRY_ListC" localSheetId="31">'[2]AER only'!$G$84:$G$98</definedName>
    <definedName name="dms_CRY_ListC" localSheetId="32">'[2]AER only'!$G$84:$G$98</definedName>
    <definedName name="dms_CRY_ListC">'AER only'!$G$84:$G$98</definedName>
    <definedName name="dms_CRY_ListF" localSheetId="29">'[2]AER only'!$F$84:$F$98</definedName>
    <definedName name="dms_CRY_ListF" localSheetId="30">'[2]AER only'!$F$84:$F$98</definedName>
    <definedName name="dms_CRY_ListF" localSheetId="31">'[2]AER only'!$F$84:$F$98</definedName>
    <definedName name="dms_CRY_ListF" localSheetId="32">'[2]AER only'!$F$84:$F$98</definedName>
    <definedName name="dms_CRY_ListF">'AER only'!$F$84:$F$98</definedName>
    <definedName name="dms_cy1">'AER only'!$G$84</definedName>
    <definedName name="dms_cy10">'AER only'!$G$93</definedName>
    <definedName name="dms_cy11">'AER only'!$G$94</definedName>
    <definedName name="dms_cy12">'AER only'!$G$95</definedName>
    <definedName name="dms_cy13">'AER only'!$G$96</definedName>
    <definedName name="dms_cy14">'AER only'!$G$97</definedName>
    <definedName name="dms_cy15">'AER only'!$G$98</definedName>
    <definedName name="dms_cy2">'AER only'!$G$85</definedName>
    <definedName name="dms_cy3">'AER only'!$G$86</definedName>
    <definedName name="dms_cy4">'AER only'!$G$87</definedName>
    <definedName name="dms_cy5">'AER only'!$G$88</definedName>
    <definedName name="dms_cy6">'AER only'!$G$89</definedName>
    <definedName name="dms_cy7">'AER only'!$G$90</definedName>
    <definedName name="dms_cy8">'AER only'!$G$91</definedName>
    <definedName name="dms_cy9">'AER only'!$G$92</definedName>
    <definedName name="dms_DataQuality" localSheetId="29">'[2]Business &amp; other details'!$C$51</definedName>
    <definedName name="dms_DataQuality" localSheetId="30">'[2]Business &amp; other details'!$C$51</definedName>
    <definedName name="dms_DataQuality" localSheetId="31">'[2]Business &amp; other details'!$C$51</definedName>
    <definedName name="dms_DataQuality" localSheetId="32">'[2]Business &amp; other details'!$C$51</definedName>
    <definedName name="dms_DataQuality" localSheetId="0">'Business &amp; other details'!$C$51</definedName>
    <definedName name="dms_DataQuality">'Business &amp; other details'!$C$51</definedName>
    <definedName name="dms_DataQuality_List" localSheetId="29">'[2]AER only'!$B$84:$B$88</definedName>
    <definedName name="dms_DataQuality_List" localSheetId="30">'[2]AER only'!$B$84:$B$88</definedName>
    <definedName name="dms_DataQuality_List" localSheetId="31">'[2]AER only'!$B$84:$B$88</definedName>
    <definedName name="dms_DataQuality_List" localSheetId="32">'[2]AER only'!$B$84:$B$88</definedName>
    <definedName name="dms_DataQuality_List">'AER only'!$B$84:$B$88</definedName>
    <definedName name="dms_Defined_Names_Used">'Business &amp; other details'!$C$88</definedName>
    <definedName name="dms_DeterminationRef_List" localSheetId="29">'[2]AER only'!$N$8:$N$42</definedName>
    <definedName name="dms_DeterminationRef_List" localSheetId="30">'[2]AER only'!$N$8:$N$42</definedName>
    <definedName name="dms_DeterminationRef_List" localSheetId="31">'[2]AER only'!$N$8:$N$42</definedName>
    <definedName name="dms_DeterminationRef_List" localSheetId="32">'[2]AER only'!$N$8:$N$42</definedName>
    <definedName name="dms_DeterminationRef_List">'AER only'!$N$8:$N$42</definedName>
    <definedName name="dms_DollarReal" localSheetId="29">'[2]Business &amp; other details'!$C$63</definedName>
    <definedName name="dms_DollarReal" localSheetId="30">'[2]Business &amp; other details'!$C$63</definedName>
    <definedName name="dms_DollarReal" localSheetId="31">'[2]Business &amp; other details'!$C$63</definedName>
    <definedName name="dms_DollarReal" localSheetId="32">'[2]Business &amp; other details'!$C$63</definedName>
    <definedName name="dms_DollarReal">'Business &amp; other details'!$C$63</definedName>
    <definedName name="dms_EB">'Business &amp; other details'!$C$69</definedName>
    <definedName name="dms_EBSS_status" localSheetId="24">#REF!</definedName>
    <definedName name="dms_EBSS_status" localSheetId="29">#REF!</definedName>
    <definedName name="dms_EBSS_status" localSheetId="30">#REF!</definedName>
    <definedName name="dms_EBSS_status" localSheetId="31">#REF!</definedName>
    <definedName name="dms_EBSS_status" localSheetId="32">#REF!</definedName>
    <definedName name="dms_EBSS_status" localSheetId="3">'Business &amp; other details'!$C$54</definedName>
    <definedName name="dms_EBSS_status">#REF!</definedName>
    <definedName name="dms_ESCALATOR_rows">'2. Escalators'!$B$33:$B$56</definedName>
    <definedName name="dms_FeederName_1">'AER only'!$AI$8:$AI$42</definedName>
    <definedName name="dms_FeederName_2">'AER only'!$AJ$8:$AJ$42</definedName>
    <definedName name="dms_FeederName_3">'AER only'!$AK$8:$AK$42</definedName>
    <definedName name="dms_FeederName_4">'AER only'!$AL$8:$AL$42</definedName>
    <definedName name="dms_FeederName_5">'AER only'!$AM$8:$AM$42</definedName>
    <definedName name="dms_FeederType_5_flag">'AER only'!$AG$8:$AG$42</definedName>
    <definedName name="dms_FinalYear_List" localSheetId="29">'[2]AER only'!$F$66:$F$80</definedName>
    <definedName name="dms_FinalYear_List" localSheetId="30">'[2]AER only'!$F$66:$F$80</definedName>
    <definedName name="dms_FinalYear_List" localSheetId="31">'[2]AER only'!$F$66:$F$80</definedName>
    <definedName name="dms_FinalYear_List" localSheetId="32">'[2]AER only'!$F$66:$F$80</definedName>
    <definedName name="dms_FinalYear_List">'AER only'!$F$66:$F$80</definedName>
    <definedName name="dms_FormControl">'Business &amp; other details'!$C$64</definedName>
    <definedName name="dms_FormControl_Choices">'AER only'!$C$66:$C$68</definedName>
    <definedName name="dms_FormControl_List" localSheetId="29">'[2]AER only'!$H$8:$H$42</definedName>
    <definedName name="dms_FormControl_List" localSheetId="30">'[2]AER only'!$H$8:$H$42</definedName>
    <definedName name="dms_FormControl_List" localSheetId="31">'[2]AER only'!$H$8:$H$42</definedName>
    <definedName name="dms_FormControl_List" localSheetId="32">'[2]AER only'!$H$8:$H$42</definedName>
    <definedName name="dms_FormControl_List">'AER only'!$H$8:$H$42</definedName>
    <definedName name="dms_FRCP_cyear_list">'AER only'!$L$84:$L$98</definedName>
    <definedName name="dms_frcp_fy1">'AER only'!$J$84</definedName>
    <definedName name="dms_frcp_fy10">'AER only'!$J$93</definedName>
    <definedName name="dms_frcp_fy11">'AER only'!$J$94</definedName>
    <definedName name="dms_frcp_fy12">'AER only'!$J$95</definedName>
    <definedName name="dms_frcp_fy13">'AER only'!$J$96</definedName>
    <definedName name="dms_frcp_fy14">'AER only'!$J$97</definedName>
    <definedName name="dms_frcp_fy15">'AER only'!$J$98</definedName>
    <definedName name="dms_frcp_fy2">'AER only'!$J$85</definedName>
    <definedName name="dms_frcp_fy3">'AER only'!$J$86</definedName>
    <definedName name="dms_frcp_fy4">'AER only'!$J$87</definedName>
    <definedName name="dms_frcp_fy5">'AER only'!$J$88</definedName>
    <definedName name="dms_frcp_fy6">'AER only'!$J$89</definedName>
    <definedName name="dms_frcp_fy7">'AER only'!$J$90</definedName>
    <definedName name="dms_frcp_fy8">'AER only'!$J$91</definedName>
    <definedName name="dms_frcp_fy9">'AER only'!$J$92</definedName>
    <definedName name="dms_FRCP_fyear_list">'AER only'!$I$84:$I$98</definedName>
    <definedName name="dms_FRCP_ListC" localSheetId="29">'[2]AER only'!$K$84:$K$98</definedName>
    <definedName name="dms_FRCP_ListC" localSheetId="30">'[2]AER only'!$K$84:$K$98</definedName>
    <definedName name="dms_FRCP_ListC" localSheetId="31">'[2]AER only'!$K$84:$K$98</definedName>
    <definedName name="dms_FRCP_ListC" localSheetId="32">'[2]AER only'!$K$84:$K$98</definedName>
    <definedName name="dms_FRCP_ListC">'AER only'!$K$84:$K$98</definedName>
    <definedName name="dms_FRCP_ListF" localSheetId="29">'[2]AER only'!$J$84:$J$98</definedName>
    <definedName name="dms_FRCP_ListF" localSheetId="30">'[2]AER only'!$J$84:$J$98</definedName>
    <definedName name="dms_FRCP_ListF" localSheetId="31">'[2]AER only'!$J$84:$J$98</definedName>
    <definedName name="dms_FRCP_ListF" localSheetId="32">'[2]AER only'!$J$84:$J$98</definedName>
    <definedName name="dms_FRCP_ListF">'AER only'!$J$84:$J$98</definedName>
    <definedName name="dms_FRCP_y1" localSheetId="29">'[2]AER only'!$I$66</definedName>
    <definedName name="dms_FRCP_y1" localSheetId="30">'[2]AER only'!$I$66</definedName>
    <definedName name="dms_FRCP_y1" localSheetId="31">'[2]AER only'!$I$66</definedName>
    <definedName name="dms_FRCP_y1" localSheetId="32">'[2]AER only'!$I$66</definedName>
    <definedName name="dms_FRCP_y1">'AER only'!$I$66</definedName>
    <definedName name="dms_FRCP_y10" localSheetId="29">'[2]AER only'!$I$75</definedName>
    <definedName name="dms_FRCP_y10" localSheetId="30">'[2]AER only'!$I$75</definedName>
    <definedName name="dms_FRCP_y10" localSheetId="31">'[2]AER only'!$I$75</definedName>
    <definedName name="dms_FRCP_y10" localSheetId="32">'[2]AER only'!$I$75</definedName>
    <definedName name="dms_FRCP_y10">'AER only'!$I$75</definedName>
    <definedName name="dms_FRCP_y11" localSheetId="29">'[2]AER only'!$I$76</definedName>
    <definedName name="dms_FRCP_y11" localSheetId="30">'[2]AER only'!$I$76</definedName>
    <definedName name="dms_FRCP_y11" localSheetId="31">'[2]AER only'!$I$76</definedName>
    <definedName name="dms_FRCP_y11" localSheetId="32">'[2]AER only'!$I$76</definedName>
    <definedName name="dms_FRCP_y11">'AER only'!$I$76</definedName>
    <definedName name="dms_FRCP_y12" localSheetId="29">'[2]AER only'!$I$77</definedName>
    <definedName name="dms_FRCP_y12" localSheetId="30">'[2]AER only'!$I$77</definedName>
    <definedName name="dms_FRCP_y12" localSheetId="31">'[2]AER only'!$I$77</definedName>
    <definedName name="dms_FRCP_y12" localSheetId="32">'[2]AER only'!$I$77</definedName>
    <definedName name="dms_FRCP_y12">'AER only'!$I$77</definedName>
    <definedName name="dms_FRCP_y13" localSheetId="29">'[2]AER only'!$I$78</definedName>
    <definedName name="dms_FRCP_y13" localSheetId="30">'[2]AER only'!$I$78</definedName>
    <definedName name="dms_FRCP_y13" localSheetId="31">'[2]AER only'!$I$78</definedName>
    <definedName name="dms_FRCP_y13" localSheetId="32">'[2]AER only'!$I$78</definedName>
    <definedName name="dms_FRCP_y13">'AER only'!$I$78</definedName>
    <definedName name="dms_FRCP_y14" localSheetId="29">'[2]AER only'!$I$79</definedName>
    <definedName name="dms_FRCP_y14" localSheetId="30">'[2]AER only'!$I$79</definedName>
    <definedName name="dms_FRCP_y14" localSheetId="31">'[2]AER only'!$I$79</definedName>
    <definedName name="dms_FRCP_y14" localSheetId="32">'[2]AER only'!$I$79</definedName>
    <definedName name="dms_FRCP_y14">'AER only'!$I$79</definedName>
    <definedName name="dms_FRCP_y2" localSheetId="29">'[2]AER only'!$I$67</definedName>
    <definedName name="dms_FRCP_y2" localSheetId="30">'[2]AER only'!$I$67</definedName>
    <definedName name="dms_FRCP_y2" localSheetId="31">'[2]AER only'!$I$67</definedName>
    <definedName name="dms_FRCP_y2" localSheetId="32">'[2]AER only'!$I$67</definedName>
    <definedName name="dms_FRCP_y2">'AER only'!$I$67</definedName>
    <definedName name="dms_FRCP_y3" localSheetId="29">'[2]AER only'!$I$68</definedName>
    <definedName name="dms_FRCP_y3" localSheetId="30">'[2]AER only'!$I$68</definedName>
    <definedName name="dms_FRCP_y3" localSheetId="31">'[2]AER only'!$I$68</definedName>
    <definedName name="dms_FRCP_y3" localSheetId="32">'[2]AER only'!$I$68</definedName>
    <definedName name="dms_FRCP_y3">'AER only'!$I$68</definedName>
    <definedName name="dms_FRCP_y4" localSheetId="29">'[2]AER only'!$I$69</definedName>
    <definedName name="dms_FRCP_y4" localSheetId="30">'[2]AER only'!$I$69</definedName>
    <definedName name="dms_FRCP_y4" localSheetId="31">'[2]AER only'!$I$69</definedName>
    <definedName name="dms_FRCP_y4" localSheetId="32">'[2]AER only'!$I$69</definedName>
    <definedName name="dms_FRCP_y4">'AER only'!$I$69</definedName>
    <definedName name="dms_FRCP_y5" localSheetId="29">'[2]AER only'!$I$70</definedName>
    <definedName name="dms_FRCP_y5" localSheetId="30">'[2]AER only'!$I$70</definedName>
    <definedName name="dms_FRCP_y5" localSheetId="31">'[2]AER only'!$I$70</definedName>
    <definedName name="dms_FRCP_y5" localSheetId="32">'[2]AER only'!$I$70</definedName>
    <definedName name="dms_FRCP_y5">'AER only'!$I$70</definedName>
    <definedName name="dms_FRCP_y6" localSheetId="29">'[2]AER only'!$I$71</definedName>
    <definedName name="dms_FRCP_y6" localSheetId="30">'[2]AER only'!$I$71</definedName>
    <definedName name="dms_FRCP_y6" localSheetId="31">'[2]AER only'!$I$71</definedName>
    <definedName name="dms_FRCP_y6" localSheetId="32">'[2]AER only'!$I$71</definedName>
    <definedName name="dms_FRCP_y6">'AER only'!$I$71</definedName>
    <definedName name="dms_FRCP_y7" localSheetId="29">'[2]AER only'!$I$72</definedName>
    <definedName name="dms_FRCP_y7" localSheetId="30">'[2]AER only'!$I$72</definedName>
    <definedName name="dms_FRCP_y7" localSheetId="31">'[2]AER only'!$I$72</definedName>
    <definedName name="dms_FRCP_y7" localSheetId="32">'[2]AER only'!$I$72</definedName>
    <definedName name="dms_FRCP_y7">'AER only'!$I$72</definedName>
    <definedName name="dms_FRCP_y8" localSheetId="29">'[2]AER only'!$I$73</definedName>
    <definedName name="dms_FRCP_y8" localSheetId="30">'[2]AER only'!$I$73</definedName>
    <definedName name="dms_FRCP_y8" localSheetId="31">'[2]AER only'!$I$73</definedName>
    <definedName name="dms_FRCP_y8" localSheetId="32">'[2]AER only'!$I$73</definedName>
    <definedName name="dms_FRCP_y8">'AER only'!$I$73</definedName>
    <definedName name="dms_FRCP_y9" localSheetId="29">'[2]AER only'!$I$74</definedName>
    <definedName name="dms_FRCP_y9" localSheetId="30">'[2]AER only'!$I$74</definedName>
    <definedName name="dms_FRCP_y9" localSheetId="31">'[2]AER only'!$I$74</definedName>
    <definedName name="dms_FRCP_y9" localSheetId="32">'[2]AER only'!$I$74</definedName>
    <definedName name="dms_FRCP_y9">'AER only'!$I$74</definedName>
    <definedName name="dms_FRCP_years">'AER only'!$I$66:$I$80</definedName>
    <definedName name="dms_FRCPlength_List" localSheetId="29">'[2]AER only'!$L$8:$L$42</definedName>
    <definedName name="dms_FRCPlength_List" localSheetId="30">'[2]AER only'!$L$8:$L$42</definedName>
    <definedName name="dms_FRCPlength_List" localSheetId="31">'[2]AER only'!$L$8:$L$42</definedName>
    <definedName name="dms_FRCPlength_List" localSheetId="32">'[2]AER only'!$L$8:$L$42</definedName>
    <definedName name="dms_FRCPlength_List">'AER only'!$L$8:$L$42</definedName>
    <definedName name="dms_FRCPlength_Num" localSheetId="29">'[2]Business &amp; other details'!$C$74</definedName>
    <definedName name="dms_FRCPlength_Num" localSheetId="30">'[2]Business &amp; other details'!$C$74</definedName>
    <definedName name="dms_FRCPlength_Num" localSheetId="31">'[2]Business &amp; other details'!$C$74</definedName>
    <definedName name="dms_FRCPlength_Num" localSheetId="32">'[2]Business &amp; other details'!$C$74</definedName>
    <definedName name="dms_FRCPlength_Num" localSheetId="0">'Business &amp; other details'!$C$74</definedName>
    <definedName name="dms_FRCPlength_Num">'Business &amp; other details'!$C$74</definedName>
    <definedName name="dms_FRCPlength_Num_List" localSheetId="29">'[2]AER only'!$E$66:$E$80</definedName>
    <definedName name="dms_FRCPlength_Num_List" localSheetId="30">'[2]AER only'!$E$66:$E$80</definedName>
    <definedName name="dms_FRCPlength_Num_List" localSheetId="31">'[2]AER only'!$E$66:$E$80</definedName>
    <definedName name="dms_FRCPlength_Num_List" localSheetId="32">'[2]AER only'!$E$66:$E$80</definedName>
    <definedName name="dms_FRCPlength_Num_List">'AER only'!$E$66:$E$80</definedName>
    <definedName name="dms_fy1">'AER only'!$F$84</definedName>
    <definedName name="dms_fy10">'AER only'!$F$93</definedName>
    <definedName name="dms_fy11">'AER only'!$F$94</definedName>
    <definedName name="dms_fy12">'AER only'!$F$95</definedName>
    <definedName name="dms_fy13">'AER only'!$F$96</definedName>
    <definedName name="dms_fy14">'AER only'!$F$97</definedName>
    <definedName name="dms_fy15">'AER only'!$F$98</definedName>
    <definedName name="dms_fy2">'AER only'!$F$85</definedName>
    <definedName name="dms_fy3">'AER only'!$F$86</definedName>
    <definedName name="dms_fy4">'AER only'!$F$87</definedName>
    <definedName name="dms_fy5">'AER only'!$F$88</definedName>
    <definedName name="dms_fy6">'AER only'!$F$89</definedName>
    <definedName name="dms_fy7">'AER only'!$F$90</definedName>
    <definedName name="dms_fy8">'AER only'!$F$91</definedName>
    <definedName name="dms_fy9">'AER only'!$F$92</definedName>
    <definedName name="dms_Jurisdiction">'Business &amp; other details'!$C$66</definedName>
    <definedName name="dms_JurisdictionList" localSheetId="29">'[2]AER only'!$E$8:$E$42</definedName>
    <definedName name="dms_JurisdictionList" localSheetId="30">'[2]AER only'!$E$8:$E$42</definedName>
    <definedName name="dms_JurisdictionList" localSheetId="31">'[2]AER only'!$E$8:$E$42</definedName>
    <definedName name="dms_JurisdictionList" localSheetId="32">'[2]AER only'!$E$8:$E$42</definedName>
    <definedName name="dms_JurisdictionList">'AER only'!$E$8:$E$42</definedName>
    <definedName name="dms_LongRural_flag">'AER only'!$AF$8:$AF$42</definedName>
    <definedName name="dms_MAIFI_flag_List">'AER only'!$AH$8:$AH$42</definedName>
    <definedName name="dms_Model" localSheetId="29">'[2]Business &amp; other details'!$C$59</definedName>
    <definedName name="dms_Model" localSheetId="30">'[2]Business &amp; other details'!$C$59</definedName>
    <definedName name="dms_Model" localSheetId="31">'[2]Business &amp; other details'!$C$59</definedName>
    <definedName name="dms_Model" localSheetId="32">'[2]Business &amp; other details'!$C$59</definedName>
    <definedName name="dms_Model" localSheetId="0">'Business &amp; other details'!$C$59</definedName>
    <definedName name="dms_Model">'Business &amp; other details'!$C$59</definedName>
    <definedName name="dms_Model_List" localSheetId="29">'[2]AER only'!$B$48:$B$55</definedName>
    <definedName name="dms_Model_List" localSheetId="30">'[2]AER only'!$B$48:$B$55</definedName>
    <definedName name="dms_Model_List" localSheetId="31">'[2]AER only'!$B$48:$B$55</definedName>
    <definedName name="dms_Model_List" localSheetId="32">'[2]AER only'!$B$48:$B$55</definedName>
    <definedName name="dms_Model_List">'AER only'!$B$48:$B$55</definedName>
    <definedName name="dms_MultiYear_FinalYear_Ref" localSheetId="29">'[2]Business &amp; other details'!$C$75</definedName>
    <definedName name="dms_MultiYear_FinalYear_Ref" localSheetId="30">'[2]Business &amp; other details'!$C$75</definedName>
    <definedName name="dms_MultiYear_FinalYear_Ref" localSheetId="31">'[2]Business &amp; other details'!$C$75</definedName>
    <definedName name="dms_MultiYear_FinalYear_Ref" localSheetId="32">'[2]Business &amp; other details'!$C$75</definedName>
    <definedName name="dms_MultiYear_FinalYear_Ref" localSheetId="0">'Business &amp; other details'!$C$75</definedName>
    <definedName name="dms_MultiYear_FinalYear_Ref">'Business &amp; other details'!$C$75</definedName>
    <definedName name="dms_MultiYear_FinalYear_Result" localSheetId="29">'[2]Business &amp; other details'!$C$76</definedName>
    <definedName name="dms_MultiYear_FinalYear_Result" localSheetId="30">'[2]Business &amp; other details'!$C$76</definedName>
    <definedName name="dms_MultiYear_FinalYear_Result" localSheetId="31">'[2]Business &amp; other details'!$C$76</definedName>
    <definedName name="dms_MultiYear_FinalYear_Result" localSheetId="32">'[2]Business &amp; other details'!$C$76</definedName>
    <definedName name="dms_MultiYear_FinalYear_Result" localSheetId="0">'Business &amp; other details'!$C$76</definedName>
    <definedName name="dms_MultiYear_FinalYear_Result">'Business &amp; other details'!$C$76</definedName>
    <definedName name="dms_MultiYear_Flag" localSheetId="29">'[2]Business &amp; other details'!$C$67</definedName>
    <definedName name="dms_MultiYear_Flag" localSheetId="30">'[2]Business &amp; other details'!$C$67</definedName>
    <definedName name="dms_MultiYear_Flag" localSheetId="31">'[2]Business &amp; other details'!$C$67</definedName>
    <definedName name="dms_MultiYear_Flag" localSheetId="32">'[2]Business &amp; other details'!$C$67</definedName>
    <definedName name="dms_MultiYear_Flag" localSheetId="0">'Business &amp; other details'!$C$67</definedName>
    <definedName name="dms_MultiYear_Flag">'Business &amp; other details'!$C$67</definedName>
    <definedName name="dms_PAddr1">'Business &amp; other details'!$E$23</definedName>
    <definedName name="dms_PAddr1_List">'AER only'!$T$8:$T$42</definedName>
    <definedName name="dms_PAddr2">'Business &amp; other details'!$E$24</definedName>
    <definedName name="dms_PAddr2_List">'AER only'!$U$8:$U$42</definedName>
    <definedName name="dms_PostCode">'Business &amp; other details'!$G$21</definedName>
    <definedName name="dms_PostCode_List">'AER only'!$S$8:$S$42</definedName>
    <definedName name="dms_PPostCode">'Business &amp; other details'!$G$26</definedName>
    <definedName name="dms_PPostCode_List">'AER only'!$X$8:$X$42</definedName>
    <definedName name="dms_PState">'Business &amp; other details'!$E$26</definedName>
    <definedName name="dms_PState_List">'AER only'!$W$8:$W$42</definedName>
    <definedName name="dms_PSuburb">'Business &amp; other details'!$E$25</definedName>
    <definedName name="dms_PSuburb_List">'AER only'!$V$8:$V$42</definedName>
    <definedName name="dms_RCP_cyear_list">'AER only'!$H$84:$H$98</definedName>
    <definedName name="dms_RCP_fyear_list">'AER only'!$E$84:$E$98</definedName>
    <definedName name="dms_Reason_Interruption">'AER only'!$AK$47:$AK$62</definedName>
    <definedName name="dms_Reason_Interruption_Detailed">'AER only'!$AJ$47:$AJ$69</definedName>
    <definedName name="dms_Reg_Year_Span" localSheetId="29">'[2]Business &amp; other details'!$B$3</definedName>
    <definedName name="dms_Reg_Year_Span" localSheetId="30">'[2]Business &amp; other details'!$B$3</definedName>
    <definedName name="dms_Reg_Year_Span" localSheetId="31">'[2]Business &amp; other details'!$B$3</definedName>
    <definedName name="dms_Reg_Year_Span" localSheetId="32">'[2]Business &amp; other details'!$B$3</definedName>
    <definedName name="dms_Reg_Year_Span">'Business &amp; other details'!$B$3</definedName>
    <definedName name="dms_RINversion">'Business &amp; other details'!$C$65</definedName>
    <definedName name="dms_RPT" localSheetId="29">'[2]Business &amp; other details'!$C$58</definedName>
    <definedName name="dms_RPT" localSheetId="30">'[2]Business &amp; other details'!$C$58</definedName>
    <definedName name="dms_RPT" localSheetId="31">'[2]Business &amp; other details'!$C$58</definedName>
    <definedName name="dms_RPT" localSheetId="32">'[2]Business &amp; other details'!$C$58</definedName>
    <definedName name="dms_RPT" localSheetId="0">'Business &amp; other details'!$C$58</definedName>
    <definedName name="dms_RPT">'Business &amp; other details'!$C$58</definedName>
    <definedName name="dms_RPT_List" localSheetId="29">'[2]AER only'!$I$8:$I$42</definedName>
    <definedName name="dms_RPT_List" localSheetId="30">'[2]AER only'!$I$8:$I$42</definedName>
    <definedName name="dms_RPT_List" localSheetId="31">'[2]AER only'!$I$8:$I$42</definedName>
    <definedName name="dms_RPT_List" localSheetId="32">'[2]AER only'!$I$8:$I$42</definedName>
    <definedName name="dms_RPT_List">'AER only'!$I$8:$I$42</definedName>
    <definedName name="dms_RPTMonth" localSheetId="29">'[2]Business &amp; other details'!$C$62</definedName>
    <definedName name="dms_RPTMonth" localSheetId="30">'[2]Business &amp; other details'!$C$62</definedName>
    <definedName name="dms_RPTMonth" localSheetId="31">'[2]Business &amp; other details'!$C$62</definedName>
    <definedName name="dms_RPTMonth" localSheetId="32">'[2]Business &amp; other details'!$C$62</definedName>
    <definedName name="dms_RPTMonth" localSheetId="0">'Business &amp; other details'!$C$62</definedName>
    <definedName name="dms_RPTMonth">'Business &amp; other details'!$C$62</definedName>
    <definedName name="dms_RPTMonth_List" localSheetId="29">'[2]AER only'!$J$8:$J$42</definedName>
    <definedName name="dms_RPTMonth_List" localSheetId="30">'[2]AER only'!$J$8:$J$42</definedName>
    <definedName name="dms_RPTMonth_List" localSheetId="31">'[2]AER only'!$J$8:$J$42</definedName>
    <definedName name="dms_RPTMonth_List" localSheetId="32">'[2]AER only'!$J$8:$J$42</definedName>
    <definedName name="dms_RPTMonth_List">'AER only'!$J$8:$J$42</definedName>
    <definedName name="dms_RYE">'Business &amp; other details'!$C$57</definedName>
    <definedName name="dms_RYE_Formula_Result" localSheetId="29">'[2]AER only'!$E$48:$E$55</definedName>
    <definedName name="dms_RYE_Formula_Result" localSheetId="30">'[2]AER only'!$E$48:$E$55</definedName>
    <definedName name="dms_RYE_Formula_Result" localSheetId="31">'[2]AER only'!$E$48:$E$55</definedName>
    <definedName name="dms_RYE_Formula_Result" localSheetId="32">'[2]AER only'!$E$48:$E$55</definedName>
    <definedName name="dms_RYE_Formula_Result">'AER only'!$E$48:$E$55</definedName>
    <definedName name="dms_Sector">'Business &amp; other details'!$C$55</definedName>
    <definedName name="dms_Sector_List" localSheetId="29">'[2]AER only'!$F$8:$F$42</definedName>
    <definedName name="dms_Sector_List" localSheetId="30">'[2]AER only'!$F$8:$F$42</definedName>
    <definedName name="dms_Sector_List" localSheetId="31">'[2]AER only'!$F$8:$F$42</definedName>
    <definedName name="dms_Sector_List" localSheetId="32">'[2]AER only'!$F$8:$F$42</definedName>
    <definedName name="dms_Sector_List">'AER only'!$F$8:$F$42</definedName>
    <definedName name="dms_Segment" localSheetId="0">'Business &amp; other details'!$C$56</definedName>
    <definedName name="dms_Segment">'Business &amp; other details'!$C$56</definedName>
    <definedName name="dms_Segment_List" localSheetId="29">'[2]AER only'!$G$8:$G$42</definedName>
    <definedName name="dms_Segment_List" localSheetId="30">'[2]AER only'!$G$8:$G$42</definedName>
    <definedName name="dms_Segment_List" localSheetId="31">'[2]AER only'!$G$8:$G$42</definedName>
    <definedName name="dms_Segment_List" localSheetId="32">'[2]AER only'!$G$8:$G$42</definedName>
    <definedName name="dms_Segment_List">'AER only'!$G$8:$G$42</definedName>
    <definedName name="dms_ShortRural_flag">'AER only'!$AE$8:$AE$42</definedName>
    <definedName name="dms_SingleYear_FinalYear_Ref" localSheetId="29">'[2]Business &amp; other details'!$C$72</definedName>
    <definedName name="dms_SingleYear_FinalYear_Ref" localSheetId="30">'[2]Business &amp; other details'!$C$72</definedName>
    <definedName name="dms_SingleYear_FinalYear_Ref" localSheetId="31">'[2]Business &amp; other details'!$C$72</definedName>
    <definedName name="dms_SingleYear_FinalYear_Ref" localSheetId="32">'[2]Business &amp; other details'!$C$72</definedName>
    <definedName name="dms_SingleYear_FinalYear_Ref" localSheetId="0">'Business &amp; other details'!$C$72</definedName>
    <definedName name="dms_SingleYear_FinalYear_Ref">'Business &amp; other details'!$C$72</definedName>
    <definedName name="dms_SingleYear_FinalYear_Result" localSheetId="0">'Business &amp; other details'!$C$73</definedName>
    <definedName name="dms_SingleYear_FinalYear_Result">'Business &amp; other details'!$C$73</definedName>
    <definedName name="dms_SingleYear_Model" localSheetId="29">'[2]Business &amp; other details'!$C$69:$C$71</definedName>
    <definedName name="dms_SingleYear_Model" localSheetId="30">'[2]Business &amp; other details'!$C$69:$C$71</definedName>
    <definedName name="dms_SingleYear_Model" localSheetId="31">'[2]Business &amp; other details'!$C$69:$C$71</definedName>
    <definedName name="dms_SingleYear_Model" localSheetId="32">'[2]Business &amp; other details'!$C$69:$C$71</definedName>
    <definedName name="dms_SingleYear_Model" localSheetId="0">'Business &amp; other details'!$C$69:$C$71</definedName>
    <definedName name="dms_SingleYear_Model">'Business &amp; other details'!$C$69:$C$71</definedName>
    <definedName name="dms_Source">'Business &amp; other details'!$C$50</definedName>
    <definedName name="dms_SourceList" localSheetId="29">'[2]AER only'!$B$66:$B$78</definedName>
    <definedName name="dms_SourceList" localSheetId="30">'[2]AER only'!$B$66:$B$78</definedName>
    <definedName name="dms_SourceList" localSheetId="31">'[2]AER only'!$B$66:$B$78</definedName>
    <definedName name="dms_SourceList" localSheetId="32">'[2]AER only'!$B$66:$B$78</definedName>
    <definedName name="dms_SourceList">'AER only'!$B$66:$B$78</definedName>
    <definedName name="dms_Specified_FinalYear" localSheetId="29">'[2]Business &amp; other details'!$C$68</definedName>
    <definedName name="dms_Specified_FinalYear" localSheetId="30">'[2]Business &amp; other details'!$C$68</definedName>
    <definedName name="dms_Specified_FinalYear" localSheetId="31">'[2]Business &amp; other details'!$C$68</definedName>
    <definedName name="dms_Specified_FinalYear" localSheetId="32">'[2]Business &amp; other details'!$C$68</definedName>
    <definedName name="dms_Specified_FinalYear" localSheetId="0">'Business &amp; other details'!$C$68</definedName>
    <definedName name="dms_Specified_FinalYear">'Business &amp; other details'!$C$68</definedName>
    <definedName name="dms_State">'Business &amp; other details'!$E$21</definedName>
    <definedName name="dms_State_List">'AER only'!$R$8:$R$42</definedName>
    <definedName name="dms_STPIS_exclusions">'AER only'!$AI$71:$AI$76</definedName>
    <definedName name="dms_SubmissionDate">'Business &amp; other details'!$C$53</definedName>
    <definedName name="dms_Suburb">'Business &amp; other details'!$E$20</definedName>
    <definedName name="dms_Suburb_List">'AER only'!$Q$8:$Q$42</definedName>
    <definedName name="dms_TemplateNumber">'Business &amp; other details'!$C$61</definedName>
    <definedName name="dms_TradingName" localSheetId="29">'[2]Business &amp; other details'!$C$14</definedName>
    <definedName name="dms_TradingName" localSheetId="30">'[2]Business &amp; other details'!$C$14</definedName>
    <definedName name="dms_TradingName" localSheetId="31">'[2]Business &amp; other details'!$C$14</definedName>
    <definedName name="dms_TradingName" localSheetId="32">'[2]Business &amp; other details'!$C$14</definedName>
    <definedName name="dms_TradingName" localSheetId="0">'Business &amp; other details'!$C$14</definedName>
    <definedName name="dms_TradingName">'Business &amp; other details'!$C$14</definedName>
    <definedName name="dms_TradingName_List" localSheetId="29">'[2]AER only'!$B$8:$B$42</definedName>
    <definedName name="dms_TradingName_List" localSheetId="30">'[2]AER only'!$B$8:$B$42</definedName>
    <definedName name="dms_TradingName_List" localSheetId="31">'[2]AER only'!$B$8:$B$42</definedName>
    <definedName name="dms_TradingName_List" localSheetId="32">'[2]AER only'!$B$8:$B$42</definedName>
    <definedName name="dms_TradingName_List">'AER only'!$B$8:$B$42</definedName>
    <definedName name="dms_TradingNameFull">'Business &amp; other details'!$B$2</definedName>
    <definedName name="dms_TradingNameFull_List" localSheetId="29">'[2]AER only'!$C$8:$C$42</definedName>
    <definedName name="dms_TradingNameFull_List" localSheetId="30">'[2]AER only'!$C$8:$C$42</definedName>
    <definedName name="dms_TradingNameFull_List" localSheetId="31">'[2]AER only'!$C$8:$C$42</definedName>
    <definedName name="dms_TradingNameFull_List" localSheetId="32">'[2]AER only'!$C$8:$C$42</definedName>
    <definedName name="dms_TradingNameFull_List">'AER only'!$C$8:$C$42</definedName>
    <definedName name="dms_Urban_flag">'AER only'!$AD$8:$AD$42</definedName>
    <definedName name="dms_Worksheet_List" localSheetId="29">'[2]AER only'!$C$48:$C$55</definedName>
    <definedName name="dms_Worksheet_List" localSheetId="30">'[2]AER only'!$C$48:$C$55</definedName>
    <definedName name="dms_Worksheet_List" localSheetId="31">'[2]AER only'!$C$48:$C$55</definedName>
    <definedName name="dms_Worksheet_List" localSheetId="32">'[2]AER only'!$C$48:$C$55</definedName>
    <definedName name="dms_Worksheet_List">'AER only'!$C$48:$C$55</definedName>
    <definedName name="EBSS" localSheetId="24">'23.4 Opex Incentive Mechanism'!$B$1</definedName>
    <definedName name="FRCP" localSheetId="29">'[2]Business &amp; other details'!$C$35:$G$35</definedName>
    <definedName name="FRCP" localSheetId="30">'[2]Business &amp; other details'!$C$35:$G$35</definedName>
    <definedName name="FRCP" localSheetId="31">'[2]Business &amp; other details'!$C$35:$G$35</definedName>
    <definedName name="FRCP" localSheetId="32">'[2]Business &amp; other details'!$C$35:$G$35</definedName>
    <definedName name="FRCP">'Business &amp; other details'!$C$35:$G$35</definedName>
    <definedName name="FRCP_1to5">"2015-16 to 2019-20"</definedName>
    <definedName name="FRCP_span" localSheetId="24">CONCATENATE('23.4 Opex Incentive Mechanism'!FRCP_y1, " to ", '23.4 Opex Incentive Mechanism'!FRCP_y5)</definedName>
    <definedName name="FRCP_span" localSheetId="29">CONCATENATE('27.1 Customer numbers Total'!FRCP_y1, " to ", '27.1 Customer numbers Total'!FRCP_y5)</definedName>
    <definedName name="FRCP_span" localSheetId="30">CONCATENATE('27.2 Customer numbers Metro'!FRCP_y1, " to ", '27.2 Customer numbers Metro'!FRCP_y5)</definedName>
    <definedName name="FRCP_span" localSheetId="31">CONCATENATE('27.3 Customer numbers YV'!FRCP_y1, " to ", '27.3 Customer numbers YV'!FRCP_y5)</definedName>
    <definedName name="FRCP_span" localSheetId="32">CONCATENATE('27.4 Customer numbers SG'!FRCP_y1, " to ", '27.4 Customer numbers SG'!FRCP_y5)</definedName>
    <definedName name="FRCP_span" comment="Generic cover sheet" localSheetId="0">CONCATENATE('AER only'!FRCP_y1, " to ", 'AER only'!FRCP_y5)</definedName>
    <definedName name="FRCP_span" comment="Generic cover sheet" localSheetId="3">CONCATENATE(FRCP_y1, " to ", FRCP_y5)</definedName>
    <definedName name="FRCP_span">CONCATENATE(FRCP_y1, " to ", FRCP_y5)</definedName>
    <definedName name="FRCP_y1" localSheetId="29">'[2]Business &amp; other details'!$C$35</definedName>
    <definedName name="FRCP_y1" localSheetId="30">'[2]Business &amp; other details'!$C$35</definedName>
    <definedName name="FRCP_y1" localSheetId="31">'[2]Business &amp; other details'!$C$35</definedName>
    <definedName name="FRCP_y1" localSheetId="32">'[2]Business &amp; other details'!$C$35</definedName>
    <definedName name="FRCP_y1" localSheetId="0">'Business &amp; other details'!$C$35</definedName>
    <definedName name="FRCP_y1">'Business &amp; other details'!$C$35</definedName>
    <definedName name="FRCP_y10">'Business &amp; other details'!$L$35</definedName>
    <definedName name="FRCP_y2" localSheetId="29">'[2]Business &amp; other details'!$D$35</definedName>
    <definedName name="FRCP_y2" localSheetId="30">'[2]Business &amp; other details'!$D$35</definedName>
    <definedName name="FRCP_y2" localSheetId="31">'[2]Business &amp; other details'!$D$35</definedName>
    <definedName name="FRCP_y2" localSheetId="32">'[2]Business &amp; other details'!$D$35</definedName>
    <definedName name="FRCP_y2">'Business &amp; other details'!$D$35</definedName>
    <definedName name="FRCP_y3" localSheetId="29">'[2]Business &amp; other details'!$E$35</definedName>
    <definedName name="FRCP_y3" localSheetId="30">'[2]Business &amp; other details'!$E$35</definedName>
    <definedName name="FRCP_y3" localSheetId="31">'[2]Business &amp; other details'!$E$35</definedName>
    <definedName name="FRCP_y3" localSheetId="32">'[2]Business &amp; other details'!$E$35</definedName>
    <definedName name="FRCP_y3">'Business &amp; other details'!$E$35</definedName>
    <definedName name="FRCP_y4" localSheetId="29">'[2]Business &amp; other details'!$F$35</definedName>
    <definedName name="FRCP_y4" localSheetId="30">'[2]Business &amp; other details'!$F$35</definedName>
    <definedName name="FRCP_y4" localSheetId="31">'[2]Business &amp; other details'!$F$35</definedName>
    <definedName name="FRCP_y4" localSheetId="32">'[2]Business &amp; other details'!$F$35</definedName>
    <definedName name="FRCP_y4">'Business &amp; other details'!$F$35</definedName>
    <definedName name="FRCP_y5" localSheetId="29">'[2]Business &amp; other details'!$G$35</definedName>
    <definedName name="FRCP_y5" localSheetId="30">'[2]Business &amp; other details'!$G$35</definedName>
    <definedName name="FRCP_y5" localSheetId="31">'[2]Business &amp; other details'!$G$35</definedName>
    <definedName name="FRCP_y5" localSheetId="32">'[2]Business &amp; other details'!$G$35</definedName>
    <definedName name="FRCP_y5" localSheetId="0">'Business &amp; other details'!$G$35</definedName>
    <definedName name="FRCP_y5">'Business &amp; other details'!$G$35</definedName>
    <definedName name="FRCP_y6">'Business &amp; other details'!$H$35</definedName>
    <definedName name="FRCP_y7">'Business &amp; other details'!$I$35</definedName>
    <definedName name="FRCP_y8">'Business &amp; other details'!$J$35</definedName>
    <definedName name="FRCP_y9">'Business &amp; other details'!$K$35</definedName>
    <definedName name="MAIFI_flag">'AER only'!$AH$6</definedName>
    <definedName name="OLE_LINK2" localSheetId="24">'23.4 Opex Incentive Mechanism'!#REF!</definedName>
    <definedName name="PRCP" localSheetId="29">'[2]Business &amp; other details'!$C$41:$G$41</definedName>
    <definedName name="PRCP" localSheetId="30">'[2]Business &amp; other details'!$C$41:$G$41</definedName>
    <definedName name="PRCP" localSheetId="31">'[2]Business &amp; other details'!$C$41:$G$41</definedName>
    <definedName name="PRCP" localSheetId="32">'[2]Business &amp; other details'!$C$41:$G$41</definedName>
    <definedName name="PRCP">'Business &amp; other details'!$C$41:$G$41</definedName>
    <definedName name="PRCP_y1" localSheetId="29">'[2]Business &amp; other details'!$C$41</definedName>
    <definedName name="PRCP_y1" localSheetId="30">'[2]Business &amp; other details'!$C$41</definedName>
    <definedName name="PRCP_y1" localSheetId="31">'[2]Business &amp; other details'!$C$41</definedName>
    <definedName name="PRCP_y1" localSheetId="32">'[2]Business &amp; other details'!$C$41</definedName>
    <definedName name="PRCP_y1">'Business &amp; other details'!$C$41</definedName>
    <definedName name="PRCP_y2" localSheetId="29">'[2]Business &amp; other details'!$D$41</definedName>
    <definedName name="PRCP_y2" localSheetId="30">'[2]Business &amp; other details'!$D$41</definedName>
    <definedName name="PRCP_y2" localSheetId="31">'[2]Business &amp; other details'!$D$41</definedName>
    <definedName name="PRCP_y2" localSheetId="32">'[2]Business &amp; other details'!$D$41</definedName>
    <definedName name="PRCP_y2" localSheetId="0">'Business &amp; other details'!$D$41</definedName>
    <definedName name="PRCP_y2">'Business &amp; other details'!$D$41</definedName>
    <definedName name="PRCP_y3" localSheetId="29">'[2]Business &amp; other details'!$E$41</definedName>
    <definedName name="PRCP_y3" localSheetId="30">'[2]Business &amp; other details'!$E$41</definedName>
    <definedName name="PRCP_y3" localSheetId="31">'[2]Business &amp; other details'!$E$41</definedName>
    <definedName name="PRCP_y3" localSheetId="32">'[2]Business &amp; other details'!$E$41</definedName>
    <definedName name="PRCP_y3" localSheetId="0">'Business &amp; other details'!$E$41</definedName>
    <definedName name="PRCP_y3">'Business &amp; other details'!$E$41</definedName>
    <definedName name="PRCP_y4" localSheetId="29">'[2]Business &amp; other details'!$F$41</definedName>
    <definedName name="PRCP_y4" localSheetId="30">'[2]Business &amp; other details'!$F$41</definedName>
    <definedName name="PRCP_y4" localSheetId="31">'[2]Business &amp; other details'!$F$41</definedName>
    <definedName name="PRCP_y4" localSheetId="32">'[2]Business &amp; other details'!$F$41</definedName>
    <definedName name="PRCP_y4" localSheetId="0">'Business &amp; other details'!$F$41</definedName>
    <definedName name="PRCP_y4">'Business &amp; other details'!$F$41</definedName>
    <definedName name="PRCP_y5" localSheetId="29">'[2]Business &amp; other details'!$G$41</definedName>
    <definedName name="PRCP_y5" localSheetId="30">'[2]Business &amp; other details'!$G$41</definedName>
    <definedName name="PRCP_y5" localSheetId="31">'[2]Business &amp; other details'!$G$41</definedName>
    <definedName name="PRCP_y5" localSheetId="32">'[2]Business &amp; other details'!$G$41</definedName>
    <definedName name="PRCP_y5" localSheetId="0">'Business &amp; other details'!$G$41</definedName>
    <definedName name="PRCP_y5">'Business &amp; other details'!$G$41</definedName>
    <definedName name="_xlnm.Print_Area" localSheetId="17">'17. Gross Capex '!$B$18:$Q$19</definedName>
    <definedName name="_xlnm.Print_Area" localSheetId="24">'23.4 Opex Incentive Mechanism'!$C$1:$AG$81</definedName>
    <definedName name="_xlnm.Print_Area" localSheetId="1">Contents!$A$1:$O$40</definedName>
    <definedName name="RCP_1to5">"2015-16 to 2019-20"</definedName>
    <definedName name="SheetHeader" localSheetId="29">'[2]Business &amp; other details'!$B$1</definedName>
    <definedName name="SheetHeader" localSheetId="30">'[2]Business &amp; other details'!$B$1</definedName>
    <definedName name="SheetHeader" localSheetId="31">'[2]Business &amp; other details'!$B$1</definedName>
    <definedName name="SheetHeader" localSheetId="32">'[2]Business &amp; other details'!$B$1</definedName>
    <definedName name="SheetHeader">'Business &amp; other details'!$B$1</definedName>
    <definedName name="Years">'Business &amp; other details'!$C$38:$H$38</definedName>
    <definedName name="Z_70D595AD_AEC5_4236_BEEA_8B1F11A9C0EB_.wvu.PrintArea" localSheetId="17" hidden="1">'17. Gross Capex '!$B$18:$L$19</definedName>
    <definedName name="Z_9E68353C_A777_4F31_B10F_800632648195_.wvu.PrintArea" localSheetId="17" hidden="1">'17. Gross Capex '!$B$18:$L$19</definedName>
    <definedName name="Z_B71BDC4E_7246_482B_AFA3_F08BF8B63C7B_.wvu.PrintArea" localSheetId="17" hidden="1">'17. Gross Capex '!$B$18:$L$19</definedName>
  </definedNames>
  <calcPr calcId="152511"/>
</workbook>
</file>

<file path=xl/calcChain.xml><?xml version="1.0" encoding="utf-8"?>
<calcChain xmlns="http://schemas.openxmlformats.org/spreadsheetml/2006/main">
  <c r="L31" i="210" l="1"/>
  <c r="L32" i="210"/>
  <c r="P86" i="239" l="1"/>
  <c r="P76" i="239"/>
  <c r="P66" i="239"/>
  <c r="P46" i="239"/>
  <c r="P36" i="239"/>
  <c r="P26" i="239"/>
  <c r="P116" i="235"/>
  <c r="P106" i="235"/>
  <c r="P96" i="235"/>
  <c r="P66" i="235"/>
  <c r="P56" i="235"/>
  <c r="P26" i="235"/>
  <c r="M56" i="206"/>
  <c r="P36" i="238"/>
  <c r="P24" i="205"/>
  <c r="L220" i="242"/>
  <c r="L191" i="242"/>
  <c r="L133" i="242"/>
  <c r="P34" i="187"/>
  <c r="L37" i="210"/>
  <c r="L30" i="210"/>
  <c r="L29" i="210"/>
  <c r="P83" i="239"/>
  <c r="P73" i="239"/>
  <c r="P63" i="239"/>
  <c r="P43" i="239"/>
  <c r="P33" i="239"/>
  <c r="P23" i="239"/>
  <c r="P109" i="235"/>
  <c r="M53" i="206"/>
  <c r="P33" i="238"/>
  <c r="P36" i="187"/>
  <c r="P30" i="187"/>
  <c r="P23" i="205"/>
  <c r="O24" i="205"/>
  <c r="O23" i="205"/>
  <c r="L174" i="242"/>
  <c r="L173" i="242"/>
  <c r="L172" i="242"/>
  <c r="L116" i="242"/>
  <c r="L115" i="242"/>
  <c r="L114" i="242"/>
  <c r="O106" i="239" l="1"/>
  <c r="O104" i="239"/>
  <c r="O102" i="239"/>
  <c r="O86" i="239"/>
  <c r="O76" i="239"/>
  <c r="O66" i="239"/>
  <c r="O46" i="239"/>
  <c r="O36" i="239"/>
  <c r="O26" i="239"/>
  <c r="O106" i="235"/>
  <c r="O76" i="235"/>
  <c r="O66" i="235"/>
  <c r="O56" i="235"/>
  <c r="O46" i="235"/>
  <c r="O26" i="235"/>
  <c r="O116" i="235"/>
  <c r="O36" i="238"/>
  <c r="O34" i="187"/>
  <c r="K220" i="242"/>
  <c r="K191" i="242"/>
  <c r="K133" i="242"/>
  <c r="O68" i="235"/>
  <c r="K38" i="210" l="1"/>
  <c r="K37" i="210"/>
  <c r="K36" i="210"/>
  <c r="K35" i="210"/>
  <c r="K34" i="210"/>
  <c r="K33" i="210"/>
  <c r="K32" i="210"/>
  <c r="K31" i="210"/>
  <c r="K30" i="210"/>
  <c r="K29" i="210"/>
  <c r="K28" i="210"/>
  <c r="O83" i="239"/>
  <c r="O73" i="239"/>
  <c r="O63" i="239"/>
  <c r="O43" i="239"/>
  <c r="O33" i="239"/>
  <c r="O23" i="239"/>
  <c r="O30" i="187" l="1"/>
  <c r="O23" i="187"/>
  <c r="O28" i="187" s="1"/>
  <c r="O91" i="187" s="1"/>
  <c r="K204" i="242"/>
  <c r="K174" i="242"/>
  <c r="K173" i="242"/>
  <c r="K172" i="242"/>
  <c r="K116" i="242"/>
  <c r="K115" i="242"/>
  <c r="K114" i="242"/>
  <c r="J119" i="242" l="1"/>
  <c r="K25" i="242"/>
  <c r="S180" i="206" l="1"/>
  <c r="L230" i="206" l="1"/>
  <c r="L233" i="206" s="1"/>
  <c r="L235" i="206" s="1"/>
  <c r="L236" i="206" s="1"/>
  <c r="L219" i="206"/>
  <c r="L222" i="206" s="1"/>
  <c r="L224" i="206" s="1"/>
  <c r="L225" i="206" s="1"/>
  <c r="L187" i="206"/>
  <c r="K187" i="206"/>
  <c r="L186" i="206"/>
  <c r="L184" i="206"/>
  <c r="K184" i="206"/>
  <c r="K186" i="206" s="1"/>
  <c r="L179" i="206"/>
  <c r="K179" i="206"/>
  <c r="K178" i="206"/>
  <c r="L176" i="206"/>
  <c r="L178" i="206" s="1"/>
  <c r="K176" i="206"/>
  <c r="L84" i="206"/>
  <c r="L87" i="206" s="1"/>
  <c r="L89" i="206" s="1"/>
  <c r="L73" i="206"/>
  <c r="L76" i="206" s="1"/>
  <c r="L78" i="206" s="1"/>
  <c r="L56" i="206"/>
  <c r="K56" i="206"/>
  <c r="L55" i="206"/>
  <c r="K55" i="206"/>
  <c r="K58" i="206" s="1"/>
  <c r="K60" i="206" s="1"/>
  <c r="L51" i="206"/>
  <c r="K51" i="206"/>
  <c r="L29" i="206"/>
  <c r="L26" i="206"/>
  <c r="L58" i="206" l="1"/>
  <c r="L60" i="206" s="1"/>
  <c r="S30" i="205" l="1"/>
  <c r="U21" i="205"/>
  <c r="T21" i="205"/>
  <c r="S21" i="205"/>
  <c r="U95" i="235"/>
  <c r="U96" i="235" s="1"/>
  <c r="T95" i="235"/>
  <c r="T96" i="235" s="1"/>
  <c r="S95" i="235"/>
  <c r="S96" i="235" s="1"/>
  <c r="R95" i="235"/>
  <c r="R96" i="235" s="1"/>
  <c r="Q95" i="235"/>
  <c r="Q96" i="235" s="1"/>
  <c r="U85" i="235"/>
  <c r="U86" i="235" s="1"/>
  <c r="T85" i="235"/>
  <c r="T86" i="235" s="1"/>
  <c r="S85" i="235"/>
  <c r="S86" i="235" s="1"/>
  <c r="R85" i="235"/>
  <c r="R86" i="235" s="1"/>
  <c r="Q86" i="235"/>
  <c r="Q85" i="235"/>
  <c r="U25" i="235"/>
  <c r="U26" i="235" s="1"/>
  <c r="T25" i="235"/>
  <c r="T26" i="235" s="1"/>
  <c r="S25" i="235"/>
  <c r="S26" i="235" s="1"/>
  <c r="R25" i="235"/>
  <c r="R26" i="235" s="1"/>
  <c r="Q25" i="235"/>
  <c r="Q26" i="235" s="1"/>
  <c r="U75" i="235"/>
  <c r="U76" i="235" s="1"/>
  <c r="T75" i="235"/>
  <c r="S75" i="235"/>
  <c r="R75" i="235"/>
  <c r="Q75" i="235"/>
  <c r="T76" i="235"/>
  <c r="S76" i="235"/>
  <c r="R76" i="235"/>
  <c r="Q76" i="235"/>
  <c r="U55" i="235"/>
  <c r="U56" i="235" s="1"/>
  <c r="T55" i="235"/>
  <c r="T56" i="235" s="1"/>
  <c r="S55" i="235"/>
  <c r="S56" i="235" s="1"/>
  <c r="R55" i="235"/>
  <c r="R56" i="235" s="1"/>
  <c r="Q55" i="235"/>
  <c r="Q56" i="235" s="1"/>
  <c r="T45" i="235"/>
  <c r="U43" i="235"/>
  <c r="U45" i="235" s="1"/>
  <c r="T43" i="235"/>
  <c r="S43" i="235"/>
  <c r="S45" i="235" s="1"/>
  <c r="R43" i="235"/>
  <c r="R45" i="235" s="1"/>
  <c r="Q43" i="235"/>
  <c r="Q45" i="235" s="1"/>
  <c r="U115" i="235"/>
  <c r="T115" i="235"/>
  <c r="S115" i="235"/>
  <c r="R115" i="235"/>
  <c r="Q115" i="235"/>
  <c r="U103" i="235"/>
  <c r="U105" i="235" s="1"/>
  <c r="T103" i="235"/>
  <c r="T105" i="235" s="1"/>
  <c r="S103" i="235"/>
  <c r="S105" i="235" s="1"/>
  <c r="R103" i="235"/>
  <c r="R105" i="235" s="1"/>
  <c r="Q103" i="235"/>
  <c r="Q105" i="235" s="1"/>
  <c r="Q106" i="235" l="1"/>
  <c r="T106" i="235"/>
  <c r="U106" i="235"/>
  <c r="S106" i="235"/>
  <c r="R106" i="235"/>
  <c r="Q70" i="210"/>
  <c r="P70" i="210"/>
  <c r="M70" i="210"/>
  <c r="N70" i="210"/>
  <c r="O70" i="210"/>
  <c r="J70" i="210"/>
  <c r="I70" i="210"/>
  <c r="H70" i="210"/>
  <c r="G70" i="210"/>
  <c r="F70" i="210"/>
  <c r="E70" i="210"/>
  <c r="D70" i="210"/>
  <c r="C70" i="210"/>
  <c r="I52" i="245" l="1"/>
  <c r="I49" i="245"/>
  <c r="I46" i="245"/>
  <c r="I43" i="245"/>
  <c r="I40" i="245"/>
  <c r="O52" i="245" l="1"/>
  <c r="N52" i="245"/>
  <c r="M52" i="245"/>
  <c r="L52" i="245"/>
  <c r="K52" i="245"/>
  <c r="O49" i="245"/>
  <c r="N49" i="245"/>
  <c r="M49" i="245"/>
  <c r="L49" i="245"/>
  <c r="K49" i="245"/>
  <c r="O46" i="245"/>
  <c r="N46" i="245"/>
  <c r="M46" i="245"/>
  <c r="L46" i="245"/>
  <c r="K46" i="245"/>
  <c r="O43" i="245"/>
  <c r="N43" i="245"/>
  <c r="M43" i="245"/>
  <c r="L43" i="245"/>
  <c r="K43" i="245"/>
  <c r="O40" i="245"/>
  <c r="N40" i="245"/>
  <c r="M40" i="245"/>
  <c r="L40" i="245"/>
  <c r="K40" i="245"/>
  <c r="P45" i="245"/>
  <c r="P44" i="245"/>
  <c r="P48" i="245"/>
  <c r="P47" i="245"/>
  <c r="P43" i="245" l="1"/>
  <c r="P46" i="245"/>
  <c r="O35" i="245"/>
  <c r="N35" i="245"/>
  <c r="M35" i="245"/>
  <c r="L35" i="245"/>
  <c r="O34" i="245"/>
  <c r="N34" i="245"/>
  <c r="M34" i="245"/>
  <c r="L34" i="245"/>
  <c r="O33" i="245"/>
  <c r="N33" i="245"/>
  <c r="M33" i="245"/>
  <c r="L33" i="245"/>
  <c r="O32" i="245"/>
  <c r="N32" i="245"/>
  <c r="M32" i="245"/>
  <c r="L32" i="245"/>
  <c r="O31" i="245"/>
  <c r="N31" i="245"/>
  <c r="M31" i="245"/>
  <c r="L31" i="245"/>
  <c r="O30" i="245"/>
  <c r="N30" i="245"/>
  <c r="M30" i="245"/>
  <c r="L30" i="245"/>
  <c r="O29" i="245"/>
  <c r="N29" i="245"/>
  <c r="M29" i="245"/>
  <c r="L29" i="245"/>
  <c r="O28" i="245"/>
  <c r="N28" i="245"/>
  <c r="M28" i="245"/>
  <c r="L28" i="245"/>
  <c r="O27" i="245"/>
  <c r="N27" i="245"/>
  <c r="M27" i="245"/>
  <c r="L27" i="245"/>
  <c r="O26" i="245"/>
  <c r="N26" i="245"/>
  <c r="M26" i="245"/>
  <c r="L26" i="245"/>
  <c r="O25" i="245"/>
  <c r="N25" i="245"/>
  <c r="M25" i="245"/>
  <c r="L25" i="245"/>
  <c r="O24" i="245"/>
  <c r="N24" i="245"/>
  <c r="M24" i="245"/>
  <c r="L24" i="245"/>
  <c r="O23" i="245"/>
  <c r="N23" i="245"/>
  <c r="M23" i="245"/>
  <c r="L23" i="245"/>
  <c r="O22" i="245"/>
  <c r="N22" i="245"/>
  <c r="M22" i="245"/>
  <c r="L22" i="245"/>
  <c r="O21" i="245"/>
  <c r="N21" i="245"/>
  <c r="M21" i="245"/>
  <c r="L21" i="245"/>
  <c r="O20" i="245"/>
  <c r="N20" i="245"/>
  <c r="M20" i="245"/>
  <c r="L20" i="245"/>
  <c r="K35" i="245"/>
  <c r="K34" i="245"/>
  <c r="K33" i="245"/>
  <c r="K32" i="245"/>
  <c r="K31" i="245"/>
  <c r="K30" i="245"/>
  <c r="K29" i="245"/>
  <c r="K28" i="245"/>
  <c r="K27" i="245"/>
  <c r="K26" i="245"/>
  <c r="K25" i="245"/>
  <c r="K24" i="245"/>
  <c r="K23" i="245"/>
  <c r="K22" i="245"/>
  <c r="K21" i="245"/>
  <c r="K20" i="245"/>
  <c r="J22" i="245"/>
  <c r="J32" i="245"/>
  <c r="J33" i="245"/>
  <c r="J35" i="245"/>
  <c r="J34" i="245"/>
  <c r="J31" i="245"/>
  <c r="J30" i="245"/>
  <c r="J28" i="245"/>
  <c r="J29" i="245"/>
  <c r="J27" i="245"/>
  <c r="J26" i="245"/>
  <c r="J25" i="245"/>
  <c r="J24" i="245"/>
  <c r="J23" i="245"/>
  <c r="J21" i="245"/>
  <c r="J20" i="245"/>
  <c r="P33" i="245" l="1"/>
  <c r="H100" i="239"/>
  <c r="K98" i="239"/>
  <c r="K100" i="239" s="1"/>
  <c r="J98" i="239"/>
  <c r="J100" i="239" s="1"/>
  <c r="I98" i="239"/>
  <c r="I100" i="239" s="1"/>
  <c r="H98" i="239"/>
  <c r="G98" i="239"/>
  <c r="G100" i="239" s="1"/>
  <c r="J65" i="239"/>
  <c r="U123" i="235"/>
  <c r="T123" i="235"/>
  <c r="S123" i="235"/>
  <c r="R123" i="235"/>
  <c r="Q123" i="235"/>
  <c r="U122" i="235"/>
  <c r="T122" i="235"/>
  <c r="S122" i="235"/>
  <c r="R122" i="235"/>
  <c r="Q122" i="235"/>
  <c r="U121" i="235"/>
  <c r="T121" i="235"/>
  <c r="S121" i="235"/>
  <c r="R121" i="235"/>
  <c r="Q121" i="235"/>
  <c r="U118" i="235"/>
  <c r="U120" i="235" s="1"/>
  <c r="T118" i="235"/>
  <c r="T120" i="235" s="1"/>
  <c r="S118" i="235"/>
  <c r="S120" i="235" s="1"/>
  <c r="R118" i="235"/>
  <c r="R120" i="235" s="1"/>
  <c r="Q118" i="235"/>
  <c r="Q120" i="235" s="1"/>
  <c r="U108" i="235"/>
  <c r="T108" i="235"/>
  <c r="T109" i="235" s="1"/>
  <c r="T125" i="235" s="1"/>
  <c r="S108" i="235"/>
  <c r="R108" i="235"/>
  <c r="Q108" i="235"/>
  <c r="U98" i="235"/>
  <c r="U100" i="235" s="1"/>
  <c r="T98" i="235"/>
  <c r="T100" i="235" s="1"/>
  <c r="S98" i="235"/>
  <c r="S100" i="235" s="1"/>
  <c r="R98" i="235"/>
  <c r="R100" i="235" s="1"/>
  <c r="Q98" i="235"/>
  <c r="Q100" i="235" s="1"/>
  <c r="U88" i="235"/>
  <c r="U90" i="235" s="1"/>
  <c r="T88" i="235"/>
  <c r="T90" i="235" s="1"/>
  <c r="S88" i="235"/>
  <c r="S90" i="235" s="1"/>
  <c r="R88" i="235"/>
  <c r="R90" i="235" s="1"/>
  <c r="Q88" i="235"/>
  <c r="Q90" i="235" s="1"/>
  <c r="U78" i="235"/>
  <c r="U80" i="235" s="1"/>
  <c r="T78" i="235"/>
  <c r="T80" i="235" s="1"/>
  <c r="S78" i="235"/>
  <c r="S80" i="235" s="1"/>
  <c r="R78" i="235"/>
  <c r="R80" i="235" s="1"/>
  <c r="Q78" i="235"/>
  <c r="Q80" i="235" s="1"/>
  <c r="T70" i="235"/>
  <c r="U68" i="235"/>
  <c r="U70" i="235" s="1"/>
  <c r="T68" i="235"/>
  <c r="S68" i="235"/>
  <c r="S70" i="235" s="1"/>
  <c r="R68" i="235"/>
  <c r="R70" i="235" s="1"/>
  <c r="Q68" i="235"/>
  <c r="Q70" i="235" s="1"/>
  <c r="U58" i="235"/>
  <c r="U60" i="235" s="1"/>
  <c r="T58" i="235"/>
  <c r="T60" i="235" s="1"/>
  <c r="S58" i="235"/>
  <c r="S60" i="235" s="1"/>
  <c r="R58" i="235"/>
  <c r="R60" i="235" s="1"/>
  <c r="Q58" i="235"/>
  <c r="Q60" i="235" s="1"/>
  <c r="U48" i="235"/>
  <c r="U50" i="235" s="1"/>
  <c r="T48" i="235"/>
  <c r="T50" i="235" s="1"/>
  <c r="S48" i="235"/>
  <c r="S50" i="235" s="1"/>
  <c r="R48" i="235"/>
  <c r="R50" i="235" s="1"/>
  <c r="Q48" i="235"/>
  <c r="Q50" i="235" s="1"/>
  <c r="R40" i="235"/>
  <c r="U38" i="235"/>
  <c r="U40" i="235" s="1"/>
  <c r="T38" i="235"/>
  <c r="S38" i="235"/>
  <c r="R38" i="235"/>
  <c r="Q38" i="235"/>
  <c r="Q40" i="235" s="1"/>
  <c r="T30" i="235"/>
  <c r="U28" i="235"/>
  <c r="T28" i="235"/>
  <c r="S28" i="235"/>
  <c r="S30" i="235" s="1"/>
  <c r="R28" i="235"/>
  <c r="R30" i="235" s="1"/>
  <c r="Q28" i="235"/>
  <c r="K97" i="187"/>
  <c r="J97" i="187"/>
  <c r="I97" i="187"/>
  <c r="H97" i="187"/>
  <c r="G97" i="187"/>
  <c r="K87" i="187"/>
  <c r="K89" i="187" s="1"/>
  <c r="I87" i="187"/>
  <c r="I89" i="187" s="1"/>
  <c r="G87" i="187"/>
  <c r="G89" i="187" s="1"/>
  <c r="K84" i="187"/>
  <c r="J84" i="187"/>
  <c r="J87" i="187" s="1"/>
  <c r="J89" i="187" s="1"/>
  <c r="I84" i="187"/>
  <c r="H84" i="187"/>
  <c r="H96" i="187" s="1"/>
  <c r="G84" i="187"/>
  <c r="K72" i="187"/>
  <c r="I72" i="187"/>
  <c r="G72" i="187"/>
  <c r="K70" i="187"/>
  <c r="J70" i="187"/>
  <c r="J72" i="187" s="1"/>
  <c r="I70" i="187"/>
  <c r="H70" i="187"/>
  <c r="H72" i="187" s="1"/>
  <c r="G70" i="187"/>
  <c r="J53" i="187"/>
  <c r="J55" i="187" s="1"/>
  <c r="H53" i="187"/>
  <c r="H55" i="187" s="1"/>
  <c r="K50" i="187"/>
  <c r="K53" i="187" s="1"/>
  <c r="K55" i="187" s="1"/>
  <c r="J50" i="187"/>
  <c r="I50" i="187"/>
  <c r="I53" i="187" s="1"/>
  <c r="I55" i="187" s="1"/>
  <c r="H50" i="187"/>
  <c r="G50" i="187"/>
  <c r="G53" i="187" s="1"/>
  <c r="G55" i="187" s="1"/>
  <c r="K36" i="187"/>
  <c r="K38" i="187" s="1"/>
  <c r="I36" i="187"/>
  <c r="I38" i="187" s="1"/>
  <c r="G36" i="187"/>
  <c r="G38" i="187" s="1"/>
  <c r="K33" i="187"/>
  <c r="J33" i="187"/>
  <c r="J36" i="187" s="1"/>
  <c r="J38" i="187" s="1"/>
  <c r="I33" i="187"/>
  <c r="H33" i="187"/>
  <c r="H36" i="187" s="1"/>
  <c r="H38" i="187" s="1"/>
  <c r="G33" i="187"/>
  <c r="G131" i="242"/>
  <c r="F131" i="242"/>
  <c r="E131" i="242"/>
  <c r="D131" i="242"/>
  <c r="C131" i="242"/>
  <c r="G130" i="242"/>
  <c r="F130" i="242"/>
  <c r="E130" i="242"/>
  <c r="D130" i="242"/>
  <c r="C130" i="242"/>
  <c r="G129" i="242"/>
  <c r="G132" i="242" s="1"/>
  <c r="F129" i="242"/>
  <c r="E129" i="242"/>
  <c r="D129" i="242"/>
  <c r="C129" i="242"/>
  <c r="Q109" i="235" l="1"/>
  <c r="Q125" i="235" s="1"/>
  <c r="U109" i="235"/>
  <c r="U125" i="235" s="1"/>
  <c r="U124" i="235"/>
  <c r="R110" i="235"/>
  <c r="R109" i="235"/>
  <c r="R125" i="235" s="1"/>
  <c r="T110" i="235"/>
  <c r="S110" i="235"/>
  <c r="S109" i="235"/>
  <c r="S125" i="235" s="1"/>
  <c r="Q124" i="235"/>
  <c r="T124" i="235"/>
  <c r="R126" i="235"/>
  <c r="S124" i="235"/>
  <c r="R124" i="235"/>
  <c r="Q30" i="235"/>
  <c r="U30" i="235"/>
  <c r="S40" i="235"/>
  <c r="S126" i="235" s="1"/>
  <c r="T40" i="235"/>
  <c r="G96" i="187"/>
  <c r="K96" i="187"/>
  <c r="I96" i="187"/>
  <c r="H87" i="187"/>
  <c r="H89" i="187" s="1"/>
  <c r="J96" i="187"/>
  <c r="G135" i="242"/>
  <c r="G228" i="242"/>
  <c r="L21" i="224"/>
  <c r="K21" i="224"/>
  <c r="J21" i="224"/>
  <c r="I21" i="224"/>
  <c r="H21" i="224"/>
  <c r="L37" i="224"/>
  <c r="K37" i="224"/>
  <c r="J37" i="224"/>
  <c r="I37" i="224"/>
  <c r="H37" i="224"/>
  <c r="U110" i="235" l="1"/>
  <c r="T126" i="235"/>
  <c r="U126" i="235"/>
  <c r="Q110" i="235"/>
  <c r="Q126" i="235" s="1"/>
  <c r="G32" i="217"/>
  <c r="F32" i="217"/>
  <c r="E32" i="217"/>
  <c r="D32" i="217"/>
  <c r="C32" i="217"/>
  <c r="F61" i="217"/>
  <c r="F23" i="217"/>
  <c r="F25" i="217"/>
  <c r="F24" i="217"/>
  <c r="F22" i="217"/>
  <c r="F21" i="217"/>
  <c r="I120" i="223"/>
  <c r="M119" i="223"/>
  <c r="L119" i="223"/>
  <c r="K119" i="223"/>
  <c r="J119" i="223"/>
  <c r="I119" i="223"/>
  <c r="M118" i="223"/>
  <c r="L118" i="223"/>
  <c r="K118" i="223"/>
  <c r="J118" i="223"/>
  <c r="I118" i="223"/>
  <c r="M117" i="223"/>
  <c r="L117" i="223"/>
  <c r="K117" i="223"/>
  <c r="J117" i="223"/>
  <c r="I117" i="223"/>
  <c r="M116" i="223"/>
  <c r="L116" i="223"/>
  <c r="K116" i="223"/>
  <c r="J116" i="223"/>
  <c r="I116" i="223"/>
  <c r="M115" i="223"/>
  <c r="L115" i="223"/>
  <c r="K115" i="223"/>
  <c r="J115" i="223"/>
  <c r="I115" i="223"/>
  <c r="M114" i="223"/>
  <c r="L114" i="223"/>
  <c r="K114" i="223"/>
  <c r="J114" i="223"/>
  <c r="I114" i="223"/>
  <c r="M113" i="223"/>
  <c r="L113" i="223"/>
  <c r="K113" i="223"/>
  <c r="J113" i="223"/>
  <c r="I113" i="223"/>
  <c r="M112" i="223"/>
  <c r="L112" i="223"/>
  <c r="K112" i="223"/>
  <c r="J112" i="223"/>
  <c r="I112" i="223"/>
  <c r="M111" i="223"/>
  <c r="L111" i="223"/>
  <c r="K111" i="223"/>
  <c r="J111" i="223"/>
  <c r="I111" i="223"/>
  <c r="M110" i="223"/>
  <c r="L110" i="223"/>
  <c r="K110" i="223"/>
  <c r="J110" i="223"/>
  <c r="I110" i="223"/>
  <c r="J91" i="223"/>
  <c r="K91" i="223"/>
  <c r="L91" i="223"/>
  <c r="I91" i="223" a="1"/>
  <c r="I91" i="223" s="1"/>
  <c r="M91" i="223"/>
  <c r="N91" i="223"/>
  <c r="O91" i="223"/>
  <c r="P91" i="223"/>
  <c r="Q91" i="223"/>
  <c r="R91" i="223"/>
  <c r="M48" i="223"/>
  <c r="L48" i="223"/>
  <c r="K48" i="223"/>
  <c r="J48" i="223"/>
  <c r="I48" i="223"/>
  <c r="R20" i="223"/>
  <c r="R21" i="223" s="1"/>
  <c r="R24" i="223"/>
  <c r="R25" i="223" s="1"/>
  <c r="S20" i="223" l="1"/>
  <c r="S24" i="223"/>
  <c r="S25" i="223" l="1"/>
  <c r="T24" i="223"/>
  <c r="T20" i="223"/>
  <c r="S21" i="223"/>
  <c r="T25" i="223" l="1"/>
  <c r="U24" i="223"/>
  <c r="U20" i="223"/>
  <c r="T21" i="223"/>
  <c r="U25" i="223" l="1"/>
  <c r="V24" i="223"/>
  <c r="V20" i="223"/>
  <c r="U21" i="223"/>
  <c r="O33" i="237"/>
  <c r="P33" i="237" s="1"/>
  <c r="Q33" i="237" s="1"/>
  <c r="R33" i="237" s="1"/>
  <c r="S33" i="237" s="1"/>
  <c r="N33" i="237"/>
  <c r="M33" i="237"/>
  <c r="W24" i="223" l="1"/>
  <c r="W25" i="223" s="1"/>
  <c r="V25" i="223"/>
  <c r="W20" i="223"/>
  <c r="W21" i="223" s="1"/>
  <c r="V21" i="223"/>
  <c r="F34" i="228"/>
  <c r="G34" i="228"/>
  <c r="H34" i="228"/>
  <c r="I34" i="228"/>
  <c r="E34" i="228"/>
  <c r="Q76" i="222" l="1"/>
  <c r="P76" i="222"/>
  <c r="O76" i="222"/>
  <c r="N76" i="222"/>
  <c r="M76" i="222"/>
  <c r="L76" i="222"/>
  <c r="K76" i="222"/>
  <c r="J76" i="222"/>
  <c r="I76" i="222"/>
  <c r="H76" i="222"/>
  <c r="G76" i="222"/>
  <c r="F76" i="222"/>
  <c r="E76" i="222"/>
  <c r="D76" i="222"/>
  <c r="C76" i="222"/>
  <c r="O72" i="222"/>
  <c r="M72" i="222" a="1"/>
  <c r="N72" i="222" s="1"/>
  <c r="L72" i="222"/>
  <c r="K72" i="222"/>
  <c r="J72" i="222"/>
  <c r="I72" i="222"/>
  <c r="H72" i="222"/>
  <c r="E72" i="222"/>
  <c r="D72" i="222"/>
  <c r="C72" i="222" a="1"/>
  <c r="G72" i="222" s="1"/>
  <c r="Q64" i="222"/>
  <c r="P64" i="222"/>
  <c r="O64" i="222"/>
  <c r="N64" i="222"/>
  <c r="M64" i="222"/>
  <c r="L64" i="222"/>
  <c r="K64" i="222"/>
  <c r="J64" i="222"/>
  <c r="I64" i="222"/>
  <c r="H64" i="222"/>
  <c r="G64" i="222"/>
  <c r="F64" i="222"/>
  <c r="E64" i="222"/>
  <c r="D64" i="222"/>
  <c r="C64" i="222"/>
  <c r="O23" i="222"/>
  <c r="M23" i="222" a="1"/>
  <c r="N23" i="222" s="1"/>
  <c r="L23" i="222"/>
  <c r="K23" i="222"/>
  <c r="J23" i="222"/>
  <c r="I23" i="222"/>
  <c r="H23" i="222"/>
  <c r="E23" i="222"/>
  <c r="D23" i="222"/>
  <c r="C23" i="222" a="1"/>
  <c r="G23" i="222" s="1"/>
  <c r="R51" i="260"/>
  <c r="Q51" i="260"/>
  <c r="P51" i="260"/>
  <c r="Q50" i="260" s="1"/>
  <c r="O51" i="260"/>
  <c r="P50" i="260" s="1"/>
  <c r="N51" i="260"/>
  <c r="N52" i="260" s="1"/>
  <c r="M51" i="260"/>
  <c r="L51" i="260"/>
  <c r="M50" i="260" s="1"/>
  <c r="K51" i="260"/>
  <c r="J51" i="260"/>
  <c r="I51" i="260"/>
  <c r="I52" i="260" s="1"/>
  <c r="H51" i="260"/>
  <c r="G51" i="260"/>
  <c r="F51" i="260"/>
  <c r="E51" i="260"/>
  <c r="F50" i="260" s="1"/>
  <c r="D51" i="260"/>
  <c r="D52" i="260" s="1"/>
  <c r="L50" i="260"/>
  <c r="L52" i="260" s="1"/>
  <c r="B49" i="260"/>
  <c r="B48" i="260"/>
  <c r="Q43" i="260"/>
  <c r="P43" i="260"/>
  <c r="N43" i="260"/>
  <c r="M43" i="260"/>
  <c r="L43" i="260"/>
  <c r="K43" i="260"/>
  <c r="I43" i="260"/>
  <c r="G43" i="260"/>
  <c r="F43" i="260"/>
  <c r="E43" i="260"/>
  <c r="D43" i="260"/>
  <c r="R41" i="260"/>
  <c r="R43" i="260" s="1"/>
  <c r="Q41" i="260"/>
  <c r="P41" i="260"/>
  <c r="O41" i="260"/>
  <c r="O43" i="260" s="1"/>
  <c r="M41" i="260"/>
  <c r="L41" i="260"/>
  <c r="K41" i="260"/>
  <c r="J41" i="260"/>
  <c r="J43" i="260" s="1"/>
  <c r="H41" i="260"/>
  <c r="H43" i="260" s="1"/>
  <c r="G41" i="260"/>
  <c r="F41" i="260"/>
  <c r="E41" i="260"/>
  <c r="B40" i="260"/>
  <c r="B39" i="260"/>
  <c r="R33" i="260"/>
  <c r="Q33" i="260"/>
  <c r="R32" i="260" s="1"/>
  <c r="P33" i="260"/>
  <c r="Q32" i="260" s="1"/>
  <c r="O33" i="260"/>
  <c r="N33" i="260"/>
  <c r="N34" i="260" s="1"/>
  <c r="M33" i="260"/>
  <c r="L33" i="260"/>
  <c r="M32" i="260" s="1"/>
  <c r="M34" i="260" s="1"/>
  <c r="K33" i="260"/>
  <c r="L32" i="260" s="1"/>
  <c r="J33" i="260"/>
  <c r="K32" i="260" s="1"/>
  <c r="I33" i="260"/>
  <c r="I34" i="260" s="1"/>
  <c r="H33" i="260"/>
  <c r="G33" i="260"/>
  <c r="H32" i="260" s="1"/>
  <c r="F33" i="260"/>
  <c r="G32" i="260" s="1"/>
  <c r="E33" i="260"/>
  <c r="F32" i="260" s="1"/>
  <c r="D33" i="260"/>
  <c r="E32" i="260" s="1"/>
  <c r="P32" i="260"/>
  <c r="D32" i="260"/>
  <c r="B31" i="260"/>
  <c r="R27" i="260"/>
  <c r="Q27" i="260"/>
  <c r="R26" i="260" s="1"/>
  <c r="P27" i="260"/>
  <c r="Q26" i="260" s="1"/>
  <c r="O27" i="260"/>
  <c r="P26" i="260" s="1"/>
  <c r="N27" i="260"/>
  <c r="N28" i="260" s="1"/>
  <c r="M27" i="260"/>
  <c r="L27" i="260"/>
  <c r="M26" i="260" s="1"/>
  <c r="K27" i="260"/>
  <c r="L26" i="260" s="1"/>
  <c r="J27" i="260"/>
  <c r="K26" i="260" s="1"/>
  <c r="I27" i="260"/>
  <c r="I28" i="260" s="1"/>
  <c r="H27" i="260"/>
  <c r="G27" i="260"/>
  <c r="F27" i="260"/>
  <c r="G26" i="260" s="1"/>
  <c r="E27" i="260"/>
  <c r="F26" i="260" s="1"/>
  <c r="D27" i="260"/>
  <c r="E26" i="260" s="1"/>
  <c r="H26" i="260"/>
  <c r="D26" i="260"/>
  <c r="B25" i="260"/>
  <c r="B24" i="260"/>
  <c r="N19" i="260" a="1"/>
  <c r="P19" i="260" s="1"/>
  <c r="M19" i="260"/>
  <c r="L19" i="260"/>
  <c r="K19" i="260"/>
  <c r="J19" i="260"/>
  <c r="I19" i="260"/>
  <c r="D19" i="260" a="1"/>
  <c r="E19" i="260" s="1"/>
  <c r="B3" i="260"/>
  <c r="B2" i="260"/>
  <c r="B1" i="260"/>
  <c r="R52" i="259"/>
  <c r="Q52" i="259"/>
  <c r="O52" i="259"/>
  <c r="N52" i="259"/>
  <c r="M52" i="259"/>
  <c r="K52" i="259"/>
  <c r="J52" i="259"/>
  <c r="I52" i="259"/>
  <c r="H52" i="259"/>
  <c r="G52" i="259"/>
  <c r="E52" i="259"/>
  <c r="D52" i="259"/>
  <c r="R50" i="259"/>
  <c r="Q50" i="259"/>
  <c r="P50" i="259"/>
  <c r="P52" i="259" s="1"/>
  <c r="O50" i="259"/>
  <c r="M50" i="259"/>
  <c r="L50" i="259"/>
  <c r="L52" i="259" s="1"/>
  <c r="K50" i="259"/>
  <c r="J50" i="259"/>
  <c r="H50" i="259"/>
  <c r="G50" i="259"/>
  <c r="F50" i="259"/>
  <c r="F52" i="259" s="1"/>
  <c r="E50" i="259"/>
  <c r="B49" i="259"/>
  <c r="B48" i="259"/>
  <c r="R43" i="259"/>
  <c r="P43" i="259"/>
  <c r="O43" i="259"/>
  <c r="N43" i="259"/>
  <c r="L43" i="259"/>
  <c r="K43" i="259"/>
  <c r="J43" i="259"/>
  <c r="I43" i="259"/>
  <c r="H43" i="259"/>
  <c r="F43" i="259"/>
  <c r="E43" i="259"/>
  <c r="D43" i="259"/>
  <c r="R41" i="259"/>
  <c r="Q41" i="259"/>
  <c r="Q43" i="259" s="1"/>
  <c r="P41" i="259"/>
  <c r="O41" i="259"/>
  <c r="M41" i="259"/>
  <c r="M43" i="259" s="1"/>
  <c r="L41" i="259"/>
  <c r="K41" i="259"/>
  <c r="J41" i="259"/>
  <c r="H41" i="259"/>
  <c r="G41" i="259"/>
  <c r="G43" i="259" s="1"/>
  <c r="F41" i="259"/>
  <c r="E41" i="259"/>
  <c r="B40" i="259"/>
  <c r="B39" i="259"/>
  <c r="R33" i="259"/>
  <c r="Q33" i="259"/>
  <c r="R32" i="259" s="1"/>
  <c r="P33" i="259"/>
  <c r="Q32" i="259" s="1"/>
  <c r="O33" i="259"/>
  <c r="P32" i="259" s="1"/>
  <c r="N33" i="259"/>
  <c r="N34" i="259" s="1"/>
  <c r="M33" i="259"/>
  <c r="L33" i="259"/>
  <c r="M32" i="259" s="1"/>
  <c r="K33" i="259"/>
  <c r="L32" i="259" s="1"/>
  <c r="J33" i="259"/>
  <c r="I33" i="259"/>
  <c r="I34" i="259" s="1"/>
  <c r="H33" i="259"/>
  <c r="G33" i="259"/>
  <c r="H32" i="259" s="1"/>
  <c r="F33" i="259"/>
  <c r="G32" i="259" s="1"/>
  <c r="E33" i="259"/>
  <c r="F32" i="259" s="1"/>
  <c r="D33" i="259"/>
  <c r="E32" i="259" s="1"/>
  <c r="D32" i="259"/>
  <c r="B31" i="259"/>
  <c r="R27" i="259"/>
  <c r="Q27" i="259"/>
  <c r="R26" i="259" s="1"/>
  <c r="P27" i="259"/>
  <c r="Q26" i="259" s="1"/>
  <c r="O27" i="259"/>
  <c r="P26" i="259" s="1"/>
  <c r="N27" i="259"/>
  <c r="N28" i="259" s="1"/>
  <c r="M27" i="259"/>
  <c r="L27" i="259"/>
  <c r="M26" i="259" s="1"/>
  <c r="K27" i="259"/>
  <c r="L26" i="259" s="1"/>
  <c r="J27" i="259"/>
  <c r="I27" i="259"/>
  <c r="I28" i="259" s="1"/>
  <c r="H27" i="259"/>
  <c r="G27" i="259"/>
  <c r="H26" i="259" s="1"/>
  <c r="F27" i="259"/>
  <c r="G26" i="259" s="1"/>
  <c r="E27" i="259"/>
  <c r="F26" i="259" s="1"/>
  <c r="D27" i="259"/>
  <c r="E26" i="259" s="1"/>
  <c r="D26" i="259"/>
  <c r="B25" i="259"/>
  <c r="B24" i="259"/>
  <c r="N19" i="259" a="1"/>
  <c r="O19" i="259" s="1"/>
  <c r="M19" i="259"/>
  <c r="L19" i="259"/>
  <c r="K19" i="259"/>
  <c r="J19" i="259"/>
  <c r="I19" i="259"/>
  <c r="D19" i="259" a="1"/>
  <c r="H19" i="259" s="1"/>
  <c r="B3" i="259"/>
  <c r="B2" i="259"/>
  <c r="B1" i="259"/>
  <c r="F54" i="258"/>
  <c r="E54" i="258"/>
  <c r="E54" i="257" s="1"/>
  <c r="D54" i="258"/>
  <c r="D54" i="257" s="1"/>
  <c r="F53" i="258"/>
  <c r="F53" i="257" s="1"/>
  <c r="E53" i="258"/>
  <c r="D53" i="258"/>
  <c r="D53" i="257" s="1"/>
  <c r="R51" i="258"/>
  <c r="Q51" i="258"/>
  <c r="R50" i="258" s="1"/>
  <c r="P51" i="258"/>
  <c r="Q50" i="258" s="1"/>
  <c r="O51" i="258"/>
  <c r="P50" i="258" s="1"/>
  <c r="N51" i="258"/>
  <c r="O50" i="258" s="1"/>
  <c r="M51" i="258"/>
  <c r="L51" i="258"/>
  <c r="M50" i="258" s="1"/>
  <c r="K51" i="258"/>
  <c r="J51" i="258"/>
  <c r="I51" i="258"/>
  <c r="I52" i="258" s="1"/>
  <c r="H51" i="258"/>
  <c r="G51" i="258"/>
  <c r="H50" i="258" s="1"/>
  <c r="F51" i="258"/>
  <c r="G50" i="258" s="1"/>
  <c r="E51" i="258"/>
  <c r="D51" i="258"/>
  <c r="L50" i="258"/>
  <c r="K50" i="258"/>
  <c r="F50" i="258"/>
  <c r="D50" i="258"/>
  <c r="B49" i="258"/>
  <c r="B48" i="258"/>
  <c r="H45" i="258"/>
  <c r="H45" i="257" s="1"/>
  <c r="G45" i="258"/>
  <c r="F45" i="258"/>
  <c r="F45" i="257" s="1"/>
  <c r="E45" i="258"/>
  <c r="E45" i="257" s="1"/>
  <c r="D45" i="258"/>
  <c r="D45" i="257" s="1"/>
  <c r="F44" i="258"/>
  <c r="E44" i="258"/>
  <c r="E44" i="257" s="1"/>
  <c r="D44" i="258"/>
  <c r="D44" i="257" s="1"/>
  <c r="R42" i="258"/>
  <c r="R42" i="257" s="1"/>
  <c r="Q42" i="258"/>
  <c r="Q42" i="257" s="1"/>
  <c r="R41" i="257" s="1"/>
  <c r="P42" i="258"/>
  <c r="Q41" i="258" s="1"/>
  <c r="O42" i="258"/>
  <c r="P41" i="258" s="1"/>
  <c r="N42" i="258"/>
  <c r="N43" i="258" s="1"/>
  <c r="M42" i="258"/>
  <c r="M42" i="257" s="1"/>
  <c r="L42" i="258"/>
  <c r="M41" i="258" s="1"/>
  <c r="K42" i="258"/>
  <c r="K42" i="257" s="1"/>
  <c r="L41" i="257" s="1"/>
  <c r="J42" i="258"/>
  <c r="J42" i="257" s="1"/>
  <c r="K41" i="257" s="1"/>
  <c r="I42" i="258"/>
  <c r="J41" i="258" s="1"/>
  <c r="H42" i="258"/>
  <c r="H42" i="257" s="1"/>
  <c r="G42" i="258"/>
  <c r="H41" i="258" s="1"/>
  <c r="F42" i="258"/>
  <c r="G41" i="258" s="1"/>
  <c r="E42" i="258"/>
  <c r="F41" i="258" s="1"/>
  <c r="D42" i="258"/>
  <c r="E41" i="258" s="1"/>
  <c r="D41" i="258"/>
  <c r="D41" i="257" s="1"/>
  <c r="B40" i="258"/>
  <c r="B39" i="258"/>
  <c r="H36" i="258"/>
  <c r="F36" i="258"/>
  <c r="E36" i="258"/>
  <c r="E36" i="257" s="1"/>
  <c r="D36" i="258"/>
  <c r="D36" i="257" s="1"/>
  <c r="H35" i="258"/>
  <c r="H35" i="257" s="1"/>
  <c r="G35" i="258"/>
  <c r="G35" i="257" s="1"/>
  <c r="F35" i="258"/>
  <c r="F35" i="257" s="1"/>
  <c r="E35" i="258"/>
  <c r="E35" i="257" s="1"/>
  <c r="D35" i="258"/>
  <c r="R33" i="258"/>
  <c r="Q33" i="258"/>
  <c r="R32" i="258" s="1"/>
  <c r="P33" i="258"/>
  <c r="O33" i="258"/>
  <c r="N33" i="258"/>
  <c r="N34" i="258" s="1"/>
  <c r="M33" i="258"/>
  <c r="L33" i="258"/>
  <c r="M32" i="258" s="1"/>
  <c r="K33" i="258"/>
  <c r="L32" i="258" s="1"/>
  <c r="J33" i="258"/>
  <c r="K32" i="258" s="1"/>
  <c r="I33" i="258"/>
  <c r="I34" i="258" s="1"/>
  <c r="H33" i="258"/>
  <c r="G33" i="258"/>
  <c r="H32" i="258" s="1"/>
  <c r="F33" i="258"/>
  <c r="G32" i="258" s="1"/>
  <c r="E33" i="258"/>
  <c r="F32" i="258" s="1"/>
  <c r="D33" i="258"/>
  <c r="E32" i="258" s="1"/>
  <c r="E34" i="258" s="1"/>
  <c r="P32" i="258"/>
  <c r="J32" i="258"/>
  <c r="D32" i="258"/>
  <c r="R31" i="258"/>
  <c r="Q31" i="258"/>
  <c r="P31" i="258"/>
  <c r="O31" i="258"/>
  <c r="N31" i="258"/>
  <c r="M31" i="258"/>
  <c r="L31" i="258"/>
  <c r="K31" i="258"/>
  <c r="J31" i="258"/>
  <c r="I31" i="258"/>
  <c r="B31" i="258"/>
  <c r="H30" i="258"/>
  <c r="H30" i="257" s="1"/>
  <c r="G30" i="258"/>
  <c r="G30" i="257" s="1"/>
  <c r="F30" i="258"/>
  <c r="E30" i="258"/>
  <c r="E30" i="257" s="1"/>
  <c r="D30" i="258"/>
  <c r="H29" i="258"/>
  <c r="G29" i="258"/>
  <c r="G29" i="257" s="1"/>
  <c r="F29" i="258"/>
  <c r="F31" i="258" s="1"/>
  <c r="E29" i="258"/>
  <c r="E29" i="257" s="1"/>
  <c r="D29" i="258"/>
  <c r="R27" i="258"/>
  <c r="Q27" i="258"/>
  <c r="R26" i="258" s="1"/>
  <c r="R28" i="258" s="1"/>
  <c r="P27" i="258"/>
  <c r="Q26" i="258" s="1"/>
  <c r="O27" i="258"/>
  <c r="P26" i="258" s="1"/>
  <c r="N27" i="258"/>
  <c r="O26" i="258" s="1"/>
  <c r="M27" i="258"/>
  <c r="L27" i="258"/>
  <c r="M26" i="258" s="1"/>
  <c r="K27" i="258"/>
  <c r="J27" i="258"/>
  <c r="I27" i="258"/>
  <c r="I28" i="258" s="1"/>
  <c r="H27" i="258"/>
  <c r="G27" i="258"/>
  <c r="H26" i="258" s="1"/>
  <c r="F27" i="258"/>
  <c r="G26" i="258" s="1"/>
  <c r="E27" i="258"/>
  <c r="F26" i="258" s="1"/>
  <c r="F28" i="258" s="1"/>
  <c r="D27" i="258"/>
  <c r="E26" i="258" s="1"/>
  <c r="K26" i="258"/>
  <c r="D26" i="258"/>
  <c r="B25" i="258"/>
  <c r="B24" i="258"/>
  <c r="N19" i="258" a="1"/>
  <c r="Q19" i="258" s="1"/>
  <c r="M19" i="258"/>
  <c r="L19" i="258"/>
  <c r="K19" i="258"/>
  <c r="J19" i="258"/>
  <c r="I19" i="258"/>
  <c r="D19" i="258" a="1"/>
  <c r="G19" i="258" s="1"/>
  <c r="B3" i="258"/>
  <c r="B2" i="258"/>
  <c r="B1" i="258"/>
  <c r="R54" i="257"/>
  <c r="Q54" i="257"/>
  <c r="P54" i="257"/>
  <c r="O54" i="257"/>
  <c r="N54" i="257"/>
  <c r="M54" i="257"/>
  <c r="L54" i="257"/>
  <c r="K54" i="257"/>
  <c r="J54" i="257"/>
  <c r="I54" i="257"/>
  <c r="H54" i="257"/>
  <c r="G54" i="257"/>
  <c r="F54" i="257"/>
  <c r="R53" i="257"/>
  <c r="Q53" i="257"/>
  <c r="P53" i="257"/>
  <c r="O53" i="257"/>
  <c r="N53" i="257"/>
  <c r="M53" i="257"/>
  <c r="L53" i="257"/>
  <c r="K53" i="257"/>
  <c r="J53" i="257"/>
  <c r="I53" i="257"/>
  <c r="H53" i="257"/>
  <c r="G53" i="257"/>
  <c r="E53" i="257"/>
  <c r="I50" i="257"/>
  <c r="D50" i="257"/>
  <c r="B49" i="257"/>
  <c r="B48" i="257"/>
  <c r="R45" i="257"/>
  <c r="Q45" i="257"/>
  <c r="P45" i="257"/>
  <c r="O45" i="257"/>
  <c r="N45" i="257"/>
  <c r="M45" i="257"/>
  <c r="L45" i="257"/>
  <c r="K45" i="257"/>
  <c r="J45" i="257"/>
  <c r="I45" i="257"/>
  <c r="G45" i="257"/>
  <c r="R44" i="257"/>
  <c r="Q44" i="257"/>
  <c r="P44" i="257"/>
  <c r="O44" i="257"/>
  <c r="N44" i="257"/>
  <c r="M44" i="257"/>
  <c r="L44" i="257"/>
  <c r="H44" i="257"/>
  <c r="G44" i="257"/>
  <c r="F44" i="257"/>
  <c r="N42" i="257"/>
  <c r="O41" i="257" s="1"/>
  <c r="D42" i="257"/>
  <c r="E41" i="257" s="1"/>
  <c r="I41" i="257"/>
  <c r="B40" i="257"/>
  <c r="B39" i="257"/>
  <c r="H36" i="257"/>
  <c r="G36" i="257"/>
  <c r="F36" i="257"/>
  <c r="D35" i="257"/>
  <c r="I33" i="257"/>
  <c r="J32" i="257" s="1"/>
  <c r="N32" i="257"/>
  <c r="I32" i="257"/>
  <c r="B31" i="257"/>
  <c r="F30" i="257"/>
  <c r="D30" i="257"/>
  <c r="R27" i="257"/>
  <c r="N26" i="257"/>
  <c r="I26" i="257"/>
  <c r="B25" i="257"/>
  <c r="B24" i="257"/>
  <c r="N19" i="257" a="1"/>
  <c r="P19" i="257" s="1"/>
  <c r="M19" i="257"/>
  <c r="L19" i="257"/>
  <c r="K19" i="257"/>
  <c r="J19" i="257"/>
  <c r="I19" i="257"/>
  <c r="D19" i="257" a="1"/>
  <c r="E19" i="257" s="1"/>
  <c r="B3" i="257"/>
  <c r="B2" i="257"/>
  <c r="B1" i="257"/>
  <c r="P168" i="235"/>
  <c r="O168" i="235"/>
  <c r="N168" i="235"/>
  <c r="M168" i="235"/>
  <c r="L168" i="235"/>
  <c r="K168" i="235"/>
  <c r="J168" i="235"/>
  <c r="I168" i="235"/>
  <c r="H168" i="235"/>
  <c r="G168" i="235"/>
  <c r="O167" i="235"/>
  <c r="O169" i="235" s="1"/>
  <c r="G167" i="235"/>
  <c r="G169" i="235" s="1"/>
  <c r="P166" i="235"/>
  <c r="O166" i="235"/>
  <c r="N166" i="235"/>
  <c r="M166" i="235"/>
  <c r="L166" i="235"/>
  <c r="K166" i="235"/>
  <c r="J166" i="235"/>
  <c r="I166" i="235"/>
  <c r="H166" i="235"/>
  <c r="G166" i="235"/>
  <c r="O165" i="235"/>
  <c r="M165" i="235"/>
  <c r="K165" i="235"/>
  <c r="J165" i="235"/>
  <c r="I165" i="235"/>
  <c r="H165" i="235"/>
  <c r="G165" i="235"/>
  <c r="P164" i="235"/>
  <c r="P167" i="235" s="1"/>
  <c r="P169" i="235" s="1"/>
  <c r="O164" i="235"/>
  <c r="M164" i="235"/>
  <c r="M167" i="235" s="1"/>
  <c r="M169" i="235" s="1"/>
  <c r="L164" i="235"/>
  <c r="K164" i="235"/>
  <c r="K167" i="235" s="1"/>
  <c r="K169" i="235" s="1"/>
  <c r="J164" i="235"/>
  <c r="J167" i="235" s="1"/>
  <c r="J169" i="235" s="1"/>
  <c r="I164" i="235"/>
  <c r="I167" i="235" s="1"/>
  <c r="I169" i="235" s="1"/>
  <c r="H164" i="235"/>
  <c r="H167" i="235" s="1"/>
  <c r="H169" i="235" s="1"/>
  <c r="G164" i="235"/>
  <c r="N163" i="235"/>
  <c r="K163" i="235"/>
  <c r="J163" i="235"/>
  <c r="I163" i="235"/>
  <c r="P161" i="235"/>
  <c r="P163" i="235" s="1"/>
  <c r="O161" i="235"/>
  <c r="O163" i="235" s="1"/>
  <c r="N161" i="235"/>
  <c r="M161" i="235"/>
  <c r="M163" i="235" s="1"/>
  <c r="L161" i="235"/>
  <c r="L163" i="235" s="1"/>
  <c r="K161" i="235"/>
  <c r="J161" i="235"/>
  <c r="I161" i="235"/>
  <c r="H161" i="235"/>
  <c r="H163" i="235" s="1"/>
  <c r="G161" i="235"/>
  <c r="G163" i="235" s="1"/>
  <c r="P158" i="235"/>
  <c r="O158" i="235"/>
  <c r="N158" i="235"/>
  <c r="N164" i="235" s="1"/>
  <c r="N167" i="235" s="1"/>
  <c r="N169" i="235" s="1"/>
  <c r="M158" i="235"/>
  <c r="L158" i="235"/>
  <c r="K153" i="235"/>
  <c r="H153" i="235"/>
  <c r="G153" i="235"/>
  <c r="P151" i="235"/>
  <c r="P153" i="235" s="1"/>
  <c r="M151" i="235"/>
  <c r="M153" i="235" s="1"/>
  <c r="L151" i="235"/>
  <c r="L153" i="235" s="1"/>
  <c r="K151" i="235"/>
  <c r="J151" i="235"/>
  <c r="J153" i="235" s="1"/>
  <c r="I151" i="235"/>
  <c r="I153" i="235" s="1"/>
  <c r="H151" i="235"/>
  <c r="G151" i="235"/>
  <c r="P149" i="235"/>
  <c r="P165" i="235" s="1"/>
  <c r="O149" i="235"/>
  <c r="O151" i="235" s="1"/>
  <c r="O153" i="235" s="1"/>
  <c r="N149" i="235"/>
  <c r="N165" i="235" s="1"/>
  <c r="M149" i="235"/>
  <c r="L149" i="235"/>
  <c r="L165" i="235" s="1"/>
  <c r="P125" i="235"/>
  <c r="O125" i="235"/>
  <c r="N125" i="235"/>
  <c r="M125" i="235"/>
  <c r="L125" i="235"/>
  <c r="K125" i="235"/>
  <c r="J125" i="235"/>
  <c r="I125" i="235"/>
  <c r="H125" i="235"/>
  <c r="G125" i="235"/>
  <c r="P123" i="235"/>
  <c r="O123" i="235"/>
  <c r="N123" i="235"/>
  <c r="M123" i="235"/>
  <c r="L123" i="235"/>
  <c r="K123" i="235"/>
  <c r="J123" i="235"/>
  <c r="I123" i="235"/>
  <c r="H123" i="235"/>
  <c r="G123" i="235"/>
  <c r="N122" i="235"/>
  <c r="M122" i="235"/>
  <c r="L122" i="235"/>
  <c r="K122" i="235"/>
  <c r="J122" i="235"/>
  <c r="I122" i="235"/>
  <c r="H122" i="235"/>
  <c r="G122" i="235"/>
  <c r="K121" i="235"/>
  <c r="J121" i="235"/>
  <c r="I121" i="235"/>
  <c r="H121" i="235"/>
  <c r="G121" i="235"/>
  <c r="N120" i="235"/>
  <c r="J120" i="235"/>
  <c r="P118" i="235"/>
  <c r="P120" i="235" s="1"/>
  <c r="M118" i="235"/>
  <c r="M120" i="235" s="1"/>
  <c r="L118" i="235"/>
  <c r="L120" i="235" s="1"/>
  <c r="K118" i="235"/>
  <c r="K120" i="235" s="1"/>
  <c r="J118" i="235"/>
  <c r="I118" i="235"/>
  <c r="I120" i="235" s="1"/>
  <c r="H118" i="235"/>
  <c r="H120" i="235" s="1"/>
  <c r="G118" i="235"/>
  <c r="G120" i="235" s="1"/>
  <c r="P115" i="235"/>
  <c r="N115" i="235"/>
  <c r="N118" i="235" s="1"/>
  <c r="M115" i="235"/>
  <c r="L115" i="235"/>
  <c r="O115" i="235"/>
  <c r="K110" i="235"/>
  <c r="G110" i="235"/>
  <c r="M108" i="235"/>
  <c r="M110" i="235" s="1"/>
  <c r="K108" i="235"/>
  <c r="J108" i="235"/>
  <c r="J110" i="235" s="1"/>
  <c r="I108" i="235"/>
  <c r="I110" i="235" s="1"/>
  <c r="H108" i="235"/>
  <c r="H110" i="235" s="1"/>
  <c r="G108" i="235"/>
  <c r="N106" i="235"/>
  <c r="P105" i="235"/>
  <c r="P108" i="235" s="1"/>
  <c r="P110" i="235" s="1"/>
  <c r="O105" i="235"/>
  <c r="M105" i="235"/>
  <c r="L105" i="235"/>
  <c r="L108" i="235" s="1"/>
  <c r="L110" i="235" s="1"/>
  <c r="N104" i="235"/>
  <c r="N105" i="235" s="1"/>
  <c r="N108" i="235" s="1"/>
  <c r="N110" i="235" s="1"/>
  <c r="I100" i="235"/>
  <c r="N98" i="235"/>
  <c r="N100" i="235" s="1"/>
  <c r="K98" i="235"/>
  <c r="K100" i="235" s="1"/>
  <c r="J98" i="235"/>
  <c r="J100" i="235" s="1"/>
  <c r="I98" i="235"/>
  <c r="H98" i="235"/>
  <c r="H100" i="235" s="1"/>
  <c r="G98" i="235"/>
  <c r="G100" i="235" s="1"/>
  <c r="P95" i="235"/>
  <c r="N95" i="235"/>
  <c r="M95" i="235"/>
  <c r="M98" i="235" s="1"/>
  <c r="M100" i="235" s="1"/>
  <c r="L95" i="235"/>
  <c r="L98" i="235" s="1"/>
  <c r="L100" i="235" s="1"/>
  <c r="O95" i="235"/>
  <c r="O96" i="235" s="1"/>
  <c r="O98" i="235" s="1"/>
  <c r="O100" i="235" s="1"/>
  <c r="M90" i="235"/>
  <c r="K90" i="235"/>
  <c r="I90" i="235"/>
  <c r="N88" i="235"/>
  <c r="N90" i="235" s="1"/>
  <c r="L88" i="235"/>
  <c r="L90" i="235" s="1"/>
  <c r="K88" i="235"/>
  <c r="J88" i="235"/>
  <c r="J90" i="235" s="1"/>
  <c r="I88" i="235"/>
  <c r="H88" i="235"/>
  <c r="H90" i="235" s="1"/>
  <c r="G88" i="235"/>
  <c r="G90" i="235" s="1"/>
  <c r="P85" i="235"/>
  <c r="P86" i="235" s="1"/>
  <c r="O85" i="235"/>
  <c r="O88" i="235" s="1"/>
  <c r="O90" i="235" s="1"/>
  <c r="N85" i="235"/>
  <c r="M85" i="235"/>
  <c r="M88" i="235" s="1"/>
  <c r="L85" i="235"/>
  <c r="O80" i="235"/>
  <c r="K80" i="235"/>
  <c r="G80" i="235"/>
  <c r="L78" i="235"/>
  <c r="L80" i="235" s="1"/>
  <c r="K78" i="235"/>
  <c r="J78" i="235"/>
  <c r="J80" i="235" s="1"/>
  <c r="I78" i="235"/>
  <c r="I80" i="235" s="1"/>
  <c r="H78" i="235"/>
  <c r="H80" i="235" s="1"/>
  <c r="G78" i="235"/>
  <c r="P75" i="235"/>
  <c r="P76" i="235" s="1"/>
  <c r="P78" i="235" s="1"/>
  <c r="P80" i="235" s="1"/>
  <c r="O75" i="235"/>
  <c r="O78" i="235" s="1"/>
  <c r="N75" i="235"/>
  <c r="N78" i="235" s="1"/>
  <c r="N80" i="235" s="1"/>
  <c r="M75" i="235"/>
  <c r="M78" i="235" s="1"/>
  <c r="M80" i="235" s="1"/>
  <c r="L75" i="235"/>
  <c r="O70" i="235"/>
  <c r="I70" i="235"/>
  <c r="N68" i="235"/>
  <c r="N70" i="235" s="1"/>
  <c r="K68" i="235"/>
  <c r="K70" i="235" s="1"/>
  <c r="J68" i="235"/>
  <c r="J70" i="235" s="1"/>
  <c r="I68" i="235"/>
  <c r="H68" i="235"/>
  <c r="H70" i="235" s="1"/>
  <c r="G68" i="235"/>
  <c r="G70" i="235" s="1"/>
  <c r="P65" i="235"/>
  <c r="O65" i="235"/>
  <c r="N65" i="235"/>
  <c r="M65" i="235"/>
  <c r="M68" i="235" s="1"/>
  <c r="M70" i="235" s="1"/>
  <c r="L65" i="235"/>
  <c r="L68" i="235" s="1"/>
  <c r="L70" i="235" s="1"/>
  <c r="K60" i="235"/>
  <c r="G60" i="235"/>
  <c r="M58" i="235"/>
  <c r="M60" i="235" s="1"/>
  <c r="K58" i="235"/>
  <c r="J58" i="235"/>
  <c r="J60" i="235" s="1"/>
  <c r="I58" i="235"/>
  <c r="I60" i="235" s="1"/>
  <c r="H58" i="235"/>
  <c r="H60" i="235" s="1"/>
  <c r="G58" i="235"/>
  <c r="P55" i="235"/>
  <c r="N55" i="235"/>
  <c r="N58" i="235" s="1"/>
  <c r="N60" i="235" s="1"/>
  <c r="M55" i="235"/>
  <c r="L55" i="235"/>
  <c r="L58" i="235" s="1"/>
  <c r="L60" i="235" s="1"/>
  <c r="O55" i="235"/>
  <c r="J50" i="235"/>
  <c r="G50" i="235"/>
  <c r="K48" i="235"/>
  <c r="K50" i="235" s="1"/>
  <c r="J48" i="235"/>
  <c r="I48" i="235"/>
  <c r="I50" i="235" s="1"/>
  <c r="H48" i="235"/>
  <c r="H50" i="235" s="1"/>
  <c r="G48" i="235"/>
  <c r="P45" i="235"/>
  <c r="P48" i="235" s="1"/>
  <c r="P50" i="235" s="1"/>
  <c r="N45" i="235"/>
  <c r="N48" i="235" s="1"/>
  <c r="N50" i="235" s="1"/>
  <c r="M45" i="235"/>
  <c r="M48" i="235" s="1"/>
  <c r="M50" i="235" s="1"/>
  <c r="L45" i="235"/>
  <c r="L48" i="235" s="1"/>
  <c r="L50" i="235" s="1"/>
  <c r="O45" i="235"/>
  <c r="P40" i="235"/>
  <c r="L40" i="235"/>
  <c r="J40" i="235"/>
  <c r="H40" i="235"/>
  <c r="L38" i="235"/>
  <c r="K38" i="235"/>
  <c r="K40" i="235" s="1"/>
  <c r="J38" i="235"/>
  <c r="I38" i="235"/>
  <c r="I40" i="235" s="1"/>
  <c r="H38" i="235"/>
  <c r="G38" i="235"/>
  <c r="G40" i="235" s="1"/>
  <c r="P36" i="235"/>
  <c r="P38" i="235" s="1"/>
  <c r="P35" i="235"/>
  <c r="N35" i="235"/>
  <c r="N38" i="235" s="1"/>
  <c r="N40" i="235" s="1"/>
  <c r="M35" i="235"/>
  <c r="M38" i="235" s="1"/>
  <c r="M40" i="235" s="1"/>
  <c r="L35" i="235"/>
  <c r="O35" i="235"/>
  <c r="O36" i="235" s="1"/>
  <c r="L30" i="235"/>
  <c r="J30" i="235"/>
  <c r="H30" i="235"/>
  <c r="H126" i="235" s="1"/>
  <c r="L28" i="235"/>
  <c r="K28" i="235"/>
  <c r="J28" i="235"/>
  <c r="I28" i="235"/>
  <c r="I30" i="235" s="1"/>
  <c r="H28" i="235"/>
  <c r="H124" i="235" s="1"/>
  <c r="G28" i="235"/>
  <c r="P25" i="235"/>
  <c r="N25" i="235"/>
  <c r="M25" i="235"/>
  <c r="L25" i="235"/>
  <c r="L121" i="235" s="1"/>
  <c r="O25" i="235"/>
  <c r="H381" i="206"/>
  <c r="H380" i="206"/>
  <c r="H379" i="206"/>
  <c r="H378" i="206"/>
  <c r="H377" i="206"/>
  <c r="H376" i="206"/>
  <c r="H375" i="206"/>
  <c r="H374" i="206"/>
  <c r="H373" i="206"/>
  <c r="H372" i="206"/>
  <c r="H371" i="206"/>
  <c r="H370" i="206"/>
  <c r="H369" i="206"/>
  <c r="H368" i="206"/>
  <c r="H367" i="206"/>
  <c r="H366" i="206"/>
  <c r="H365" i="206"/>
  <c r="H364" i="206"/>
  <c r="H363" i="206"/>
  <c r="H362" i="206"/>
  <c r="H361" i="206"/>
  <c r="H360" i="206"/>
  <c r="H359" i="206"/>
  <c r="H358" i="206"/>
  <c r="H357" i="206"/>
  <c r="H356" i="206"/>
  <c r="H355" i="206"/>
  <c r="H354" i="206"/>
  <c r="H353" i="206"/>
  <c r="H352" i="206"/>
  <c r="H351" i="206"/>
  <c r="H350" i="206"/>
  <c r="H349" i="206"/>
  <c r="H348" i="206"/>
  <c r="H347" i="206"/>
  <c r="H346" i="206"/>
  <c r="H345" i="206"/>
  <c r="H344" i="206"/>
  <c r="H343" i="206"/>
  <c r="H342" i="206"/>
  <c r="H341" i="206"/>
  <c r="H340" i="206"/>
  <c r="H339" i="206"/>
  <c r="H338" i="206"/>
  <c r="H337" i="206"/>
  <c r="H336" i="206"/>
  <c r="H335" i="206"/>
  <c r="H334" i="206"/>
  <c r="H333" i="206"/>
  <c r="H332" i="206"/>
  <c r="H331" i="206"/>
  <c r="H330" i="206"/>
  <c r="H329" i="206"/>
  <c r="H328" i="206"/>
  <c r="H327" i="206"/>
  <c r="H326" i="206"/>
  <c r="H325" i="206"/>
  <c r="H324" i="206"/>
  <c r="H323" i="206"/>
  <c r="H322" i="206"/>
  <c r="H321" i="206"/>
  <c r="H320" i="206"/>
  <c r="H319" i="206"/>
  <c r="H318" i="206"/>
  <c r="H317" i="206"/>
  <c r="H316" i="206"/>
  <c r="H315" i="206"/>
  <c r="H314" i="206"/>
  <c r="H313" i="206"/>
  <c r="H312" i="206"/>
  <c r="H311" i="206"/>
  <c r="H310" i="206"/>
  <c r="H309" i="206"/>
  <c r="H308" i="206"/>
  <c r="H307" i="206"/>
  <c r="H306" i="206"/>
  <c r="H305" i="206"/>
  <c r="H304" i="206"/>
  <c r="H303" i="206"/>
  <c r="H302" i="206"/>
  <c r="H301" i="206"/>
  <c r="H300" i="206"/>
  <c r="H299" i="206"/>
  <c r="H298" i="206"/>
  <c r="P288" i="206"/>
  <c r="P289" i="206" s="1"/>
  <c r="L288" i="206"/>
  <c r="L289" i="206" s="1"/>
  <c r="H288" i="206"/>
  <c r="H289" i="206" s="1"/>
  <c r="D288" i="206"/>
  <c r="D289" i="206" s="1"/>
  <c r="P286" i="206"/>
  <c r="O286" i="206"/>
  <c r="O288" i="206" s="1"/>
  <c r="O289" i="206" s="1"/>
  <c r="L286" i="206"/>
  <c r="K286" i="206"/>
  <c r="K288" i="206" s="1"/>
  <c r="K289" i="206" s="1"/>
  <c r="H286" i="206"/>
  <c r="G286" i="206"/>
  <c r="G288" i="206" s="1"/>
  <c r="G289" i="206" s="1"/>
  <c r="D286" i="206"/>
  <c r="R283" i="206"/>
  <c r="R286" i="206" s="1"/>
  <c r="R288" i="206" s="1"/>
  <c r="R289" i="206" s="1"/>
  <c r="Q283" i="206"/>
  <c r="Q286" i="206" s="1"/>
  <c r="Q288" i="206" s="1"/>
  <c r="P283" i="206"/>
  <c r="O283" i="206"/>
  <c r="N283" i="206"/>
  <c r="N286" i="206" s="1"/>
  <c r="N288" i="206" s="1"/>
  <c r="N289" i="206" s="1"/>
  <c r="M283" i="206"/>
  <c r="M286" i="206" s="1"/>
  <c r="M288" i="206" s="1"/>
  <c r="L283" i="206"/>
  <c r="K283" i="206"/>
  <c r="J283" i="206"/>
  <c r="J286" i="206" s="1"/>
  <c r="J288" i="206" s="1"/>
  <c r="J289" i="206" s="1"/>
  <c r="I283" i="206"/>
  <c r="I286" i="206" s="1"/>
  <c r="I288" i="206" s="1"/>
  <c r="H283" i="206"/>
  <c r="G283" i="206"/>
  <c r="F283" i="206"/>
  <c r="F286" i="206" s="1"/>
  <c r="F288" i="206" s="1"/>
  <c r="F289" i="206" s="1"/>
  <c r="E283" i="206"/>
  <c r="E286" i="206" s="1"/>
  <c r="E288" i="206" s="1"/>
  <c r="D283" i="206"/>
  <c r="Q278" i="206"/>
  <c r="N278" i="206"/>
  <c r="M278" i="206"/>
  <c r="I278" i="206"/>
  <c r="F278" i="206"/>
  <c r="E278" i="206"/>
  <c r="Q276" i="206"/>
  <c r="P276" i="206"/>
  <c r="P278" i="206" s="1"/>
  <c r="M276" i="206"/>
  <c r="L276" i="206"/>
  <c r="L278" i="206" s="1"/>
  <c r="I276" i="206"/>
  <c r="H276" i="206"/>
  <c r="H278" i="206" s="1"/>
  <c r="E276" i="206"/>
  <c r="D276" i="206"/>
  <c r="D278" i="206" s="1"/>
  <c r="R273" i="206"/>
  <c r="R276" i="206" s="1"/>
  <c r="R278" i="206" s="1"/>
  <c r="Q273" i="206"/>
  <c r="P273" i="206"/>
  <c r="O273" i="206"/>
  <c r="O276" i="206" s="1"/>
  <c r="O278" i="206" s="1"/>
  <c r="N273" i="206"/>
  <c r="N276" i="206" s="1"/>
  <c r="M273" i="206"/>
  <c r="L273" i="206"/>
  <c r="K273" i="206"/>
  <c r="K276" i="206" s="1"/>
  <c r="K278" i="206" s="1"/>
  <c r="J273" i="206"/>
  <c r="J276" i="206" s="1"/>
  <c r="J278" i="206" s="1"/>
  <c r="I273" i="206"/>
  <c r="H273" i="206"/>
  <c r="G273" i="206"/>
  <c r="G276" i="206" s="1"/>
  <c r="G278" i="206" s="1"/>
  <c r="F273" i="206"/>
  <c r="F276" i="206" s="1"/>
  <c r="E273" i="206"/>
  <c r="D273" i="206"/>
  <c r="R268" i="206"/>
  <c r="O268" i="206"/>
  <c r="N268" i="206"/>
  <c r="K268" i="206"/>
  <c r="J268" i="206"/>
  <c r="G268" i="206"/>
  <c r="F268" i="206"/>
  <c r="R266" i="206"/>
  <c r="Q266" i="206"/>
  <c r="Q268" i="206" s="1"/>
  <c r="P266" i="206"/>
  <c r="P268" i="206" s="1"/>
  <c r="O266" i="206"/>
  <c r="N266" i="206"/>
  <c r="M266" i="206"/>
  <c r="M268" i="206" s="1"/>
  <c r="L266" i="206"/>
  <c r="L268" i="206" s="1"/>
  <c r="K266" i="206"/>
  <c r="J266" i="206"/>
  <c r="I266" i="206"/>
  <c r="I268" i="206" s="1"/>
  <c r="H266" i="206"/>
  <c r="H268" i="206" s="1"/>
  <c r="G266" i="206"/>
  <c r="F266" i="206"/>
  <c r="E266" i="206"/>
  <c r="E268" i="206" s="1"/>
  <c r="D266" i="206"/>
  <c r="D268" i="206" s="1"/>
  <c r="M250" i="206"/>
  <c r="I250" i="206"/>
  <c r="L249" i="206"/>
  <c r="L251" i="206" s="1"/>
  <c r="R248" i="206"/>
  <c r="Q248" i="206"/>
  <c r="P248" i="206"/>
  <c r="O248" i="206"/>
  <c r="N248" i="206"/>
  <c r="M248" i="206"/>
  <c r="L248" i="206"/>
  <c r="K248" i="206"/>
  <c r="J248" i="206"/>
  <c r="I248" i="206"/>
  <c r="G248" i="206"/>
  <c r="Q246" i="206"/>
  <c r="M246" i="206"/>
  <c r="I246" i="206"/>
  <c r="I247" i="206" s="1"/>
  <c r="E246" i="206"/>
  <c r="E247" i="206" s="1"/>
  <c r="Q244" i="206"/>
  <c r="P244" i="206"/>
  <c r="P246" i="206" s="1"/>
  <c r="P247" i="206" s="1"/>
  <c r="M244" i="206"/>
  <c r="L244" i="206"/>
  <c r="L246" i="206" s="1"/>
  <c r="L247" i="206" s="1"/>
  <c r="I244" i="206"/>
  <c r="H244" i="206"/>
  <c r="H246" i="206" s="1"/>
  <c r="H247" i="206" s="1"/>
  <c r="E244" i="206"/>
  <c r="D244" i="206"/>
  <c r="D246" i="206" s="1"/>
  <c r="D247" i="206" s="1"/>
  <c r="R241" i="206"/>
  <c r="R244" i="206" s="1"/>
  <c r="R246" i="206" s="1"/>
  <c r="R249" i="206" s="1"/>
  <c r="Q241" i="206"/>
  <c r="P241" i="206"/>
  <c r="O241" i="206"/>
  <c r="O244" i="206" s="1"/>
  <c r="O246" i="206" s="1"/>
  <c r="N241" i="206"/>
  <c r="N244" i="206" s="1"/>
  <c r="N246" i="206" s="1"/>
  <c r="M241" i="206"/>
  <c r="L241" i="206"/>
  <c r="K241" i="206"/>
  <c r="K244" i="206" s="1"/>
  <c r="J241" i="206"/>
  <c r="J244" i="206" s="1"/>
  <c r="I241" i="206"/>
  <c r="H241" i="206"/>
  <c r="G241" i="206"/>
  <c r="G244" i="206" s="1"/>
  <c r="F241" i="206"/>
  <c r="F244" i="206" s="1"/>
  <c r="F249" i="206" s="1"/>
  <c r="E241" i="206"/>
  <c r="D241" i="206"/>
  <c r="N236" i="206"/>
  <c r="F236" i="206"/>
  <c r="Q235" i="206"/>
  <c r="Q236" i="206" s="1"/>
  <c r="N235" i="206"/>
  <c r="M235" i="206"/>
  <c r="M236" i="206" s="1"/>
  <c r="I235" i="206"/>
  <c r="I236" i="206" s="1"/>
  <c r="F235" i="206"/>
  <c r="E235" i="206"/>
  <c r="E236" i="206" s="1"/>
  <c r="Q233" i="206"/>
  <c r="P233" i="206"/>
  <c r="P235" i="206" s="1"/>
  <c r="P236" i="206" s="1"/>
  <c r="M233" i="206"/>
  <c r="I233" i="206"/>
  <c r="H233" i="206"/>
  <c r="H235" i="206" s="1"/>
  <c r="H236" i="206" s="1"/>
  <c r="E233" i="206"/>
  <c r="D233" i="206"/>
  <c r="D235" i="206" s="1"/>
  <c r="R230" i="206"/>
  <c r="R233" i="206" s="1"/>
  <c r="R235" i="206" s="1"/>
  <c r="R236" i="206" s="1"/>
  <c r="Q230" i="206"/>
  <c r="P230" i="206"/>
  <c r="O230" i="206"/>
  <c r="O233" i="206" s="1"/>
  <c r="O235" i="206" s="1"/>
  <c r="O236" i="206" s="1"/>
  <c r="N230" i="206"/>
  <c r="N233" i="206" s="1"/>
  <c r="M230" i="206"/>
  <c r="K230" i="206"/>
  <c r="K233" i="206" s="1"/>
  <c r="K235" i="206" s="1"/>
  <c r="K236" i="206" s="1"/>
  <c r="J230" i="206"/>
  <c r="J233" i="206" s="1"/>
  <c r="J235" i="206" s="1"/>
  <c r="J236" i="206" s="1"/>
  <c r="I230" i="206"/>
  <c r="H230" i="206"/>
  <c r="G230" i="206"/>
  <c r="G233" i="206" s="1"/>
  <c r="G235" i="206" s="1"/>
  <c r="G236" i="206" s="1"/>
  <c r="F230" i="206"/>
  <c r="F233" i="206" s="1"/>
  <c r="E230" i="206"/>
  <c r="D230" i="206"/>
  <c r="H226" i="206"/>
  <c r="G226" i="206"/>
  <c r="F226" i="206"/>
  <c r="E226" i="206"/>
  <c r="D226" i="206"/>
  <c r="R224" i="206"/>
  <c r="R225" i="206" s="1"/>
  <c r="N224" i="206"/>
  <c r="N225" i="206" s="1"/>
  <c r="J224" i="206"/>
  <c r="J225" i="206" s="1"/>
  <c r="F224" i="206"/>
  <c r="F225" i="206" s="1"/>
  <c r="R222" i="206"/>
  <c r="N222" i="206"/>
  <c r="M222" i="206"/>
  <c r="M224" i="206" s="1"/>
  <c r="M225" i="206" s="1"/>
  <c r="J222" i="206"/>
  <c r="F222" i="206"/>
  <c r="E222" i="206"/>
  <c r="E224" i="206" s="1"/>
  <c r="E225" i="206" s="1"/>
  <c r="R219" i="206"/>
  <c r="Q219" i="206"/>
  <c r="Q222" i="206" s="1"/>
  <c r="Q224" i="206" s="1"/>
  <c r="Q225" i="206" s="1"/>
  <c r="P219" i="206"/>
  <c r="P222" i="206" s="1"/>
  <c r="P224" i="206" s="1"/>
  <c r="P225" i="206" s="1"/>
  <c r="O219" i="206"/>
  <c r="O222" i="206" s="1"/>
  <c r="O224" i="206" s="1"/>
  <c r="O225" i="206" s="1"/>
  <c r="N219" i="206"/>
  <c r="M219" i="206"/>
  <c r="K219" i="206"/>
  <c r="K222" i="206" s="1"/>
  <c r="K224" i="206" s="1"/>
  <c r="K225" i="206" s="1"/>
  <c r="J219" i="206"/>
  <c r="I219" i="206"/>
  <c r="I222" i="206" s="1"/>
  <c r="I224" i="206" s="1"/>
  <c r="I225" i="206" s="1"/>
  <c r="H219" i="206"/>
  <c r="H222" i="206" s="1"/>
  <c r="H224" i="206" s="1"/>
  <c r="G219" i="206"/>
  <c r="G222" i="206" s="1"/>
  <c r="G224" i="206" s="1"/>
  <c r="G225" i="206" s="1"/>
  <c r="F219" i="206"/>
  <c r="E219" i="206"/>
  <c r="D219" i="206"/>
  <c r="D222" i="206" s="1"/>
  <c r="D224" i="206" s="1"/>
  <c r="H215" i="206"/>
  <c r="H248" i="206" s="1"/>
  <c r="G215" i="206"/>
  <c r="F215" i="206"/>
  <c r="F248" i="206" s="1"/>
  <c r="E215" i="206"/>
  <c r="D215" i="206"/>
  <c r="M213" i="206"/>
  <c r="G213" i="206"/>
  <c r="Q212" i="206"/>
  <c r="Q250" i="206" s="1"/>
  <c r="L212" i="206"/>
  <c r="L250" i="206" s="1"/>
  <c r="K212" i="206"/>
  <c r="J212" i="206"/>
  <c r="J250" i="206" s="1"/>
  <c r="I212" i="206"/>
  <c r="G212" i="206"/>
  <c r="G250" i="206" s="1"/>
  <c r="R211" i="206"/>
  <c r="Q211" i="206"/>
  <c r="P211" i="206"/>
  <c r="O211" i="206"/>
  <c r="N211" i="206"/>
  <c r="M211" i="206"/>
  <c r="L211" i="206"/>
  <c r="K211" i="206"/>
  <c r="J211" i="206"/>
  <c r="I211" i="206"/>
  <c r="H211" i="206"/>
  <c r="G211" i="206"/>
  <c r="F211" i="206"/>
  <c r="E211" i="206"/>
  <c r="D211" i="206"/>
  <c r="Q210" i="206"/>
  <c r="O210" i="206"/>
  <c r="M210" i="206"/>
  <c r="L210" i="206"/>
  <c r="I210" i="206"/>
  <c r="G210" i="206"/>
  <c r="E210" i="206"/>
  <c r="D210" i="206"/>
  <c r="P208" i="206"/>
  <c r="P210" i="206" s="1"/>
  <c r="N208" i="206"/>
  <c r="N210" i="206" s="1"/>
  <c r="L208" i="206"/>
  <c r="K208" i="206"/>
  <c r="K210" i="206" s="1"/>
  <c r="J208" i="206"/>
  <c r="J210" i="206" s="1"/>
  <c r="I208" i="206"/>
  <c r="H208" i="206"/>
  <c r="H210" i="206" s="1"/>
  <c r="G208" i="206"/>
  <c r="F208" i="206"/>
  <c r="F210" i="206" s="1"/>
  <c r="E208" i="206"/>
  <c r="D208" i="206"/>
  <c r="R206" i="206"/>
  <c r="R208" i="206" s="1"/>
  <c r="R210" i="206" s="1"/>
  <c r="Q206" i="206"/>
  <c r="Q208" i="206" s="1"/>
  <c r="P206" i="206"/>
  <c r="O206" i="206"/>
  <c r="O208" i="206" s="1"/>
  <c r="N206" i="206"/>
  <c r="M206" i="206"/>
  <c r="M208" i="206" s="1"/>
  <c r="Q203" i="206"/>
  <c r="P203" i="206"/>
  <c r="L203" i="206"/>
  <c r="Q202" i="206"/>
  <c r="R200" i="206"/>
  <c r="R202" i="206" s="1"/>
  <c r="P200" i="206"/>
  <c r="P202" i="206" s="1"/>
  <c r="N200" i="206"/>
  <c r="N202" i="206" s="1"/>
  <c r="L200" i="206"/>
  <c r="L202" i="206" s="1"/>
  <c r="R198" i="206"/>
  <c r="Q198" i="206"/>
  <c r="Q200" i="206" s="1"/>
  <c r="P198" i="206"/>
  <c r="O198" i="206"/>
  <c r="O200" i="206" s="1"/>
  <c r="O202" i="206" s="1"/>
  <c r="N198" i="206"/>
  <c r="M198" i="206"/>
  <c r="M200" i="206" s="1"/>
  <c r="M202" i="206" s="1"/>
  <c r="R196" i="206"/>
  <c r="R203" i="206" s="1"/>
  <c r="Q196" i="206"/>
  <c r="P196" i="206"/>
  <c r="O196" i="206"/>
  <c r="O203" i="206" s="1"/>
  <c r="N196" i="206"/>
  <c r="N203" i="206" s="1"/>
  <c r="M196" i="206"/>
  <c r="M203" i="206" s="1"/>
  <c r="Q195" i="206"/>
  <c r="O195" i="206"/>
  <c r="M195" i="206"/>
  <c r="L195" i="206"/>
  <c r="P194" i="206"/>
  <c r="L194" i="206"/>
  <c r="Q192" i="206"/>
  <c r="Q194" i="206" s="1"/>
  <c r="O192" i="206"/>
  <c r="O194" i="206" s="1"/>
  <c r="M192" i="206"/>
  <c r="M194" i="206" s="1"/>
  <c r="L192" i="206"/>
  <c r="R190" i="206"/>
  <c r="R192" i="206" s="1"/>
  <c r="R194" i="206" s="1"/>
  <c r="Q190" i="206"/>
  <c r="P190" i="206"/>
  <c r="P192" i="206" s="1"/>
  <c r="O190" i="206"/>
  <c r="N190" i="206"/>
  <c r="N192" i="206" s="1"/>
  <c r="N194" i="206" s="1"/>
  <c r="M190" i="206"/>
  <c r="R188" i="206"/>
  <c r="R195" i="206" s="1"/>
  <c r="Q188" i="206"/>
  <c r="P188" i="206"/>
  <c r="P195" i="206" s="1"/>
  <c r="O188" i="206"/>
  <c r="N188" i="206"/>
  <c r="N195" i="206" s="1"/>
  <c r="M188" i="206"/>
  <c r="R187" i="206"/>
  <c r="P187" i="206"/>
  <c r="N187" i="206"/>
  <c r="J187" i="206"/>
  <c r="I187" i="206"/>
  <c r="H187" i="206"/>
  <c r="F187" i="206"/>
  <c r="D187" i="206"/>
  <c r="O186" i="206"/>
  <c r="I186" i="206"/>
  <c r="G186" i="206"/>
  <c r="E186" i="206"/>
  <c r="R184" i="206"/>
  <c r="R186" i="206" s="1"/>
  <c r="P184" i="206"/>
  <c r="P186" i="206" s="1"/>
  <c r="N184" i="206"/>
  <c r="N186" i="206" s="1"/>
  <c r="J184" i="206"/>
  <c r="J186" i="206" s="1"/>
  <c r="I184" i="206"/>
  <c r="H184" i="206"/>
  <c r="H186" i="206" s="1"/>
  <c r="G184" i="206"/>
  <c r="F184" i="206"/>
  <c r="F186" i="206" s="1"/>
  <c r="E184" i="206"/>
  <c r="D184" i="206"/>
  <c r="D186" i="206" s="1"/>
  <c r="R182" i="206"/>
  <c r="Q182" i="206"/>
  <c r="Q184" i="206" s="1"/>
  <c r="Q186" i="206" s="1"/>
  <c r="P182" i="206"/>
  <c r="O182" i="206"/>
  <c r="O184" i="206" s="1"/>
  <c r="N182" i="206"/>
  <c r="M182" i="206"/>
  <c r="M184" i="206" s="1"/>
  <c r="M186" i="206" s="1"/>
  <c r="R180" i="206"/>
  <c r="Q180" i="206"/>
  <c r="Q187" i="206" s="1"/>
  <c r="P180" i="206"/>
  <c r="O180" i="206"/>
  <c r="O187" i="206" s="1"/>
  <c r="N180" i="206"/>
  <c r="M180" i="206"/>
  <c r="M187" i="206" s="1"/>
  <c r="H180" i="206"/>
  <c r="G180" i="206"/>
  <c r="G187" i="206" s="1"/>
  <c r="F180" i="206"/>
  <c r="E180" i="206"/>
  <c r="E187" i="206" s="1"/>
  <c r="D180" i="206"/>
  <c r="P179" i="206"/>
  <c r="O179" i="206"/>
  <c r="J179" i="206"/>
  <c r="I179" i="206"/>
  <c r="G179" i="206"/>
  <c r="D179" i="206"/>
  <c r="M178" i="206"/>
  <c r="I178" i="206"/>
  <c r="G178" i="206"/>
  <c r="E178" i="206"/>
  <c r="R176" i="206"/>
  <c r="P176" i="206"/>
  <c r="P178" i="206" s="1"/>
  <c r="N176" i="206"/>
  <c r="M176" i="206"/>
  <c r="J176" i="206"/>
  <c r="I176" i="206"/>
  <c r="I213" i="206" s="1"/>
  <c r="H176" i="206"/>
  <c r="G176" i="206"/>
  <c r="F176" i="206"/>
  <c r="E176" i="206"/>
  <c r="E213" i="206" s="1"/>
  <c r="D176" i="206"/>
  <c r="R174" i="206"/>
  <c r="Q174" i="206"/>
  <c r="Q176" i="206" s="1"/>
  <c r="P174" i="206"/>
  <c r="O174" i="206"/>
  <c r="O176" i="206" s="1"/>
  <c r="O213" i="206" s="1"/>
  <c r="N174" i="206"/>
  <c r="R172" i="206"/>
  <c r="Q172" i="206"/>
  <c r="Q179" i="206" s="1"/>
  <c r="P172" i="206"/>
  <c r="P212" i="206" s="1"/>
  <c r="P250" i="206" s="1"/>
  <c r="O172" i="206"/>
  <c r="O212" i="206" s="1"/>
  <c r="N172" i="206"/>
  <c r="N212" i="206" s="1"/>
  <c r="N250" i="206" s="1"/>
  <c r="M172" i="206"/>
  <c r="M212" i="206" s="1"/>
  <c r="H172" i="206"/>
  <c r="G172" i="206"/>
  <c r="F172" i="206"/>
  <c r="E172" i="206"/>
  <c r="E179" i="206" s="1"/>
  <c r="D172" i="206"/>
  <c r="D212" i="206" s="1"/>
  <c r="M159" i="206"/>
  <c r="L159" i="206"/>
  <c r="K159" i="206"/>
  <c r="J159" i="206"/>
  <c r="I159" i="206"/>
  <c r="H154" i="206"/>
  <c r="E154" i="206"/>
  <c r="L152" i="206"/>
  <c r="L154" i="206" s="1"/>
  <c r="K152" i="206"/>
  <c r="K154" i="206" s="1"/>
  <c r="J152" i="206"/>
  <c r="J154" i="206" s="1"/>
  <c r="H152" i="206"/>
  <c r="G152" i="206"/>
  <c r="G154" i="206" s="1"/>
  <c r="F152" i="206"/>
  <c r="F154" i="206" s="1"/>
  <c r="E152" i="206"/>
  <c r="D152" i="206"/>
  <c r="D154" i="206" s="1"/>
  <c r="M149" i="206"/>
  <c r="M152" i="206" s="1"/>
  <c r="M154" i="206" s="1"/>
  <c r="L149" i="206"/>
  <c r="K149" i="206"/>
  <c r="J149" i="206"/>
  <c r="I149" i="206"/>
  <c r="I152" i="206" s="1"/>
  <c r="I154" i="206" s="1"/>
  <c r="I145" i="206"/>
  <c r="G145" i="206"/>
  <c r="M143" i="206"/>
  <c r="M145" i="206" s="1"/>
  <c r="L143" i="206"/>
  <c r="L145" i="206" s="1"/>
  <c r="I143" i="206"/>
  <c r="H143" i="206"/>
  <c r="H145" i="206" s="1"/>
  <c r="G143" i="206"/>
  <c r="F143" i="206"/>
  <c r="F145" i="206" s="1"/>
  <c r="E143" i="206"/>
  <c r="E145" i="206" s="1"/>
  <c r="D143" i="206"/>
  <c r="D145" i="206" s="1"/>
  <c r="M140" i="206"/>
  <c r="L140" i="206"/>
  <c r="K140" i="206"/>
  <c r="K143" i="206" s="1"/>
  <c r="K145" i="206" s="1"/>
  <c r="J140" i="206"/>
  <c r="J143" i="206" s="1"/>
  <c r="J145" i="206" s="1"/>
  <c r="I140" i="206"/>
  <c r="H136" i="206"/>
  <c r="D136" i="206"/>
  <c r="M134" i="206"/>
  <c r="M136" i="206" s="1"/>
  <c r="J134" i="206"/>
  <c r="J136" i="206" s="1"/>
  <c r="I134" i="206"/>
  <c r="I136" i="206" s="1"/>
  <c r="H134" i="206"/>
  <c r="G134" i="206"/>
  <c r="G136" i="206" s="1"/>
  <c r="F134" i="206"/>
  <c r="F136" i="206" s="1"/>
  <c r="E134" i="206"/>
  <c r="E136" i="206" s="1"/>
  <c r="D134" i="206"/>
  <c r="M131" i="206"/>
  <c r="L131" i="206"/>
  <c r="L134" i="206" s="1"/>
  <c r="L136" i="206" s="1"/>
  <c r="K131" i="206"/>
  <c r="K134" i="206" s="1"/>
  <c r="K136" i="206" s="1"/>
  <c r="J131" i="206"/>
  <c r="I131" i="206"/>
  <c r="H127" i="206"/>
  <c r="E127" i="206"/>
  <c r="D127" i="206"/>
  <c r="L125" i="206"/>
  <c r="L127" i="206" s="1"/>
  <c r="K125" i="206"/>
  <c r="K127" i="206" s="1"/>
  <c r="H125" i="206"/>
  <c r="G125" i="206"/>
  <c r="G127" i="206" s="1"/>
  <c r="F125" i="206"/>
  <c r="F127" i="206" s="1"/>
  <c r="E125" i="206"/>
  <c r="D125" i="206"/>
  <c r="M122" i="206"/>
  <c r="M125" i="206" s="1"/>
  <c r="M127" i="206" s="1"/>
  <c r="L122" i="206"/>
  <c r="K122" i="206"/>
  <c r="J122" i="206"/>
  <c r="I122" i="206"/>
  <c r="R110" i="206"/>
  <c r="Q110" i="206"/>
  <c r="P110" i="206"/>
  <c r="O110" i="206"/>
  <c r="N110" i="206"/>
  <c r="M110" i="206"/>
  <c r="L110" i="206"/>
  <c r="K110" i="206"/>
  <c r="J110" i="206"/>
  <c r="I110" i="206"/>
  <c r="H110" i="206"/>
  <c r="G110" i="206"/>
  <c r="F110" i="206"/>
  <c r="E110" i="206"/>
  <c r="D110" i="206"/>
  <c r="R108" i="206"/>
  <c r="Q108" i="206"/>
  <c r="P108" i="206"/>
  <c r="O108" i="206"/>
  <c r="N108" i="206"/>
  <c r="M108" i="206"/>
  <c r="L108" i="206"/>
  <c r="K108" i="206"/>
  <c r="J108" i="206"/>
  <c r="I108" i="206"/>
  <c r="H108" i="206"/>
  <c r="G108" i="206"/>
  <c r="F108" i="206"/>
  <c r="E108" i="206"/>
  <c r="D108" i="206"/>
  <c r="R107" i="206"/>
  <c r="Q107" i="206"/>
  <c r="P107" i="206"/>
  <c r="O107" i="206"/>
  <c r="N107" i="206"/>
  <c r="M107" i="206"/>
  <c r="K107" i="206"/>
  <c r="J107" i="206"/>
  <c r="I107" i="206"/>
  <c r="H107" i="206"/>
  <c r="G107" i="206"/>
  <c r="F107" i="206"/>
  <c r="E107" i="206"/>
  <c r="D107" i="206"/>
  <c r="Q106" i="206"/>
  <c r="I106" i="206"/>
  <c r="E106" i="206"/>
  <c r="R105" i="206"/>
  <c r="Q105" i="206"/>
  <c r="P105" i="206"/>
  <c r="O105" i="206"/>
  <c r="N105" i="206"/>
  <c r="M105" i="206"/>
  <c r="L105" i="206"/>
  <c r="K105" i="206"/>
  <c r="J105" i="206"/>
  <c r="I105" i="206"/>
  <c r="H105" i="206"/>
  <c r="G105" i="206"/>
  <c r="F105" i="206"/>
  <c r="E105" i="206"/>
  <c r="D105" i="206"/>
  <c r="R104" i="206"/>
  <c r="Q104" i="206"/>
  <c r="P104" i="206"/>
  <c r="O104" i="206"/>
  <c r="N104" i="206"/>
  <c r="M104" i="206"/>
  <c r="L104" i="206"/>
  <c r="K104" i="206"/>
  <c r="J104" i="206"/>
  <c r="I104" i="206"/>
  <c r="H104" i="206"/>
  <c r="G104" i="206"/>
  <c r="F104" i="206"/>
  <c r="E104" i="206"/>
  <c r="D104" i="206"/>
  <c r="R103" i="206"/>
  <c r="Q103" i="206"/>
  <c r="P103" i="206"/>
  <c r="O103" i="206"/>
  <c r="N103" i="206"/>
  <c r="M103" i="206"/>
  <c r="L103" i="206"/>
  <c r="K103" i="206"/>
  <c r="J103" i="206"/>
  <c r="I103" i="206"/>
  <c r="H103" i="206"/>
  <c r="G103" i="206"/>
  <c r="F103" i="206"/>
  <c r="E103" i="206"/>
  <c r="D103" i="206"/>
  <c r="R102" i="206"/>
  <c r="Q102" i="206"/>
  <c r="P102" i="206"/>
  <c r="O102" i="206"/>
  <c r="N102" i="206"/>
  <c r="M102" i="206"/>
  <c r="L102" i="206"/>
  <c r="K102" i="206"/>
  <c r="J102" i="206"/>
  <c r="I102" i="206"/>
  <c r="H102" i="206"/>
  <c r="E102" i="206"/>
  <c r="P100" i="206"/>
  <c r="J100" i="206"/>
  <c r="D100" i="206"/>
  <c r="Q98" i="206"/>
  <c r="Q100" i="206" s="1"/>
  <c r="K98" i="206"/>
  <c r="K100" i="206" s="1"/>
  <c r="I98" i="206"/>
  <c r="I100" i="206" s="1"/>
  <c r="G98" i="206"/>
  <c r="G100" i="206" s="1"/>
  <c r="E98" i="206"/>
  <c r="E100" i="206" s="1"/>
  <c r="L96" i="206"/>
  <c r="L98" i="206" s="1"/>
  <c r="L100" i="206" s="1"/>
  <c r="R95" i="206"/>
  <c r="R98" i="206" s="1"/>
  <c r="R100" i="206" s="1"/>
  <c r="Q95" i="206"/>
  <c r="P95" i="206"/>
  <c r="P98" i="206" s="1"/>
  <c r="O95" i="206"/>
  <c r="O98" i="206" s="1"/>
  <c r="O100" i="206" s="1"/>
  <c r="N95" i="206"/>
  <c r="N98" i="206" s="1"/>
  <c r="N100" i="206" s="1"/>
  <c r="M95" i="206"/>
  <c r="M106" i="206" s="1"/>
  <c r="K95" i="206"/>
  <c r="J95" i="206"/>
  <c r="J98" i="206" s="1"/>
  <c r="I95" i="206"/>
  <c r="H95" i="206"/>
  <c r="H98" i="206" s="1"/>
  <c r="H100" i="206" s="1"/>
  <c r="G95" i="206"/>
  <c r="F95" i="206"/>
  <c r="F98" i="206" s="1"/>
  <c r="F100" i="206" s="1"/>
  <c r="E95" i="206"/>
  <c r="D95" i="206"/>
  <c r="D98" i="206" s="1"/>
  <c r="M89" i="206"/>
  <c r="E89" i="206"/>
  <c r="R87" i="206"/>
  <c r="R89" i="206" s="1"/>
  <c r="P87" i="206"/>
  <c r="P89" i="206" s="1"/>
  <c r="N87" i="206"/>
  <c r="N89" i="206" s="1"/>
  <c r="J87" i="206"/>
  <c r="J89" i="206" s="1"/>
  <c r="H87" i="206"/>
  <c r="H89" i="206" s="1"/>
  <c r="F87" i="206"/>
  <c r="F89" i="206" s="1"/>
  <c r="D87" i="206"/>
  <c r="D89" i="206" s="1"/>
  <c r="R84" i="206"/>
  <c r="Q84" i="206"/>
  <c r="Q87" i="206" s="1"/>
  <c r="Q89" i="206" s="1"/>
  <c r="P84" i="206"/>
  <c r="O84" i="206"/>
  <c r="O87" i="206" s="1"/>
  <c r="O89" i="206" s="1"/>
  <c r="N84" i="206"/>
  <c r="M84" i="206"/>
  <c r="M87" i="206" s="1"/>
  <c r="K84" i="206"/>
  <c r="K87" i="206" s="1"/>
  <c r="K89" i="206" s="1"/>
  <c r="J84" i="206"/>
  <c r="I84" i="206"/>
  <c r="I87" i="206" s="1"/>
  <c r="I89" i="206" s="1"/>
  <c r="H84" i="206"/>
  <c r="G84" i="206"/>
  <c r="G87" i="206" s="1"/>
  <c r="G89" i="206" s="1"/>
  <c r="F84" i="206"/>
  <c r="E84" i="206"/>
  <c r="E87" i="206" s="1"/>
  <c r="D84" i="206"/>
  <c r="G80" i="206"/>
  <c r="G51" i="206" s="1"/>
  <c r="F80" i="206"/>
  <c r="E80" i="206"/>
  <c r="D80" i="206"/>
  <c r="Q76" i="206"/>
  <c r="O76" i="206"/>
  <c r="M76" i="206"/>
  <c r="K76" i="206"/>
  <c r="I76" i="206"/>
  <c r="G76" i="206"/>
  <c r="E76" i="206"/>
  <c r="R73" i="206"/>
  <c r="Q73" i="206"/>
  <c r="P73" i="206"/>
  <c r="O73" i="206"/>
  <c r="N73" i="206"/>
  <c r="M73" i="206"/>
  <c r="K73" i="206"/>
  <c r="J73" i="206"/>
  <c r="I73" i="206"/>
  <c r="H73" i="206"/>
  <c r="G73" i="206"/>
  <c r="F73" i="206"/>
  <c r="E73" i="206"/>
  <c r="D73" i="206"/>
  <c r="G69" i="206"/>
  <c r="F69" i="206"/>
  <c r="F102" i="206" s="1"/>
  <c r="E69" i="206"/>
  <c r="D69" i="206"/>
  <c r="D102" i="206" s="1"/>
  <c r="I60" i="206"/>
  <c r="P58" i="206"/>
  <c r="P60" i="206" s="1"/>
  <c r="N58" i="206"/>
  <c r="N60" i="206" s="1"/>
  <c r="J58" i="206"/>
  <c r="J60" i="206" s="1"/>
  <c r="I58" i="206"/>
  <c r="D58" i="206"/>
  <c r="D60" i="206" s="1"/>
  <c r="Q56" i="206"/>
  <c r="H56" i="206"/>
  <c r="G56" i="206"/>
  <c r="F56" i="206"/>
  <c r="E56" i="206"/>
  <c r="D56" i="206"/>
  <c r="R55" i="206"/>
  <c r="R56" i="206" s="1"/>
  <c r="P55" i="206"/>
  <c r="P56" i="206" s="1"/>
  <c r="N55" i="206"/>
  <c r="N56" i="206" s="1"/>
  <c r="J55" i="206"/>
  <c r="I55" i="206"/>
  <c r="H55" i="206"/>
  <c r="H58" i="206" s="1"/>
  <c r="H60" i="206" s="1"/>
  <c r="F55" i="206"/>
  <c r="F58" i="206" s="1"/>
  <c r="F60" i="206" s="1"/>
  <c r="D55" i="206"/>
  <c r="R53" i="206"/>
  <c r="Q53" i="206"/>
  <c r="Q55" i="206" s="1"/>
  <c r="P53" i="206"/>
  <c r="O53" i="206"/>
  <c r="O55" i="206" s="1"/>
  <c r="N53" i="206"/>
  <c r="M55" i="206"/>
  <c r="H53" i="206"/>
  <c r="G53" i="206"/>
  <c r="G55" i="206" s="1"/>
  <c r="F53" i="206"/>
  <c r="E53" i="206"/>
  <c r="E55" i="206" s="1"/>
  <c r="E58" i="206" s="1"/>
  <c r="E60" i="206" s="1"/>
  <c r="D53" i="206"/>
  <c r="J51" i="206"/>
  <c r="H51" i="206"/>
  <c r="F51" i="206"/>
  <c r="E51" i="206"/>
  <c r="O42" i="206"/>
  <c r="J42" i="206"/>
  <c r="E42" i="206"/>
  <c r="R41" i="206"/>
  <c r="R42" i="206" s="1"/>
  <c r="Q41" i="206"/>
  <c r="P41" i="206"/>
  <c r="O41" i="206"/>
  <c r="N41" i="206"/>
  <c r="N42" i="206" s="1"/>
  <c r="M41" i="206"/>
  <c r="M42" i="206" s="1"/>
  <c r="L41" i="206"/>
  <c r="L42" i="206" s="1"/>
  <c r="K41" i="206"/>
  <c r="J41" i="206"/>
  <c r="I41" i="206"/>
  <c r="H41" i="206"/>
  <c r="H42" i="206" s="1"/>
  <c r="G41" i="206"/>
  <c r="F41" i="206"/>
  <c r="E41" i="206"/>
  <c r="D41" i="206"/>
  <c r="D42" i="206" s="1"/>
  <c r="R38" i="206"/>
  <c r="Q38" i="206"/>
  <c r="P38" i="206"/>
  <c r="O38" i="206"/>
  <c r="N38" i="206"/>
  <c r="M38" i="206"/>
  <c r="L38" i="206"/>
  <c r="K38" i="206"/>
  <c r="K42" i="206" s="1"/>
  <c r="J38" i="206"/>
  <c r="I38" i="206"/>
  <c r="I42" i="206" s="1"/>
  <c r="H38" i="206"/>
  <c r="G38" i="206"/>
  <c r="G42" i="206" s="1"/>
  <c r="F38" i="206"/>
  <c r="E38" i="206"/>
  <c r="D38" i="206"/>
  <c r="R35" i="206"/>
  <c r="Q35" i="206"/>
  <c r="P35" i="206"/>
  <c r="O35" i="206"/>
  <c r="N35" i="206"/>
  <c r="M35" i="206"/>
  <c r="L35" i="206"/>
  <c r="K35" i="206"/>
  <c r="J35" i="206"/>
  <c r="I35" i="206"/>
  <c r="H35" i="206"/>
  <c r="G35" i="206"/>
  <c r="F35" i="206"/>
  <c r="F42" i="206" s="1"/>
  <c r="E35" i="206"/>
  <c r="D35" i="206"/>
  <c r="R32" i="206"/>
  <c r="Q32" i="206"/>
  <c r="Q42" i="206" s="1"/>
  <c r="P32" i="206"/>
  <c r="O32" i="206"/>
  <c r="N32" i="206"/>
  <c r="M32" i="206"/>
  <c r="L32" i="206"/>
  <c r="K32" i="206"/>
  <c r="J32" i="206"/>
  <c r="I32" i="206"/>
  <c r="H32" i="206"/>
  <c r="G32" i="206"/>
  <c r="F32" i="206"/>
  <c r="E32" i="206"/>
  <c r="D32" i="206"/>
  <c r="R29" i="206"/>
  <c r="R51" i="206" s="1"/>
  <c r="Q29" i="206"/>
  <c r="Q51" i="206" s="1"/>
  <c r="P29" i="206"/>
  <c r="P51" i="206" s="1"/>
  <c r="O29" i="206"/>
  <c r="O51" i="206" s="1"/>
  <c r="N29" i="206"/>
  <c r="M29" i="206"/>
  <c r="M51" i="206" s="1"/>
  <c r="K29" i="206"/>
  <c r="J29" i="206"/>
  <c r="I29" i="206"/>
  <c r="I51" i="206" s="1"/>
  <c r="H29" i="206"/>
  <c r="G29" i="206"/>
  <c r="F29" i="206"/>
  <c r="E29" i="206"/>
  <c r="D29" i="206"/>
  <c r="R26" i="206"/>
  <c r="Q26" i="206"/>
  <c r="P26" i="206"/>
  <c r="O26" i="206"/>
  <c r="N26" i="206"/>
  <c r="N51" i="206" s="1"/>
  <c r="M26" i="206"/>
  <c r="K26" i="206"/>
  <c r="J26" i="206"/>
  <c r="I26" i="206"/>
  <c r="H26" i="206"/>
  <c r="G26" i="206"/>
  <c r="F26" i="206"/>
  <c r="E26" i="206"/>
  <c r="D26" i="206"/>
  <c r="F243" i="238"/>
  <c r="F241" i="238"/>
  <c r="F240" i="238"/>
  <c r="F239" i="238"/>
  <c r="F238" i="238"/>
  <c r="E238" i="238"/>
  <c r="M237" i="238"/>
  <c r="H237" i="238"/>
  <c r="N235" i="238"/>
  <c r="N237" i="238" s="1"/>
  <c r="K235" i="238"/>
  <c r="K237" i="238" s="1"/>
  <c r="J235" i="238"/>
  <c r="J237" i="238" s="1"/>
  <c r="I235" i="238"/>
  <c r="I237" i="238" s="1"/>
  <c r="H235" i="238"/>
  <c r="G235" i="238"/>
  <c r="G237" i="238" s="1"/>
  <c r="P232" i="238"/>
  <c r="P235" i="238" s="1"/>
  <c r="P237" i="238" s="1"/>
  <c r="O232" i="238"/>
  <c r="O235" i="238" s="1"/>
  <c r="O237" i="238" s="1"/>
  <c r="N232" i="238"/>
  <c r="M232" i="238"/>
  <c r="M235" i="238" s="1"/>
  <c r="L232" i="238"/>
  <c r="L235" i="238" s="1"/>
  <c r="L237" i="238" s="1"/>
  <c r="L227" i="238"/>
  <c r="I227" i="238"/>
  <c r="P225" i="238"/>
  <c r="P227" i="238" s="1"/>
  <c r="O225" i="238"/>
  <c r="O227" i="238" s="1"/>
  <c r="N225" i="238"/>
  <c r="N227" i="238" s="1"/>
  <c r="L225" i="238"/>
  <c r="K225" i="238"/>
  <c r="K227" i="238" s="1"/>
  <c r="J225" i="238"/>
  <c r="J227" i="238" s="1"/>
  <c r="I225" i="238"/>
  <c r="H225" i="238"/>
  <c r="H227" i="238" s="1"/>
  <c r="G225" i="238"/>
  <c r="G227" i="238" s="1"/>
  <c r="P222" i="238"/>
  <c r="O222" i="238"/>
  <c r="N222" i="238"/>
  <c r="M222" i="238"/>
  <c r="M225" i="238" s="1"/>
  <c r="L222" i="238"/>
  <c r="F216" i="238"/>
  <c r="F214" i="238"/>
  <c r="F213" i="238"/>
  <c r="P212" i="238"/>
  <c r="O212" i="238"/>
  <c r="N212" i="238"/>
  <c r="M212" i="238"/>
  <c r="L212" i="238"/>
  <c r="F212" i="238"/>
  <c r="F211" i="238"/>
  <c r="E211" i="238"/>
  <c r="J210" i="238"/>
  <c r="G210" i="238"/>
  <c r="P208" i="238"/>
  <c r="P210" i="238" s="1"/>
  <c r="O208" i="238"/>
  <c r="O210" i="238" s="1"/>
  <c r="L208" i="238"/>
  <c r="L210" i="238" s="1"/>
  <c r="K208" i="238"/>
  <c r="K210" i="238" s="1"/>
  <c r="J208" i="238"/>
  <c r="I208" i="238"/>
  <c r="I210" i="238" s="1"/>
  <c r="H208" i="238"/>
  <c r="H210" i="238" s="1"/>
  <c r="G208" i="238"/>
  <c r="P205" i="238"/>
  <c r="O205" i="238"/>
  <c r="N205" i="238"/>
  <c r="N208" i="238" s="1"/>
  <c r="N210" i="238" s="1"/>
  <c r="M205" i="238"/>
  <c r="M208" i="238" s="1"/>
  <c r="M210" i="238" s="1"/>
  <c r="L205" i="238"/>
  <c r="O200" i="238"/>
  <c r="K200" i="238"/>
  <c r="G200" i="238"/>
  <c r="N198" i="238"/>
  <c r="N200" i="238" s="1"/>
  <c r="M198" i="238"/>
  <c r="M200" i="238" s="1"/>
  <c r="K198" i="238"/>
  <c r="J198" i="238"/>
  <c r="J200" i="238" s="1"/>
  <c r="I198" i="238"/>
  <c r="I200" i="238" s="1"/>
  <c r="H198" i="238"/>
  <c r="H200" i="238" s="1"/>
  <c r="G198" i="238"/>
  <c r="P195" i="238"/>
  <c r="P198" i="238" s="1"/>
  <c r="P200" i="238" s="1"/>
  <c r="O195" i="238"/>
  <c r="O198" i="238" s="1"/>
  <c r="N195" i="238"/>
  <c r="M195" i="238"/>
  <c r="L195" i="238"/>
  <c r="Q182" i="238"/>
  <c r="Q181" i="238"/>
  <c r="Q180" i="238"/>
  <c r="Q179" i="238"/>
  <c r="Q178" i="238"/>
  <c r="Q177" i="238"/>
  <c r="F175" i="238"/>
  <c r="F173" i="238"/>
  <c r="F172" i="238"/>
  <c r="F171" i="238"/>
  <c r="F170" i="238"/>
  <c r="F169" i="238"/>
  <c r="E169" i="238"/>
  <c r="U168" i="238"/>
  <c r="P168" i="238"/>
  <c r="N168" i="238"/>
  <c r="L168" i="238"/>
  <c r="J168" i="238"/>
  <c r="H168" i="238"/>
  <c r="N166" i="238"/>
  <c r="M166" i="238"/>
  <c r="M168" i="238" s="1"/>
  <c r="L166" i="238"/>
  <c r="K166" i="238"/>
  <c r="K168" i="238" s="1"/>
  <c r="J166" i="238"/>
  <c r="I166" i="238"/>
  <c r="I168" i="238" s="1"/>
  <c r="H166" i="238"/>
  <c r="G166" i="238"/>
  <c r="G168" i="238" s="1"/>
  <c r="U164" i="238"/>
  <c r="S164" i="238"/>
  <c r="S166" i="238" s="1"/>
  <c r="S168" i="238" s="1"/>
  <c r="P164" i="238"/>
  <c r="V163" i="238"/>
  <c r="V164" i="238" s="1"/>
  <c r="U163" i="238"/>
  <c r="U166" i="238" s="1"/>
  <c r="T163" i="238"/>
  <c r="T164" i="238" s="1"/>
  <c r="S163" i="238"/>
  <c r="R163" i="238"/>
  <c r="R164" i="238" s="1"/>
  <c r="P163" i="238"/>
  <c r="P166" i="238" s="1"/>
  <c r="O163" i="238"/>
  <c r="N163" i="238"/>
  <c r="M163" i="238"/>
  <c r="L163" i="238"/>
  <c r="V158" i="238"/>
  <c r="R158" i="238"/>
  <c r="M158" i="238"/>
  <c r="K158" i="238"/>
  <c r="I158" i="238"/>
  <c r="G158" i="238"/>
  <c r="N156" i="238"/>
  <c r="N158" i="238" s="1"/>
  <c r="M156" i="238"/>
  <c r="L156" i="238"/>
  <c r="L158" i="238" s="1"/>
  <c r="K156" i="238"/>
  <c r="J156" i="238"/>
  <c r="J158" i="238" s="1"/>
  <c r="I156" i="238"/>
  <c r="H156" i="238"/>
  <c r="H158" i="238" s="1"/>
  <c r="G156" i="238"/>
  <c r="V154" i="238"/>
  <c r="V156" i="238" s="1"/>
  <c r="T154" i="238"/>
  <c r="R154" i="238"/>
  <c r="R156" i="238" s="1"/>
  <c r="O154" i="238"/>
  <c r="V153" i="238"/>
  <c r="U153" i="238"/>
  <c r="U154" i="238" s="1"/>
  <c r="T153" i="238"/>
  <c r="S153" i="238"/>
  <c r="S154" i="238" s="1"/>
  <c r="R153" i="238"/>
  <c r="P153" i="238"/>
  <c r="O153" i="238"/>
  <c r="N153" i="238"/>
  <c r="M153" i="238"/>
  <c r="L153" i="238"/>
  <c r="N148" i="238"/>
  <c r="J148" i="238"/>
  <c r="I148" i="238"/>
  <c r="V146" i="238"/>
  <c r="V148" i="238" s="1"/>
  <c r="T146" i="238"/>
  <c r="T148" i="238" s="1"/>
  <c r="P146" i="238"/>
  <c r="P148" i="238" s="1"/>
  <c r="N146" i="238"/>
  <c r="M146" i="238"/>
  <c r="M148" i="238" s="1"/>
  <c r="L146" i="238"/>
  <c r="L148" i="238" s="1"/>
  <c r="K146" i="238"/>
  <c r="K148" i="238" s="1"/>
  <c r="J146" i="238"/>
  <c r="I146" i="238"/>
  <c r="H146" i="238"/>
  <c r="H148" i="238" s="1"/>
  <c r="G146" i="238"/>
  <c r="G148" i="238" s="1"/>
  <c r="U144" i="238"/>
  <c r="U146" i="238" s="1"/>
  <c r="U148" i="238" s="1"/>
  <c r="P144" i="238"/>
  <c r="O144" i="238"/>
  <c r="V143" i="238"/>
  <c r="V144" i="238" s="1"/>
  <c r="U143" i="238"/>
  <c r="T143" i="238"/>
  <c r="T144" i="238" s="1"/>
  <c r="S143" i="238"/>
  <c r="R143" i="238"/>
  <c r="R144" i="238" s="1"/>
  <c r="P143" i="238"/>
  <c r="O143" i="238"/>
  <c r="N143" i="238"/>
  <c r="M143" i="238"/>
  <c r="L143" i="238"/>
  <c r="M138" i="238"/>
  <c r="I138" i="238"/>
  <c r="G138" i="238"/>
  <c r="T136" i="238"/>
  <c r="T138" i="238" s="1"/>
  <c r="N136" i="238"/>
  <c r="N138" i="238" s="1"/>
  <c r="M136" i="238"/>
  <c r="L136" i="238"/>
  <c r="L138" i="238" s="1"/>
  <c r="K136" i="238"/>
  <c r="K138" i="238" s="1"/>
  <c r="J136" i="238"/>
  <c r="J138" i="238" s="1"/>
  <c r="I136" i="238"/>
  <c r="H136" i="238"/>
  <c r="H138" i="238" s="1"/>
  <c r="G136" i="238"/>
  <c r="V134" i="238"/>
  <c r="T134" i="238"/>
  <c r="R134" i="238"/>
  <c r="O134" i="238"/>
  <c r="O136" i="238" s="1"/>
  <c r="O138" i="238" s="1"/>
  <c r="V133" i="238"/>
  <c r="U133" i="238"/>
  <c r="U134" i="238" s="1"/>
  <c r="T133" i="238"/>
  <c r="S133" i="238"/>
  <c r="R133" i="238"/>
  <c r="P133" i="238"/>
  <c r="P134" i="238" s="1"/>
  <c r="O133" i="238"/>
  <c r="N133" i="238"/>
  <c r="M133" i="238"/>
  <c r="L133" i="238"/>
  <c r="N128" i="238"/>
  <c r="L128" i="238"/>
  <c r="H128" i="238"/>
  <c r="S126" i="238"/>
  <c r="S128" i="238" s="1"/>
  <c r="N126" i="238"/>
  <c r="M126" i="238"/>
  <c r="M128" i="238" s="1"/>
  <c r="L126" i="238"/>
  <c r="K126" i="238"/>
  <c r="K128" i="238" s="1"/>
  <c r="J126" i="238"/>
  <c r="J128" i="238" s="1"/>
  <c r="I126" i="238"/>
  <c r="I128" i="238" s="1"/>
  <c r="H126" i="238"/>
  <c r="G126" i="238"/>
  <c r="G128" i="238" s="1"/>
  <c r="U124" i="238"/>
  <c r="S124" i="238"/>
  <c r="P124" i="238"/>
  <c r="V123" i="238"/>
  <c r="V124" i="238" s="1"/>
  <c r="U123" i="238"/>
  <c r="T123" i="238"/>
  <c r="S123" i="238"/>
  <c r="R123" i="238"/>
  <c r="P123" i="238"/>
  <c r="O123" i="238"/>
  <c r="O124" i="238" s="1"/>
  <c r="N123" i="238"/>
  <c r="M123" i="238"/>
  <c r="L123" i="238"/>
  <c r="V118" i="238"/>
  <c r="M118" i="238"/>
  <c r="K118" i="238"/>
  <c r="G118" i="238"/>
  <c r="U116" i="238"/>
  <c r="U118" i="238" s="1"/>
  <c r="R116" i="238"/>
  <c r="R118" i="238" s="1"/>
  <c r="N116" i="238"/>
  <c r="N118" i="238" s="1"/>
  <c r="M116" i="238"/>
  <c r="L116" i="238"/>
  <c r="L118" i="238" s="1"/>
  <c r="K116" i="238"/>
  <c r="J116" i="238"/>
  <c r="J118" i="238" s="1"/>
  <c r="I116" i="238"/>
  <c r="I118" i="238" s="1"/>
  <c r="H116" i="238"/>
  <c r="H118" i="238" s="1"/>
  <c r="G116" i="238"/>
  <c r="V114" i="238"/>
  <c r="V116" i="238" s="1"/>
  <c r="U114" i="238"/>
  <c r="R114" i="238"/>
  <c r="P114" i="238"/>
  <c r="V113" i="238"/>
  <c r="U113" i="238"/>
  <c r="T113" i="238"/>
  <c r="S113" i="238"/>
  <c r="S114" i="238" s="1"/>
  <c r="R113" i="238"/>
  <c r="P113" i="238"/>
  <c r="P116" i="238" s="1"/>
  <c r="P118" i="238" s="1"/>
  <c r="O113" i="238"/>
  <c r="N113" i="238"/>
  <c r="M113" i="238"/>
  <c r="L113" i="238"/>
  <c r="P108" i="238"/>
  <c r="N108" i="238"/>
  <c r="M108" i="238"/>
  <c r="J108" i="238"/>
  <c r="H108" i="238"/>
  <c r="U106" i="238"/>
  <c r="U108" i="238" s="1"/>
  <c r="R106" i="238"/>
  <c r="R108" i="238" s="1"/>
  <c r="N106" i="238"/>
  <c r="M106" i="238"/>
  <c r="L106" i="238"/>
  <c r="L108" i="238" s="1"/>
  <c r="K106" i="238"/>
  <c r="K108" i="238" s="1"/>
  <c r="J106" i="238"/>
  <c r="I106" i="238"/>
  <c r="I108" i="238" s="1"/>
  <c r="H106" i="238"/>
  <c r="G106" i="238"/>
  <c r="G108" i="238" s="1"/>
  <c r="U104" i="238"/>
  <c r="P104" i="238"/>
  <c r="P106" i="238" s="1"/>
  <c r="V103" i="238"/>
  <c r="U103" i="238"/>
  <c r="T103" i="238"/>
  <c r="S103" i="238"/>
  <c r="R103" i="238"/>
  <c r="R104" i="238" s="1"/>
  <c r="P103" i="238"/>
  <c r="O103" i="238"/>
  <c r="O104" i="238" s="1"/>
  <c r="N103" i="238"/>
  <c r="M103" i="238"/>
  <c r="L103" i="238"/>
  <c r="T98" i="238"/>
  <c r="M98" i="238"/>
  <c r="I98" i="238"/>
  <c r="H98" i="238"/>
  <c r="U96" i="238"/>
  <c r="U98" i="238" s="1"/>
  <c r="O96" i="238"/>
  <c r="O98" i="238" s="1"/>
  <c r="N96" i="238"/>
  <c r="N98" i="238" s="1"/>
  <c r="M96" i="238"/>
  <c r="L96" i="238"/>
  <c r="L98" i="238" s="1"/>
  <c r="K96" i="238"/>
  <c r="K98" i="238" s="1"/>
  <c r="J96" i="238"/>
  <c r="J98" i="238" s="1"/>
  <c r="I96" i="238"/>
  <c r="H96" i="238"/>
  <c r="G96" i="238"/>
  <c r="G98" i="238" s="1"/>
  <c r="T94" i="238"/>
  <c r="T96" i="238" s="1"/>
  <c r="R94" i="238"/>
  <c r="O94" i="238"/>
  <c r="V93" i="238"/>
  <c r="U93" i="238"/>
  <c r="U94" i="238" s="1"/>
  <c r="T93" i="238"/>
  <c r="S93" i="238"/>
  <c r="S94" i="238" s="1"/>
  <c r="S96" i="238" s="1"/>
  <c r="S98" i="238" s="1"/>
  <c r="R93" i="238"/>
  <c r="P93" i="238"/>
  <c r="P94" i="238" s="1"/>
  <c r="O93" i="238"/>
  <c r="N93" i="238"/>
  <c r="M93" i="238"/>
  <c r="L93" i="238"/>
  <c r="L88" i="238"/>
  <c r="J88" i="238"/>
  <c r="H88" i="238"/>
  <c r="G88" i="238"/>
  <c r="T86" i="238"/>
  <c r="T88" i="238" s="1"/>
  <c r="N86" i="238"/>
  <c r="N88" i="238" s="1"/>
  <c r="M86" i="238"/>
  <c r="M88" i="238" s="1"/>
  <c r="L86" i="238"/>
  <c r="K86" i="238"/>
  <c r="K88" i="238" s="1"/>
  <c r="J86" i="238"/>
  <c r="I86" i="238"/>
  <c r="I88" i="238" s="1"/>
  <c r="H86" i="238"/>
  <c r="G86" i="238"/>
  <c r="V84" i="238"/>
  <c r="S84" i="238"/>
  <c r="S86" i="238" s="1"/>
  <c r="S88" i="238" s="1"/>
  <c r="V83" i="238"/>
  <c r="V86" i="238" s="1"/>
  <c r="V88" i="238" s="1"/>
  <c r="U83" i="238"/>
  <c r="T83" i="238"/>
  <c r="T84" i="238" s="1"/>
  <c r="S83" i="238"/>
  <c r="R83" i="238"/>
  <c r="R84" i="238" s="1"/>
  <c r="R86" i="238" s="1"/>
  <c r="R88" i="238" s="1"/>
  <c r="P83" i="238"/>
  <c r="P84" i="238" s="1"/>
  <c r="O83" i="238"/>
  <c r="O84" i="238" s="1"/>
  <c r="N83" i="238"/>
  <c r="M83" i="238"/>
  <c r="L83" i="238"/>
  <c r="N78" i="238"/>
  <c r="K78" i="238"/>
  <c r="G78" i="238"/>
  <c r="V76" i="238"/>
  <c r="V78" i="238" s="1"/>
  <c r="N76" i="238"/>
  <c r="M76" i="238"/>
  <c r="M78" i="238" s="1"/>
  <c r="L76" i="238"/>
  <c r="L78" i="238" s="1"/>
  <c r="K76" i="238"/>
  <c r="J76" i="238"/>
  <c r="J78" i="238" s="1"/>
  <c r="I76" i="238"/>
  <c r="I78" i="238" s="1"/>
  <c r="H76" i="238"/>
  <c r="H78" i="238" s="1"/>
  <c r="G76" i="238"/>
  <c r="V74" i="238"/>
  <c r="U74" i="238"/>
  <c r="T74" i="238"/>
  <c r="R74" i="238"/>
  <c r="R76" i="238" s="1"/>
  <c r="R78" i="238" s="1"/>
  <c r="O74" i="238"/>
  <c r="V73" i="238"/>
  <c r="U73" i="238"/>
  <c r="T73" i="238"/>
  <c r="S73" i="238"/>
  <c r="R73" i="238"/>
  <c r="P73" i="238"/>
  <c r="O73" i="238"/>
  <c r="N73" i="238"/>
  <c r="M73" i="238"/>
  <c r="L73" i="238"/>
  <c r="F67" i="238"/>
  <c r="F65" i="238"/>
  <c r="F64" i="238"/>
  <c r="F63" i="238"/>
  <c r="F62" i="238"/>
  <c r="E61" i="238"/>
  <c r="U60" i="238"/>
  <c r="S60" i="238"/>
  <c r="P60" i="238"/>
  <c r="N60" i="238"/>
  <c r="J60" i="238"/>
  <c r="H60" i="238"/>
  <c r="V58" i="238"/>
  <c r="V60" i="238" s="1"/>
  <c r="U58" i="238"/>
  <c r="T58" i="238"/>
  <c r="T60" i="238" s="1"/>
  <c r="S58" i="238"/>
  <c r="R58" i="238"/>
  <c r="R60" i="238" s="1"/>
  <c r="P58" i="238"/>
  <c r="O58" i="238"/>
  <c r="O60" i="238" s="1"/>
  <c r="N58" i="238"/>
  <c r="M58" i="238"/>
  <c r="M60" i="238" s="1"/>
  <c r="K58" i="238"/>
  <c r="K60" i="238" s="1"/>
  <c r="J58" i="238"/>
  <c r="I58" i="238"/>
  <c r="I60" i="238" s="1"/>
  <c r="H58" i="238"/>
  <c r="G58" i="238"/>
  <c r="G60" i="238" s="1"/>
  <c r="E56" i="238"/>
  <c r="V55" i="238"/>
  <c r="U55" i="238"/>
  <c r="T55" i="238"/>
  <c r="S55" i="238"/>
  <c r="R55" i="238"/>
  <c r="P55" i="238"/>
  <c r="O55" i="238"/>
  <c r="N55" i="238"/>
  <c r="M55" i="238"/>
  <c r="L55" i="238"/>
  <c r="L58" i="238" s="1"/>
  <c r="L60" i="238" s="1"/>
  <c r="V50" i="238"/>
  <c r="T50" i="238"/>
  <c r="R50" i="238"/>
  <c r="O50" i="238"/>
  <c r="M50" i="238"/>
  <c r="K50" i="238"/>
  <c r="I50" i="238"/>
  <c r="G50" i="238"/>
  <c r="V48" i="238"/>
  <c r="U48" i="238"/>
  <c r="U50" i="238" s="1"/>
  <c r="T48" i="238"/>
  <c r="S48" i="238"/>
  <c r="S50" i="238" s="1"/>
  <c r="R48" i="238"/>
  <c r="P48" i="238"/>
  <c r="P50" i="238" s="1"/>
  <c r="O48" i="238"/>
  <c r="N48" i="238"/>
  <c r="N50" i="238" s="1"/>
  <c r="M48" i="238"/>
  <c r="L48" i="238"/>
  <c r="L50" i="238" s="1"/>
  <c r="K48" i="238"/>
  <c r="J48" i="238"/>
  <c r="J50" i="238" s="1"/>
  <c r="I48" i="238"/>
  <c r="H48" i="238"/>
  <c r="H50" i="238" s="1"/>
  <c r="G48" i="238"/>
  <c r="V45" i="238"/>
  <c r="U45" i="238"/>
  <c r="T45" i="238"/>
  <c r="S45" i="238"/>
  <c r="R45" i="238"/>
  <c r="P45" i="238"/>
  <c r="O45" i="238"/>
  <c r="N45" i="238"/>
  <c r="M45" i="238"/>
  <c r="L45" i="238"/>
  <c r="V40" i="238"/>
  <c r="T40" i="238"/>
  <c r="R40" i="238"/>
  <c r="M40" i="238"/>
  <c r="I40" i="238"/>
  <c r="V38" i="238"/>
  <c r="U38" i="238"/>
  <c r="U40" i="238" s="1"/>
  <c r="T38" i="238"/>
  <c r="S38" i="238"/>
  <c r="S40" i="238" s="1"/>
  <c r="R38" i="238"/>
  <c r="P38" i="238"/>
  <c r="K38" i="238"/>
  <c r="K40" i="238" s="1"/>
  <c r="J38" i="238"/>
  <c r="J40" i="238" s="1"/>
  <c r="I38" i="238"/>
  <c r="H38" i="238"/>
  <c r="H40" i="238" s="1"/>
  <c r="G38" i="238"/>
  <c r="G40" i="238" s="1"/>
  <c r="V35" i="238"/>
  <c r="U35" i="238"/>
  <c r="T35" i="238"/>
  <c r="S35" i="238"/>
  <c r="R35" i="238"/>
  <c r="P35" i="238"/>
  <c r="N35" i="238"/>
  <c r="N38" i="238" s="1"/>
  <c r="N40" i="238" s="1"/>
  <c r="M35" i="238"/>
  <c r="M38" i="238" s="1"/>
  <c r="L35" i="238"/>
  <c r="L38" i="238" s="1"/>
  <c r="L40" i="238" s="1"/>
  <c r="O35" i="238"/>
  <c r="V30" i="238"/>
  <c r="T30" i="238"/>
  <c r="R30" i="238"/>
  <c r="O30" i="238"/>
  <c r="K30" i="238"/>
  <c r="I30" i="238"/>
  <c r="G30" i="238"/>
  <c r="V28" i="238"/>
  <c r="U28" i="238"/>
  <c r="U30" i="238" s="1"/>
  <c r="T28" i="238"/>
  <c r="S28" i="238"/>
  <c r="S30" i="238" s="1"/>
  <c r="R28" i="238"/>
  <c r="P28" i="238"/>
  <c r="P30" i="238" s="1"/>
  <c r="O28" i="238"/>
  <c r="N28" i="238"/>
  <c r="N30" i="238" s="1"/>
  <c r="L28" i="238"/>
  <c r="L30" i="238" s="1"/>
  <c r="K28" i="238"/>
  <c r="J28" i="238"/>
  <c r="J30" i="238" s="1"/>
  <c r="I28" i="238"/>
  <c r="H28" i="238"/>
  <c r="H30" i="238" s="1"/>
  <c r="G28" i="238"/>
  <c r="V25" i="238"/>
  <c r="U25" i="238"/>
  <c r="T25" i="238"/>
  <c r="S25" i="238"/>
  <c r="R25" i="238"/>
  <c r="P25" i="238"/>
  <c r="O25" i="238"/>
  <c r="N25" i="238"/>
  <c r="M25" i="238"/>
  <c r="L25" i="238"/>
  <c r="J145" i="187"/>
  <c r="H145" i="187"/>
  <c r="AH144" i="187"/>
  <c r="W139" i="187"/>
  <c r="O139" i="187"/>
  <c r="N139" i="187"/>
  <c r="M139" i="187"/>
  <c r="L139" i="187"/>
  <c r="K139" i="187"/>
  <c r="J139" i="187"/>
  <c r="I139" i="187"/>
  <c r="AD138" i="187"/>
  <c r="U138" i="187"/>
  <c r="M138" i="187"/>
  <c r="M140" i="187" s="1"/>
  <c r="AG137" i="187"/>
  <c r="AE137" i="187"/>
  <c r="AD137" i="187"/>
  <c r="AC137" i="187"/>
  <c r="U137" i="187"/>
  <c r="T137" i="187"/>
  <c r="S137" i="187"/>
  <c r="R137" i="187"/>
  <c r="Q137" i="187"/>
  <c r="P137" i="187"/>
  <c r="O137" i="187"/>
  <c r="N137" i="187"/>
  <c r="M137" i="187"/>
  <c r="L137" i="187"/>
  <c r="K137" i="187"/>
  <c r="J137" i="187"/>
  <c r="I137" i="187"/>
  <c r="H137" i="187"/>
  <c r="G137" i="187"/>
  <c r="AG136" i="187"/>
  <c r="AE136" i="187"/>
  <c r="AD136" i="187"/>
  <c r="AC136" i="187"/>
  <c r="AA136" i="187"/>
  <c r="Z136" i="187"/>
  <c r="Y136" i="187"/>
  <c r="X136" i="187"/>
  <c r="W136" i="187"/>
  <c r="N136" i="187"/>
  <c r="M136" i="187"/>
  <c r="L136" i="187"/>
  <c r="K136" i="187"/>
  <c r="K145" i="187" s="1"/>
  <c r="J136" i="187"/>
  <c r="I136" i="187"/>
  <c r="I145" i="187" s="1"/>
  <c r="H136" i="187"/>
  <c r="G136" i="187"/>
  <c r="G145" i="187" s="1"/>
  <c r="AG135" i="187"/>
  <c r="AE135" i="187"/>
  <c r="AD135" i="187"/>
  <c r="AC135" i="187"/>
  <c r="S135" i="187"/>
  <c r="AG134" i="187"/>
  <c r="AE134" i="187"/>
  <c r="AD134" i="187"/>
  <c r="AC134" i="187"/>
  <c r="AH134" i="187" s="1"/>
  <c r="AA134" i="187"/>
  <c r="Z134" i="187"/>
  <c r="Y134" i="187"/>
  <c r="X134" i="187"/>
  <c r="W134" i="187"/>
  <c r="AB134" i="187" s="1"/>
  <c r="U134" i="187"/>
  <c r="T134" i="187"/>
  <c r="S134" i="187"/>
  <c r="R134" i="187"/>
  <c r="Q134" i="187"/>
  <c r="P134" i="187"/>
  <c r="O134" i="187"/>
  <c r="N134" i="187"/>
  <c r="M134" i="187"/>
  <c r="L134" i="187"/>
  <c r="AG133" i="187"/>
  <c r="AE133" i="187"/>
  <c r="AD133" i="187"/>
  <c r="AC133" i="187"/>
  <c r="AA133" i="187"/>
  <c r="Z133" i="187"/>
  <c r="Y133" i="187"/>
  <c r="X133" i="187"/>
  <c r="AB133" i="187" s="1"/>
  <c r="W133" i="187"/>
  <c r="U133" i="187"/>
  <c r="T133" i="187"/>
  <c r="S133" i="187"/>
  <c r="R133" i="187"/>
  <c r="Q133" i="187"/>
  <c r="P133" i="187"/>
  <c r="O133" i="187"/>
  <c r="N133" i="187"/>
  <c r="M133" i="187"/>
  <c r="L133" i="187"/>
  <c r="AG132" i="187"/>
  <c r="AE132" i="187"/>
  <c r="AD132" i="187"/>
  <c r="AC132" i="187"/>
  <c r="AH132" i="187" s="1"/>
  <c r="AA132" i="187"/>
  <c r="Z132" i="187"/>
  <c r="Y132" i="187"/>
  <c r="X132" i="187"/>
  <c r="W132" i="187"/>
  <c r="AB132" i="187" s="1"/>
  <c r="U132" i="187"/>
  <c r="T132" i="187"/>
  <c r="S132" i="187"/>
  <c r="R132" i="187"/>
  <c r="Q132" i="187"/>
  <c r="P132" i="187"/>
  <c r="O132" i="187"/>
  <c r="N132" i="187"/>
  <c r="M132" i="187"/>
  <c r="L132" i="187"/>
  <c r="AG130" i="187"/>
  <c r="AD130" i="187"/>
  <c r="Z130" i="187"/>
  <c r="X130" i="187"/>
  <c r="O130" i="187"/>
  <c r="M130" i="187"/>
  <c r="K130" i="187"/>
  <c r="I130" i="187"/>
  <c r="G130" i="187"/>
  <c r="AB130" i="187" s="1"/>
  <c r="AB129" i="187"/>
  <c r="AG128" i="187"/>
  <c r="AF128" i="187"/>
  <c r="AE128" i="187"/>
  <c r="AE130" i="187" s="1"/>
  <c r="AD128" i="187"/>
  <c r="AC128" i="187"/>
  <c r="AC130" i="187" s="1"/>
  <c r="AA128" i="187"/>
  <c r="AA130" i="187" s="1"/>
  <c r="Z128" i="187"/>
  <c r="Y128" i="187"/>
  <c r="Y130" i="187" s="1"/>
  <c r="X128" i="187"/>
  <c r="W128" i="187"/>
  <c r="W130" i="187" s="1"/>
  <c r="R128" i="187"/>
  <c r="N128" i="187"/>
  <c r="M128" i="187"/>
  <c r="L128" i="187"/>
  <c r="K128" i="187"/>
  <c r="J128" i="187"/>
  <c r="J130" i="187" s="1"/>
  <c r="I128" i="187"/>
  <c r="H128" i="187"/>
  <c r="H130" i="187" s="1"/>
  <c r="G128" i="187"/>
  <c r="AH127" i="187"/>
  <c r="AB127" i="187"/>
  <c r="AH126" i="187"/>
  <c r="AB126" i="187"/>
  <c r="Q126" i="187"/>
  <c r="Q128" i="187" s="1"/>
  <c r="O126" i="187"/>
  <c r="O128" i="187" s="1"/>
  <c r="AA125" i="187"/>
  <c r="Z125" i="187"/>
  <c r="Z135" i="187" s="1"/>
  <c r="Y125" i="187"/>
  <c r="X125" i="187"/>
  <c r="AB125" i="187" s="1"/>
  <c r="W125" i="187"/>
  <c r="U125" i="187"/>
  <c r="U126" i="187" s="1"/>
  <c r="U128" i="187" s="1"/>
  <c r="T125" i="187"/>
  <c r="T126" i="187" s="1"/>
  <c r="T128" i="187" s="1"/>
  <c r="S125" i="187"/>
  <c r="S126" i="187" s="1"/>
  <c r="S128" i="187" s="1"/>
  <c r="R125" i="187"/>
  <c r="R126" i="187" s="1"/>
  <c r="Q125" i="187"/>
  <c r="Q135" i="187" s="1"/>
  <c r="P125" i="187"/>
  <c r="P126" i="187" s="1"/>
  <c r="P128" i="187" s="1"/>
  <c r="O125" i="187"/>
  <c r="N125" i="187"/>
  <c r="N135" i="187" s="1"/>
  <c r="M125" i="187"/>
  <c r="M135" i="187" s="1"/>
  <c r="L125" i="187"/>
  <c r="L135" i="187" s="1"/>
  <c r="AH120" i="187"/>
  <c r="AB120" i="187"/>
  <c r="Y119" i="187"/>
  <c r="AB118" i="187"/>
  <c r="AG117" i="187"/>
  <c r="AG119" i="187" s="1"/>
  <c r="AF117" i="187"/>
  <c r="AE117" i="187"/>
  <c r="AD117" i="187"/>
  <c r="AD119" i="187" s="1"/>
  <c r="AC117" i="187"/>
  <c r="AA117" i="187"/>
  <c r="Z117" i="187"/>
  <c r="Z119" i="187" s="1"/>
  <c r="Y117" i="187"/>
  <c r="X117" i="187"/>
  <c r="X119" i="187" s="1"/>
  <c r="W117" i="187"/>
  <c r="R117" i="187"/>
  <c r="K117" i="187"/>
  <c r="J117" i="187"/>
  <c r="I117" i="187"/>
  <c r="I138" i="187" s="1"/>
  <c r="I140" i="187" s="1"/>
  <c r="H117" i="187"/>
  <c r="G117" i="187"/>
  <c r="AH116" i="187"/>
  <c r="AB116" i="187"/>
  <c r="AB115" i="187"/>
  <c r="U115" i="187"/>
  <c r="U117" i="187" s="1"/>
  <c r="R115" i="187"/>
  <c r="R136" i="187" s="1"/>
  <c r="Q115" i="187"/>
  <c r="Q117" i="187" s="1"/>
  <c r="AA114" i="187"/>
  <c r="AA135" i="187" s="1"/>
  <c r="Z114" i="187"/>
  <c r="Y114" i="187"/>
  <c r="Y135" i="187" s="1"/>
  <c r="X114" i="187"/>
  <c r="W114" i="187"/>
  <c r="W135" i="187" s="1"/>
  <c r="U114" i="187"/>
  <c r="U135" i="187" s="1"/>
  <c r="T114" i="187"/>
  <c r="S114" i="187"/>
  <c r="R114" i="187"/>
  <c r="R135" i="187" s="1"/>
  <c r="Q114" i="187"/>
  <c r="P114" i="187"/>
  <c r="O114" i="187"/>
  <c r="AH109" i="187"/>
  <c r="AB109" i="187"/>
  <c r="N97" i="187"/>
  <c r="N145" i="187" s="1"/>
  <c r="M97" i="187"/>
  <c r="M145" i="187" s="1"/>
  <c r="L97" i="187"/>
  <c r="L145" i="187" s="1"/>
  <c r="AA96" i="187"/>
  <c r="Z96" i="187"/>
  <c r="M96" i="187"/>
  <c r="O95" i="187"/>
  <c r="AA89" i="187"/>
  <c r="T89" i="187"/>
  <c r="S89" i="187"/>
  <c r="R89" i="187"/>
  <c r="O89" i="187"/>
  <c r="N89" i="187"/>
  <c r="L89" i="187"/>
  <c r="AE87" i="187"/>
  <c r="AE89" i="187" s="1"/>
  <c r="AD87" i="187"/>
  <c r="AD89" i="187" s="1"/>
  <c r="AA87" i="187"/>
  <c r="Z87" i="187"/>
  <c r="Z89" i="187" s="1"/>
  <c r="W87" i="187"/>
  <c r="W89" i="187" s="1"/>
  <c r="U87" i="187"/>
  <c r="U89" i="187" s="1"/>
  <c r="T87" i="187"/>
  <c r="S87" i="187"/>
  <c r="R87" i="187"/>
  <c r="Q89" i="187" s="1"/>
  <c r="Q87" i="187"/>
  <c r="P89" i="187" s="1"/>
  <c r="P87" i="187"/>
  <c r="O87" i="187"/>
  <c r="N87" i="187"/>
  <c r="M87" i="187"/>
  <c r="M89" i="187" s="1"/>
  <c r="L87" i="187"/>
  <c r="AG85" i="187"/>
  <c r="AE85" i="187"/>
  <c r="AD85" i="187"/>
  <c r="AC85" i="187"/>
  <c r="AB85" i="187"/>
  <c r="AG84" i="187"/>
  <c r="AF84" i="187"/>
  <c r="AE84" i="187"/>
  <c r="AE96" i="187" s="1"/>
  <c r="AD84" i="187"/>
  <c r="AD96" i="187" s="1"/>
  <c r="AC84" i="187"/>
  <c r="AA84" i="187"/>
  <c r="Z84" i="187"/>
  <c r="Y84" i="187"/>
  <c r="X84" i="187"/>
  <c r="W84" i="187"/>
  <c r="W96" i="187" s="1"/>
  <c r="W144" i="187" s="1"/>
  <c r="U84" i="187"/>
  <c r="T84" i="187"/>
  <c r="S84" i="187"/>
  <c r="R84" i="187"/>
  <c r="Q84" i="187"/>
  <c r="P84" i="187"/>
  <c r="O84" i="187"/>
  <c r="N84" i="187"/>
  <c r="M84" i="187"/>
  <c r="L84" i="187"/>
  <c r="AG78" i="187"/>
  <c r="AF78" i="187"/>
  <c r="AE78" i="187"/>
  <c r="AD78" i="187"/>
  <c r="AC78" i="187"/>
  <c r="AA78" i="187"/>
  <c r="Z78" i="187"/>
  <c r="Y78" i="187"/>
  <c r="X78" i="187"/>
  <c r="W78" i="187"/>
  <c r="AB78" i="187" s="1"/>
  <c r="N78" i="187"/>
  <c r="M78" i="187"/>
  <c r="L78" i="187"/>
  <c r="AH77" i="187"/>
  <c r="AB77" i="187"/>
  <c r="AH76" i="187"/>
  <c r="AB76" i="187"/>
  <c r="AH75" i="187"/>
  <c r="AB75" i="187"/>
  <c r="AH74" i="187"/>
  <c r="AB74" i="187"/>
  <c r="AB73" i="187"/>
  <c r="U73" i="187"/>
  <c r="U78" i="187" s="1"/>
  <c r="T73" i="187"/>
  <c r="T78" i="187" s="1"/>
  <c r="S73" i="187"/>
  <c r="S78" i="187" s="1"/>
  <c r="R73" i="187"/>
  <c r="R78" i="187" s="1"/>
  <c r="Q73" i="187"/>
  <c r="P73" i="187"/>
  <c r="P78" i="187" s="1"/>
  <c r="O73" i="187"/>
  <c r="AG72" i="187"/>
  <c r="AE72" i="187"/>
  <c r="AD72" i="187"/>
  <c r="AC72" i="187"/>
  <c r="AA72" i="187"/>
  <c r="Z72" i="187"/>
  <c r="Y72" i="187"/>
  <c r="W72" i="187"/>
  <c r="U72" i="187"/>
  <c r="M72" i="187"/>
  <c r="AG70" i="187"/>
  <c r="AF70" i="187"/>
  <c r="AF72" i="187" s="1"/>
  <c r="AE70" i="187"/>
  <c r="AD70" i="187"/>
  <c r="AC70" i="187"/>
  <c r="AA70" i="187"/>
  <c r="Z70" i="187"/>
  <c r="Y70" i="187"/>
  <c r="X70" i="187"/>
  <c r="X72" i="187" s="1"/>
  <c r="W70" i="187"/>
  <c r="N70" i="187"/>
  <c r="M70" i="187"/>
  <c r="L70" i="187"/>
  <c r="AB68" i="187"/>
  <c r="U68" i="187"/>
  <c r="R68" i="187"/>
  <c r="Q68" i="187"/>
  <c r="AG67" i="187"/>
  <c r="AF67" i="187"/>
  <c r="AE67" i="187"/>
  <c r="AD67" i="187"/>
  <c r="AC67" i="187"/>
  <c r="AA67" i="187"/>
  <c r="Z67" i="187"/>
  <c r="Y67" i="187"/>
  <c r="X67" i="187"/>
  <c r="AB67" i="187" s="1"/>
  <c r="W67" i="187"/>
  <c r="U67" i="187"/>
  <c r="U70" i="187" s="1"/>
  <c r="T67" i="187"/>
  <c r="T68" i="187" s="1"/>
  <c r="T70" i="187" s="1"/>
  <c r="T72" i="187" s="1"/>
  <c r="S67" i="187"/>
  <c r="S68" i="187" s="1"/>
  <c r="R67" i="187"/>
  <c r="R70" i="187" s="1"/>
  <c r="R72" i="187" s="1"/>
  <c r="Q67" i="187"/>
  <c r="P67" i="187"/>
  <c r="P68" i="187" s="1"/>
  <c r="P70" i="187" s="1"/>
  <c r="P72" i="187" s="1"/>
  <c r="O67" i="187"/>
  <c r="O68" i="187" s="1"/>
  <c r="N67" i="187"/>
  <c r="M67" i="187"/>
  <c r="L67" i="187"/>
  <c r="AG61" i="187"/>
  <c r="AF61" i="187"/>
  <c r="AE61" i="187"/>
  <c r="AD61" i="187"/>
  <c r="AC61" i="187"/>
  <c r="AA61" i="187"/>
  <c r="Z61" i="187"/>
  <c r="Y61" i="187"/>
  <c r="X61" i="187"/>
  <c r="W61" i="187"/>
  <c r="U61" i="187"/>
  <c r="Q61" i="187"/>
  <c r="N61" i="187"/>
  <c r="M61" i="187"/>
  <c r="L61" i="187"/>
  <c r="AH60" i="187"/>
  <c r="AB60" i="187"/>
  <c r="AH59" i="187"/>
  <c r="AB59" i="187"/>
  <c r="AH58" i="187"/>
  <c r="AB58" i="187"/>
  <c r="AH57" i="187"/>
  <c r="AB57" i="187"/>
  <c r="AB56" i="187"/>
  <c r="U56" i="187"/>
  <c r="T56" i="187"/>
  <c r="T61" i="187" s="1"/>
  <c r="S56" i="187"/>
  <c r="S61" i="187" s="1"/>
  <c r="R56" i="187"/>
  <c r="R61" i="187" s="1"/>
  <c r="Q56" i="187"/>
  <c r="P56" i="187"/>
  <c r="P61" i="187" s="1"/>
  <c r="O56" i="187"/>
  <c r="O61" i="187" s="1"/>
  <c r="AH61" i="187" s="1"/>
  <c r="AE55" i="187"/>
  <c r="AD55" i="187"/>
  <c r="AC55" i="187"/>
  <c r="AA55" i="187"/>
  <c r="Z55" i="187"/>
  <c r="W55" i="187"/>
  <c r="M55" i="187"/>
  <c r="AG53" i="187"/>
  <c r="AG55" i="187" s="1"/>
  <c r="AF53" i="187"/>
  <c r="AF55" i="187" s="1"/>
  <c r="AE53" i="187"/>
  <c r="AD53" i="187"/>
  <c r="AC53" i="187"/>
  <c r="AA53" i="187"/>
  <c r="Z53" i="187"/>
  <c r="Y53" i="187"/>
  <c r="Y55" i="187" s="1"/>
  <c r="X53" i="187"/>
  <c r="X55" i="187" s="1"/>
  <c r="W53" i="187"/>
  <c r="S53" i="187"/>
  <c r="S55" i="187" s="1"/>
  <c r="N53" i="187"/>
  <c r="M53" i="187"/>
  <c r="L53" i="187"/>
  <c r="AB51" i="187"/>
  <c r="U51" i="187"/>
  <c r="R51" i="187"/>
  <c r="Q51" i="187"/>
  <c r="AG50" i="187"/>
  <c r="AF50" i="187"/>
  <c r="AE50" i="187"/>
  <c r="AD50" i="187"/>
  <c r="AC50" i="187"/>
  <c r="AA50" i="187"/>
  <c r="Z50" i="187"/>
  <c r="Y50" i="187"/>
  <c r="X50" i="187"/>
  <c r="AB50" i="187" s="1"/>
  <c r="W50" i="187"/>
  <c r="U50" i="187"/>
  <c r="U53" i="187" s="1"/>
  <c r="U55" i="187" s="1"/>
  <c r="T50" i="187"/>
  <c r="S50" i="187"/>
  <c r="S51" i="187" s="1"/>
  <c r="R50" i="187"/>
  <c r="R53" i="187" s="1"/>
  <c r="R55" i="187" s="1"/>
  <c r="Q50" i="187"/>
  <c r="Q53" i="187" s="1"/>
  <c r="Q55" i="187" s="1"/>
  <c r="P50" i="187"/>
  <c r="P51" i="187" s="1"/>
  <c r="P53" i="187" s="1"/>
  <c r="P55" i="187" s="1"/>
  <c r="O50" i="187"/>
  <c r="O51" i="187" s="1"/>
  <c r="N50" i="187"/>
  <c r="M50" i="187"/>
  <c r="L50" i="187"/>
  <c r="AH50" i="187" s="1"/>
  <c r="U45" i="187"/>
  <c r="T45" i="187"/>
  <c r="S45" i="187"/>
  <c r="R45" i="187"/>
  <c r="R39" i="187" s="1"/>
  <c r="Q45" i="187"/>
  <c r="P45" i="187"/>
  <c r="O45" i="187"/>
  <c r="AG44" i="187"/>
  <c r="AF44" i="187"/>
  <c r="AE44" i="187"/>
  <c r="AD44" i="187"/>
  <c r="AC44" i="187"/>
  <c r="AA44" i="187"/>
  <c r="Z44" i="187"/>
  <c r="Y44" i="187"/>
  <c r="X44" i="187"/>
  <c r="W44" i="187"/>
  <c r="N44" i="187"/>
  <c r="M44" i="187"/>
  <c r="AH44" i="187" s="1"/>
  <c r="L44" i="187"/>
  <c r="AH43" i="187"/>
  <c r="AB43" i="187"/>
  <c r="AH42" i="187"/>
  <c r="AB42" i="187"/>
  <c r="AH41" i="187"/>
  <c r="AB41" i="187"/>
  <c r="AH40" i="187"/>
  <c r="AB40" i="187"/>
  <c r="AB39" i="187"/>
  <c r="U39" i="187"/>
  <c r="T39" i="187"/>
  <c r="S39" i="187"/>
  <c r="Q39" i="187"/>
  <c r="P39" i="187"/>
  <c r="O39" i="187"/>
  <c r="AH39" i="187" s="1"/>
  <c r="AG38" i="187"/>
  <c r="AE38" i="187"/>
  <c r="AA38" i="187"/>
  <c r="Z38" i="187"/>
  <c r="W38" i="187"/>
  <c r="AG36" i="187"/>
  <c r="AF36" i="187"/>
  <c r="AF38" i="187" s="1"/>
  <c r="AE36" i="187"/>
  <c r="AD36" i="187"/>
  <c r="AD38" i="187" s="1"/>
  <c r="AC36" i="187"/>
  <c r="AC38" i="187" s="1"/>
  <c r="AA36" i="187"/>
  <c r="Z36" i="187"/>
  <c r="Y36" i="187"/>
  <c r="Y38" i="187" s="1"/>
  <c r="X36" i="187"/>
  <c r="X38" i="187" s="1"/>
  <c r="W36" i="187"/>
  <c r="Q36" i="187"/>
  <c r="Q38" i="187" s="1"/>
  <c r="M36" i="187"/>
  <c r="M38" i="187" s="1"/>
  <c r="L36" i="187"/>
  <c r="AB34" i="187"/>
  <c r="U34" i="187"/>
  <c r="U36" i="187" s="1"/>
  <c r="U38" i="187" s="1"/>
  <c r="T34" i="187"/>
  <c r="T36" i="187" s="1"/>
  <c r="T38" i="187" s="1"/>
  <c r="Q34" i="187"/>
  <c r="AG33" i="187"/>
  <c r="AF33" i="187"/>
  <c r="AE33" i="187"/>
  <c r="AD33" i="187"/>
  <c r="AC33" i="187"/>
  <c r="AA33" i="187"/>
  <c r="Z33" i="187"/>
  <c r="Y33" i="187"/>
  <c r="X33" i="187"/>
  <c r="W33" i="187"/>
  <c r="U33" i="187"/>
  <c r="T33" i="187"/>
  <c r="S33" i="187"/>
  <c r="S34" i="187" s="1"/>
  <c r="S36" i="187" s="1"/>
  <c r="S38" i="187" s="1"/>
  <c r="R33" i="187"/>
  <c r="Q33" i="187"/>
  <c r="P33" i="187"/>
  <c r="P38" i="187" s="1"/>
  <c r="O33" i="187"/>
  <c r="N33" i="187"/>
  <c r="N36" i="187" s="1"/>
  <c r="N38" i="187" s="1"/>
  <c r="M33" i="187"/>
  <c r="L33" i="187"/>
  <c r="U28" i="187"/>
  <c r="T28" i="187"/>
  <c r="S28" i="187"/>
  <c r="R28" i="187"/>
  <c r="Q28" i="187"/>
  <c r="P28" i="187"/>
  <c r="AG27" i="187"/>
  <c r="AF27" i="187"/>
  <c r="AE27" i="187"/>
  <c r="AD27" i="187"/>
  <c r="AC27" i="187"/>
  <c r="AH27" i="187" s="1"/>
  <c r="AA27" i="187"/>
  <c r="Z27" i="187"/>
  <c r="Y27" i="187"/>
  <c r="X27" i="187"/>
  <c r="AB27" i="187" s="1"/>
  <c r="W27" i="187"/>
  <c r="AH26" i="187"/>
  <c r="AB26" i="187"/>
  <c r="AH25" i="187"/>
  <c r="AB25" i="187"/>
  <c r="AH24" i="187"/>
  <c r="AB24" i="187"/>
  <c r="AH23" i="187"/>
  <c r="AB23" i="187"/>
  <c r="AH22" i="187"/>
  <c r="AB22" i="187"/>
  <c r="U22" i="187"/>
  <c r="T22" i="187"/>
  <c r="S22" i="187"/>
  <c r="R22" i="187"/>
  <c r="Q22" i="187"/>
  <c r="P22" i="187"/>
  <c r="P95" i="205"/>
  <c r="O95" i="205"/>
  <c r="N95" i="205"/>
  <c r="M95" i="205"/>
  <c r="L95" i="205"/>
  <c r="O93" i="205"/>
  <c r="N93" i="205"/>
  <c r="K93" i="205"/>
  <c r="J93" i="205"/>
  <c r="G93" i="205"/>
  <c r="P91" i="205"/>
  <c r="P93" i="205" s="1"/>
  <c r="O91" i="205"/>
  <c r="N91" i="205"/>
  <c r="M91" i="205"/>
  <c r="M93" i="205" s="1"/>
  <c r="L91" i="205"/>
  <c r="L93" i="205" s="1"/>
  <c r="K91" i="205"/>
  <c r="J91" i="205"/>
  <c r="I91" i="205"/>
  <c r="I93" i="205" s="1"/>
  <c r="H91" i="205"/>
  <c r="H93" i="205" s="1"/>
  <c r="G91" i="205"/>
  <c r="O87" i="205"/>
  <c r="N87" i="205"/>
  <c r="K87" i="205"/>
  <c r="J87" i="205"/>
  <c r="G87" i="205"/>
  <c r="P85" i="205"/>
  <c r="P87" i="205" s="1"/>
  <c r="O85" i="205"/>
  <c r="N85" i="205"/>
  <c r="M85" i="205"/>
  <c r="M87" i="205" s="1"/>
  <c r="L85" i="205"/>
  <c r="L87" i="205" s="1"/>
  <c r="K85" i="205"/>
  <c r="J85" i="205"/>
  <c r="I85" i="205"/>
  <c r="I87" i="205" s="1"/>
  <c r="H85" i="205"/>
  <c r="H87" i="205" s="1"/>
  <c r="G85" i="205"/>
  <c r="O81" i="205"/>
  <c r="N81" i="205"/>
  <c r="K81" i="205"/>
  <c r="J81" i="205"/>
  <c r="G81" i="205"/>
  <c r="P79" i="205"/>
  <c r="P81" i="205" s="1"/>
  <c r="O79" i="205"/>
  <c r="N79" i="205"/>
  <c r="M79" i="205"/>
  <c r="M81" i="205" s="1"/>
  <c r="L79" i="205"/>
  <c r="L81" i="205" s="1"/>
  <c r="K79" i="205"/>
  <c r="J79" i="205"/>
  <c r="I79" i="205"/>
  <c r="I81" i="205" s="1"/>
  <c r="H79" i="205"/>
  <c r="H81" i="205" s="1"/>
  <c r="G79" i="205"/>
  <c r="O75" i="205"/>
  <c r="N75" i="205"/>
  <c r="K75" i="205"/>
  <c r="J75" i="205"/>
  <c r="G75" i="205"/>
  <c r="P73" i="205"/>
  <c r="P75" i="205" s="1"/>
  <c r="O73" i="205"/>
  <c r="N73" i="205"/>
  <c r="M73" i="205"/>
  <c r="M75" i="205" s="1"/>
  <c r="L73" i="205"/>
  <c r="L75" i="205" s="1"/>
  <c r="K73" i="205"/>
  <c r="J73" i="205"/>
  <c r="I73" i="205"/>
  <c r="I75" i="205" s="1"/>
  <c r="H73" i="205"/>
  <c r="H75" i="205" s="1"/>
  <c r="G73" i="205"/>
  <c r="V61" i="205"/>
  <c r="U61" i="205"/>
  <c r="T61" i="205"/>
  <c r="S61" i="205"/>
  <c r="R61" i="205"/>
  <c r="Q61" i="205"/>
  <c r="P61" i="205"/>
  <c r="O61" i="205"/>
  <c r="N61" i="205"/>
  <c r="M61" i="205"/>
  <c r="L61" i="205"/>
  <c r="K61" i="205"/>
  <c r="J61" i="205"/>
  <c r="I61" i="205"/>
  <c r="H61" i="205"/>
  <c r="G61" i="205"/>
  <c r="V59" i="205"/>
  <c r="U59" i="205"/>
  <c r="T59" i="205"/>
  <c r="S59" i="205"/>
  <c r="R59" i="205"/>
  <c r="Q59" i="205"/>
  <c r="P59" i="205"/>
  <c r="O59" i="205"/>
  <c r="N59" i="205"/>
  <c r="M59" i="205"/>
  <c r="L59" i="205"/>
  <c r="K59" i="205"/>
  <c r="J59" i="205"/>
  <c r="I59" i="205"/>
  <c r="H59" i="205"/>
  <c r="G59" i="205"/>
  <c r="Q58" i="205"/>
  <c r="N58" i="205"/>
  <c r="M58" i="205"/>
  <c r="L58" i="205"/>
  <c r="K58" i="205"/>
  <c r="J58" i="205"/>
  <c r="I58" i="205"/>
  <c r="H58" i="205"/>
  <c r="G58" i="205"/>
  <c r="P57" i="205"/>
  <c r="N57" i="205"/>
  <c r="M57" i="205"/>
  <c r="L57" i="205"/>
  <c r="K57" i="205"/>
  <c r="J57" i="205"/>
  <c r="I57" i="205"/>
  <c r="H57" i="205"/>
  <c r="G57" i="205"/>
  <c r="L55" i="205"/>
  <c r="V53" i="205"/>
  <c r="V55" i="205" s="1"/>
  <c r="T53" i="205"/>
  <c r="T55" i="205" s="1"/>
  <c r="R53" i="205"/>
  <c r="R55" i="205" s="1"/>
  <c r="Q53" i="205"/>
  <c r="Q55" i="205" s="1"/>
  <c r="P53" i="205"/>
  <c r="P55" i="205" s="1"/>
  <c r="N53" i="205"/>
  <c r="N55" i="205" s="1"/>
  <c r="M53" i="205"/>
  <c r="M55" i="205" s="1"/>
  <c r="L53" i="205"/>
  <c r="K53" i="205"/>
  <c r="K55" i="205" s="1"/>
  <c r="J53" i="205"/>
  <c r="J55" i="205" s="1"/>
  <c r="I53" i="205"/>
  <c r="I55" i="205" s="1"/>
  <c r="H53" i="205"/>
  <c r="H55" i="205" s="1"/>
  <c r="G53" i="205"/>
  <c r="G55" i="205" s="1"/>
  <c r="V50" i="205"/>
  <c r="U50" i="205"/>
  <c r="U53" i="205" s="1"/>
  <c r="U55" i="205" s="1"/>
  <c r="T50" i="205"/>
  <c r="S50" i="205"/>
  <c r="S53" i="205" s="1"/>
  <c r="S55" i="205" s="1"/>
  <c r="R50" i="205"/>
  <c r="K46" i="205"/>
  <c r="S44" i="205"/>
  <c r="S46" i="205" s="1"/>
  <c r="Q44" i="205"/>
  <c r="Q46" i="205" s="1"/>
  <c r="P44" i="205"/>
  <c r="P46" i="205" s="1"/>
  <c r="O44" i="205"/>
  <c r="O46" i="205" s="1"/>
  <c r="N44" i="205"/>
  <c r="N46" i="205" s="1"/>
  <c r="M44" i="205"/>
  <c r="M46" i="205" s="1"/>
  <c r="L44" i="205"/>
  <c r="L46" i="205" s="1"/>
  <c r="K44" i="205"/>
  <c r="J44" i="205"/>
  <c r="J46" i="205" s="1"/>
  <c r="I44" i="205"/>
  <c r="I46" i="205" s="1"/>
  <c r="H44" i="205"/>
  <c r="H46" i="205" s="1"/>
  <c r="G44" i="205"/>
  <c r="G46" i="205" s="1"/>
  <c r="U42" i="205"/>
  <c r="U44" i="205" s="1"/>
  <c r="U46" i="205" s="1"/>
  <c r="S42" i="205"/>
  <c r="V41" i="205"/>
  <c r="U41" i="205"/>
  <c r="T41" i="205"/>
  <c r="S41" i="205"/>
  <c r="R41" i="205"/>
  <c r="I37" i="205"/>
  <c r="O35" i="205"/>
  <c r="O37" i="205" s="1"/>
  <c r="N35" i="205"/>
  <c r="N37" i="205" s="1"/>
  <c r="M35" i="205"/>
  <c r="M37" i="205" s="1"/>
  <c r="L35" i="205"/>
  <c r="L37" i="205" s="1"/>
  <c r="K35" i="205"/>
  <c r="K37" i="205" s="1"/>
  <c r="J35" i="205"/>
  <c r="J37" i="205" s="1"/>
  <c r="I35" i="205"/>
  <c r="H35" i="205"/>
  <c r="H37" i="205" s="1"/>
  <c r="G35" i="205"/>
  <c r="G37" i="205" s="1"/>
  <c r="U33" i="205"/>
  <c r="U35" i="205" s="1"/>
  <c r="U37" i="205" s="1"/>
  <c r="Q33" i="205"/>
  <c r="Q35" i="205" s="1"/>
  <c r="Q37" i="205" s="1"/>
  <c r="P35" i="205"/>
  <c r="P37" i="205" s="1"/>
  <c r="V32" i="205"/>
  <c r="U32" i="205"/>
  <c r="T32" i="205"/>
  <c r="S32" i="205"/>
  <c r="S33" i="205" s="1"/>
  <c r="S35" i="205" s="1"/>
  <c r="S37" i="205" s="1"/>
  <c r="R32" i="205"/>
  <c r="O26" i="205"/>
  <c r="N26" i="205"/>
  <c r="N60" i="205" s="1"/>
  <c r="M26" i="205"/>
  <c r="M60" i="205" s="1"/>
  <c r="L26" i="205"/>
  <c r="L60" i="205" s="1"/>
  <c r="K26" i="205"/>
  <c r="J26" i="205"/>
  <c r="I26" i="205"/>
  <c r="I60" i="205" s="1"/>
  <c r="H26" i="205"/>
  <c r="H60" i="205" s="1"/>
  <c r="G26" i="205"/>
  <c r="Q24" i="205"/>
  <c r="Q26" i="205" s="1"/>
  <c r="P58" i="205"/>
  <c r="L33" i="210" s="1"/>
  <c r="V23" i="205"/>
  <c r="U23" i="205"/>
  <c r="U24" i="205" s="1"/>
  <c r="U26" i="205" s="1"/>
  <c r="T23" i="205"/>
  <c r="S23" i="205"/>
  <c r="S24" i="205" s="1"/>
  <c r="R23" i="205"/>
  <c r="AC270" i="242"/>
  <c r="AB270" i="242"/>
  <c r="AA270" i="242"/>
  <c r="Z270" i="242"/>
  <c r="Y270" i="242"/>
  <c r="X270" i="242"/>
  <c r="W270" i="242"/>
  <c r="V270" i="242"/>
  <c r="U270" i="242"/>
  <c r="T270" i="242"/>
  <c r="S270" i="242"/>
  <c r="L269" i="242"/>
  <c r="AD269" i="242" s="1"/>
  <c r="B269" i="242"/>
  <c r="L268" i="242"/>
  <c r="AD268" i="242" s="1"/>
  <c r="B268" i="242"/>
  <c r="P267" i="242"/>
  <c r="B267" i="242"/>
  <c r="P266" i="242"/>
  <c r="B266" i="242"/>
  <c r="L265" i="242"/>
  <c r="B265" i="242"/>
  <c r="AC263" i="242"/>
  <c r="AB263" i="242"/>
  <c r="AA263" i="242"/>
  <c r="Z263" i="242"/>
  <c r="Y263" i="242"/>
  <c r="X263" i="242"/>
  <c r="W263" i="242"/>
  <c r="V263" i="242"/>
  <c r="U263" i="242"/>
  <c r="T263" i="242"/>
  <c r="S263" i="242"/>
  <c r="P263" i="242"/>
  <c r="P269" i="242" s="1"/>
  <c r="O263" i="242"/>
  <c r="L263" i="242"/>
  <c r="K263" i="242"/>
  <c r="J263" i="242"/>
  <c r="I263" i="242"/>
  <c r="H263" i="242"/>
  <c r="G263" i="242"/>
  <c r="F263" i="242"/>
  <c r="E263" i="242"/>
  <c r="D263" i="242"/>
  <c r="C263" i="242"/>
  <c r="B263" i="242"/>
  <c r="AC262" i="242"/>
  <c r="AB262" i="242"/>
  <c r="AA262" i="242"/>
  <c r="Z262" i="242"/>
  <c r="Y262" i="242"/>
  <c r="X262" i="242"/>
  <c r="W262" i="242"/>
  <c r="V262" i="242"/>
  <c r="U262" i="242"/>
  <c r="T262" i="242"/>
  <c r="S262" i="242"/>
  <c r="P262" i="242"/>
  <c r="O262" i="242"/>
  <c r="L262" i="242"/>
  <c r="K262" i="242"/>
  <c r="J262" i="242"/>
  <c r="I262" i="242"/>
  <c r="H262" i="242"/>
  <c r="G262" i="242"/>
  <c r="F262" i="242"/>
  <c r="E262" i="242"/>
  <c r="D262" i="242"/>
  <c r="C262" i="242"/>
  <c r="B262" i="242"/>
  <c r="AC261" i="242"/>
  <c r="AB261" i="242"/>
  <c r="AA261" i="242"/>
  <c r="Z261" i="242"/>
  <c r="Y261" i="242"/>
  <c r="X261" i="242"/>
  <c r="W261" i="242"/>
  <c r="V261" i="242"/>
  <c r="U261" i="242"/>
  <c r="T261" i="242"/>
  <c r="S261" i="242"/>
  <c r="P261" i="242"/>
  <c r="L261" i="242"/>
  <c r="K261" i="242"/>
  <c r="J261" i="242"/>
  <c r="I261" i="242"/>
  <c r="H261" i="242"/>
  <c r="G261" i="242"/>
  <c r="F261" i="242"/>
  <c r="E261" i="242"/>
  <c r="D261" i="242"/>
  <c r="C261" i="242"/>
  <c r="B261" i="242"/>
  <c r="AC260" i="242"/>
  <c r="AB260" i="242"/>
  <c r="AA260" i="242"/>
  <c r="Z260" i="242"/>
  <c r="Y260" i="242"/>
  <c r="X260" i="242"/>
  <c r="W260" i="242"/>
  <c r="V260" i="242"/>
  <c r="U260" i="242"/>
  <c r="T260" i="242"/>
  <c r="S260" i="242"/>
  <c r="P260" i="242"/>
  <c r="L260" i="242"/>
  <c r="L266" i="242" s="1"/>
  <c r="AD266" i="242" s="1"/>
  <c r="K260" i="242"/>
  <c r="J260" i="242"/>
  <c r="I260" i="242"/>
  <c r="H260" i="242"/>
  <c r="G260" i="242"/>
  <c r="F260" i="242"/>
  <c r="E260" i="242"/>
  <c r="D260" i="242"/>
  <c r="C260" i="242"/>
  <c r="B260" i="242"/>
  <c r="AC259" i="242"/>
  <c r="AB259" i="242"/>
  <c r="AA259" i="242"/>
  <c r="Z259" i="242"/>
  <c r="Y259" i="242"/>
  <c r="X259" i="242"/>
  <c r="W259" i="242"/>
  <c r="V259" i="242"/>
  <c r="U259" i="242"/>
  <c r="T259" i="242"/>
  <c r="S259" i="242"/>
  <c r="P259" i="242"/>
  <c r="P265" i="242" s="1"/>
  <c r="P270" i="242" s="1"/>
  <c r="L259" i="242"/>
  <c r="K259" i="242"/>
  <c r="J259" i="242"/>
  <c r="I259" i="242"/>
  <c r="H259" i="242"/>
  <c r="G259" i="242"/>
  <c r="F259" i="242"/>
  <c r="E259" i="242"/>
  <c r="D259" i="242"/>
  <c r="C259" i="242"/>
  <c r="B259" i="242"/>
  <c r="AD257" i="242"/>
  <c r="AD256" i="242"/>
  <c r="AD255" i="242"/>
  <c r="AD254" i="242"/>
  <c r="AD253" i="242"/>
  <c r="B253" i="242"/>
  <c r="Q251" i="242"/>
  <c r="P251" i="242"/>
  <c r="O251" i="242"/>
  <c r="O269" i="242" s="1"/>
  <c r="N251" i="242"/>
  <c r="M251" i="242"/>
  <c r="L251" i="242"/>
  <c r="K251" i="242"/>
  <c r="J251" i="242"/>
  <c r="AD251" i="242" s="1"/>
  <c r="I251" i="242"/>
  <c r="H251" i="242"/>
  <c r="G251" i="242"/>
  <c r="F251" i="242"/>
  <c r="E251" i="242"/>
  <c r="D251" i="242"/>
  <c r="C251" i="242"/>
  <c r="B251" i="242"/>
  <c r="Q250" i="242"/>
  <c r="P250" i="242"/>
  <c r="O250" i="242"/>
  <c r="O268" i="242" s="1"/>
  <c r="N250" i="242"/>
  <c r="M250" i="242"/>
  <c r="L250" i="242"/>
  <c r="K250" i="242"/>
  <c r="J250" i="242"/>
  <c r="I250" i="242"/>
  <c r="H250" i="242"/>
  <c r="G250" i="242"/>
  <c r="F250" i="242"/>
  <c r="E250" i="242"/>
  <c r="D250" i="242"/>
  <c r="C250" i="242"/>
  <c r="B250" i="242"/>
  <c r="Q249" i="242"/>
  <c r="P249" i="242"/>
  <c r="O249" i="242"/>
  <c r="N249" i="242"/>
  <c r="M249" i="242"/>
  <c r="L249" i="242"/>
  <c r="L267" i="242" s="1"/>
  <c r="AD267" i="242" s="1"/>
  <c r="K249" i="242"/>
  <c r="J249" i="242"/>
  <c r="I249" i="242"/>
  <c r="H249" i="242"/>
  <c r="AD249" i="242" s="1"/>
  <c r="G249" i="242"/>
  <c r="F249" i="242"/>
  <c r="E249" i="242"/>
  <c r="D249" i="242"/>
  <c r="C249" i="242"/>
  <c r="B249" i="242"/>
  <c r="Q248" i="242"/>
  <c r="P248" i="242"/>
  <c r="O248" i="242"/>
  <c r="N248" i="242"/>
  <c r="M248" i="242"/>
  <c r="L248" i="242"/>
  <c r="K248" i="242"/>
  <c r="J248" i="242"/>
  <c r="AD248" i="242" s="1"/>
  <c r="I248" i="242"/>
  <c r="H248" i="242"/>
  <c r="G248" i="242"/>
  <c r="F248" i="242"/>
  <c r="E248" i="242"/>
  <c r="D248" i="242"/>
  <c r="C248" i="242"/>
  <c r="B248" i="242"/>
  <c r="AD247" i="242"/>
  <c r="Q247" i="242"/>
  <c r="P247" i="242"/>
  <c r="O247" i="242"/>
  <c r="N247" i="242"/>
  <c r="M247" i="242"/>
  <c r="L247" i="242"/>
  <c r="K247" i="242"/>
  <c r="J247" i="242"/>
  <c r="I247" i="242"/>
  <c r="H247" i="242"/>
  <c r="G247" i="242"/>
  <c r="F247" i="242"/>
  <c r="E247" i="242"/>
  <c r="D247" i="242"/>
  <c r="C247" i="242"/>
  <c r="B247" i="242"/>
  <c r="AD245" i="242"/>
  <c r="B245" i="242"/>
  <c r="AD244" i="242"/>
  <c r="B244" i="242"/>
  <c r="AD243" i="242"/>
  <c r="B243" i="242"/>
  <c r="AD242" i="242"/>
  <c r="B242" i="242"/>
  <c r="AD241" i="242"/>
  <c r="B241" i="242"/>
  <c r="AC232" i="242"/>
  <c r="AB232" i="242"/>
  <c r="AA232" i="242"/>
  <c r="Z232" i="242"/>
  <c r="Y232" i="242"/>
  <c r="W232" i="242"/>
  <c r="V232" i="242"/>
  <c r="U232" i="242"/>
  <c r="T232" i="242"/>
  <c r="S232" i="242"/>
  <c r="Q232" i="242"/>
  <c r="P232" i="242"/>
  <c r="O232" i="242"/>
  <c r="N232" i="242"/>
  <c r="M232" i="242"/>
  <c r="L232" i="242"/>
  <c r="G232" i="242"/>
  <c r="F232" i="242"/>
  <c r="E232" i="242"/>
  <c r="D232" i="242"/>
  <c r="C232" i="242"/>
  <c r="AC230" i="242"/>
  <c r="AB230" i="242"/>
  <c r="AA230" i="242"/>
  <c r="Z230" i="242"/>
  <c r="Y230" i="242"/>
  <c r="W230" i="242"/>
  <c r="V230" i="242"/>
  <c r="U230" i="242"/>
  <c r="T230" i="242"/>
  <c r="S230" i="242"/>
  <c r="Q230" i="242"/>
  <c r="P230" i="242"/>
  <c r="O230" i="242"/>
  <c r="N230" i="242"/>
  <c r="M230" i="242"/>
  <c r="L230" i="242"/>
  <c r="K230" i="242"/>
  <c r="J230" i="242"/>
  <c r="I230" i="242"/>
  <c r="H230" i="242"/>
  <c r="G230" i="242"/>
  <c r="F230" i="242"/>
  <c r="E230" i="242"/>
  <c r="D230" i="242"/>
  <c r="C230" i="242"/>
  <c r="X230" i="242" s="1"/>
  <c r="W229" i="242"/>
  <c r="V229" i="242"/>
  <c r="U229" i="242"/>
  <c r="T229" i="242"/>
  <c r="S229" i="242"/>
  <c r="J229" i="242"/>
  <c r="H229" i="242"/>
  <c r="G229" i="242"/>
  <c r="F229" i="242"/>
  <c r="E229" i="242"/>
  <c r="D229" i="242"/>
  <c r="C229" i="242"/>
  <c r="I224" i="242"/>
  <c r="L222" i="242"/>
  <c r="L224" i="242" s="1"/>
  <c r="I222" i="242"/>
  <c r="AD221" i="242"/>
  <c r="X221" i="242"/>
  <c r="X220" i="242"/>
  <c r="AB219" i="242"/>
  <c r="AB222" i="242" s="1"/>
  <c r="AB224" i="242" s="1"/>
  <c r="T219" i="242"/>
  <c r="T222" i="242" s="1"/>
  <c r="T224" i="242" s="1"/>
  <c r="C219" i="242"/>
  <c r="AC218" i="242"/>
  <c r="AB218" i="242"/>
  <c r="AA218" i="242"/>
  <c r="AA219" i="242" s="1"/>
  <c r="AA222" i="242" s="1"/>
  <c r="AA224" i="242" s="1"/>
  <c r="Z218" i="242"/>
  <c r="Y218" i="242"/>
  <c r="W218" i="242"/>
  <c r="W219" i="242" s="1"/>
  <c r="W222" i="242" s="1"/>
  <c r="W224" i="242" s="1"/>
  <c r="V218" i="242"/>
  <c r="U218" i="242"/>
  <c r="T218" i="242"/>
  <c r="S218" i="242"/>
  <c r="S219" i="242" s="1"/>
  <c r="S222" i="242" s="1"/>
  <c r="S224" i="242" s="1"/>
  <c r="Q218" i="242"/>
  <c r="P218" i="242"/>
  <c r="O218" i="242"/>
  <c r="N218" i="242"/>
  <c r="N219" i="242" s="1"/>
  <c r="M218" i="242"/>
  <c r="L218" i="242"/>
  <c r="K218" i="242"/>
  <c r="J218" i="242"/>
  <c r="I218" i="242"/>
  <c r="H218" i="242"/>
  <c r="G218" i="242"/>
  <c r="F218" i="242"/>
  <c r="F219" i="242" s="1"/>
  <c r="F222" i="242" s="1"/>
  <c r="F224" i="242" s="1"/>
  <c r="E218" i="242"/>
  <c r="D218" i="242"/>
  <c r="C218" i="242"/>
  <c r="AC217" i="242"/>
  <c r="AB217" i="242"/>
  <c r="AA217" i="242"/>
  <c r="Z217" i="242"/>
  <c r="Y217" i="242"/>
  <c r="W217" i="242"/>
  <c r="V217" i="242"/>
  <c r="U217" i="242"/>
  <c r="T217" i="242"/>
  <c r="S217" i="242"/>
  <c r="Q217" i="242"/>
  <c r="P217" i="242"/>
  <c r="O217" i="242"/>
  <c r="N217" i="242"/>
  <c r="M217" i="242"/>
  <c r="L217" i="242"/>
  <c r="K217" i="242"/>
  <c r="J217" i="242"/>
  <c r="I217" i="242"/>
  <c r="H217" i="242"/>
  <c r="AD217" i="242" s="1"/>
  <c r="G217" i="242"/>
  <c r="F217" i="242"/>
  <c r="E217" i="242"/>
  <c r="D217" i="242"/>
  <c r="C217" i="242"/>
  <c r="AC216" i="242"/>
  <c r="AB216" i="242"/>
  <c r="AA216" i="242"/>
  <c r="Z216" i="242"/>
  <c r="Y216" i="242"/>
  <c r="W216" i="242"/>
  <c r="V216" i="242"/>
  <c r="V219" i="242" s="1"/>
  <c r="V222" i="242" s="1"/>
  <c r="V224" i="242" s="1"/>
  <c r="U216" i="242"/>
  <c r="T216" i="242"/>
  <c r="S216" i="242"/>
  <c r="Q216" i="242"/>
  <c r="Q219" i="242" s="1"/>
  <c r="P216" i="242"/>
  <c r="O216" i="242"/>
  <c r="O219" i="242" s="1"/>
  <c r="N216" i="242"/>
  <c r="M216" i="242"/>
  <c r="M219" i="242" s="1"/>
  <c r="L216" i="242"/>
  <c r="K216" i="242"/>
  <c r="J216" i="242"/>
  <c r="I216" i="242"/>
  <c r="H216" i="242"/>
  <c r="AD216" i="242" s="1"/>
  <c r="G216" i="242"/>
  <c r="G219" i="242" s="1"/>
  <c r="G222" i="242" s="1"/>
  <c r="G224" i="242" s="1"/>
  <c r="F216" i="242"/>
  <c r="E216" i="242"/>
  <c r="E219" i="242" s="1"/>
  <c r="E222" i="242" s="1"/>
  <c r="E224" i="242" s="1"/>
  <c r="D216" i="242"/>
  <c r="C216" i="242"/>
  <c r="X216" i="242" s="1"/>
  <c r="AC214" i="242"/>
  <c r="AB214" i="242"/>
  <c r="AA214" i="242"/>
  <c r="Z214" i="242"/>
  <c r="Y214" i="242"/>
  <c r="W214" i="242"/>
  <c r="V214" i="242"/>
  <c r="U214" i="242"/>
  <c r="T214" i="242"/>
  <c r="S214" i="242"/>
  <c r="Q214" i="242"/>
  <c r="P214" i="242"/>
  <c r="O214" i="242"/>
  <c r="N214" i="242"/>
  <c r="M214" i="242"/>
  <c r="L214" i="242"/>
  <c r="K214" i="242"/>
  <c r="J214" i="242"/>
  <c r="J219" i="242" s="1"/>
  <c r="J222" i="242" s="1"/>
  <c r="J224" i="242" s="1"/>
  <c r="I214" i="242"/>
  <c r="H214" i="242"/>
  <c r="G214" i="242"/>
  <c r="F214" i="242"/>
  <c r="E214" i="242"/>
  <c r="D214" i="242"/>
  <c r="C214" i="242"/>
  <c r="X214" i="242" s="1"/>
  <c r="AD213" i="242"/>
  <c r="X213" i="242"/>
  <c r="AD212" i="242"/>
  <c r="X212" i="242"/>
  <c r="AD211" i="242"/>
  <c r="X211" i="242"/>
  <c r="AC209" i="242"/>
  <c r="AB209" i="242"/>
  <c r="AA209" i="242"/>
  <c r="Z209" i="242"/>
  <c r="Y209" i="242"/>
  <c r="W209" i="242"/>
  <c r="V209" i="242"/>
  <c r="U209" i="242"/>
  <c r="T209" i="242"/>
  <c r="S209" i="242"/>
  <c r="Q209" i="242"/>
  <c r="P209" i="242"/>
  <c r="O209" i="242"/>
  <c r="N209" i="242"/>
  <c r="M209" i="242"/>
  <c r="L209" i="242"/>
  <c r="K209" i="242"/>
  <c r="K219" i="242" s="1"/>
  <c r="J209" i="242"/>
  <c r="I209" i="242"/>
  <c r="I219" i="242" s="1"/>
  <c r="H209" i="242"/>
  <c r="G209" i="242"/>
  <c r="F209" i="242"/>
  <c r="E209" i="242"/>
  <c r="D209" i="242"/>
  <c r="C209" i="242"/>
  <c r="X209" i="242" s="1"/>
  <c r="AD208" i="242"/>
  <c r="X208" i="242"/>
  <c r="AD207" i="242"/>
  <c r="X207" i="242"/>
  <c r="AD206" i="242"/>
  <c r="X206" i="242"/>
  <c r="AC204" i="242"/>
  <c r="AB204" i="242"/>
  <c r="AA204" i="242"/>
  <c r="Z204" i="242"/>
  <c r="Y204" i="242"/>
  <c r="W204" i="242"/>
  <c r="V204" i="242"/>
  <c r="U204" i="242"/>
  <c r="T204" i="242"/>
  <c r="S204" i="242"/>
  <c r="Q204" i="242"/>
  <c r="P204" i="242"/>
  <c r="O204" i="242"/>
  <c r="N204" i="242"/>
  <c r="M204" i="242"/>
  <c r="L204" i="242"/>
  <c r="L219" i="242" s="1"/>
  <c r="G204" i="242"/>
  <c r="F204" i="242"/>
  <c r="E204" i="242"/>
  <c r="D204" i="242"/>
  <c r="C204" i="242"/>
  <c r="AD203" i="242"/>
  <c r="X203" i="242"/>
  <c r="AD202" i="242"/>
  <c r="X202" i="242"/>
  <c r="AD201" i="242"/>
  <c r="X201" i="242"/>
  <c r="AC199" i="242"/>
  <c r="AB199" i="242"/>
  <c r="AA199" i="242"/>
  <c r="Z199" i="242"/>
  <c r="Y199" i="242"/>
  <c r="W199" i="242"/>
  <c r="V199" i="242"/>
  <c r="U199" i="242"/>
  <c r="T199" i="242"/>
  <c r="S199" i="242"/>
  <c r="Q199" i="242"/>
  <c r="P199" i="242"/>
  <c r="O199" i="242"/>
  <c r="N199" i="242"/>
  <c r="M199" i="242"/>
  <c r="L199" i="242"/>
  <c r="K199" i="242"/>
  <c r="J199" i="242"/>
  <c r="I199" i="242"/>
  <c r="H199" i="242"/>
  <c r="G199" i="242"/>
  <c r="F199" i="242"/>
  <c r="E199" i="242"/>
  <c r="D199" i="242"/>
  <c r="C199" i="242"/>
  <c r="AC195" i="242"/>
  <c r="AB195" i="242"/>
  <c r="AA195" i="242"/>
  <c r="Z195" i="242"/>
  <c r="Y195" i="242"/>
  <c r="W195" i="242"/>
  <c r="V195" i="242"/>
  <c r="U195" i="242"/>
  <c r="T195" i="242"/>
  <c r="S195" i="242"/>
  <c r="E195" i="242"/>
  <c r="G193" i="242"/>
  <c r="G195" i="242" s="1"/>
  <c r="F193" i="242"/>
  <c r="F195" i="242" s="1"/>
  <c r="E193" i="242"/>
  <c r="D193" i="242"/>
  <c r="D195" i="242" s="1"/>
  <c r="C193" i="242"/>
  <c r="C195" i="242" s="1"/>
  <c r="AD192" i="242"/>
  <c r="X192" i="242"/>
  <c r="X191" i="242"/>
  <c r="AB190" i="242"/>
  <c r="T190" i="242"/>
  <c r="O190" i="242"/>
  <c r="AC189" i="242"/>
  <c r="AB189" i="242"/>
  <c r="AA189" i="242"/>
  <c r="Z189" i="242"/>
  <c r="Y189" i="242"/>
  <c r="W189" i="242"/>
  <c r="V189" i="242"/>
  <c r="U189" i="242"/>
  <c r="T189" i="242"/>
  <c r="S189" i="242"/>
  <c r="Q189" i="242"/>
  <c r="P189" i="242"/>
  <c r="O189" i="242"/>
  <c r="N189" i="242"/>
  <c r="M189" i="242"/>
  <c r="L189" i="242"/>
  <c r="I189" i="242"/>
  <c r="H189" i="242"/>
  <c r="G189" i="242"/>
  <c r="F189" i="242"/>
  <c r="E189" i="242"/>
  <c r="D189" i="242"/>
  <c r="C189" i="242"/>
  <c r="X189" i="242" s="1"/>
  <c r="AC188" i="242"/>
  <c r="AB188" i="242"/>
  <c r="AA188" i="242"/>
  <c r="Z188" i="242"/>
  <c r="Y188" i="242"/>
  <c r="W188" i="242"/>
  <c r="V188" i="242"/>
  <c r="U188" i="242"/>
  <c r="T188" i="242"/>
  <c r="S188" i="242"/>
  <c r="Q188" i="242"/>
  <c r="P188" i="242"/>
  <c r="O188" i="242"/>
  <c r="N188" i="242"/>
  <c r="M188" i="242"/>
  <c r="L188" i="242"/>
  <c r="J188" i="242"/>
  <c r="I188" i="242"/>
  <c r="H188" i="242"/>
  <c r="G188" i="242"/>
  <c r="F188" i="242"/>
  <c r="E188" i="242"/>
  <c r="D188" i="242"/>
  <c r="C188" i="242"/>
  <c r="AC187" i="242"/>
  <c r="AC190" i="242" s="1"/>
  <c r="AB187" i="242"/>
  <c r="AA187" i="242"/>
  <c r="AA190" i="242" s="1"/>
  <c r="Z187" i="242"/>
  <c r="Y187" i="242"/>
  <c r="Y190" i="242" s="1"/>
  <c r="W187" i="242"/>
  <c r="W190" i="242" s="1"/>
  <c r="V187" i="242"/>
  <c r="U187" i="242"/>
  <c r="U190" i="242" s="1"/>
  <c r="T187" i="242"/>
  <c r="S187" i="242"/>
  <c r="S190" i="242" s="1"/>
  <c r="Q187" i="242"/>
  <c r="P187" i="242"/>
  <c r="P190" i="242" s="1"/>
  <c r="O187" i="242"/>
  <c r="N187" i="242"/>
  <c r="N190" i="242" s="1"/>
  <c r="M187" i="242"/>
  <c r="L187" i="242"/>
  <c r="J187" i="242"/>
  <c r="I187" i="242"/>
  <c r="H187" i="242"/>
  <c r="H190" i="242" s="1"/>
  <c r="G187" i="242"/>
  <c r="F187" i="242"/>
  <c r="E187" i="242"/>
  <c r="D187" i="242"/>
  <c r="C187" i="242"/>
  <c r="X187" i="242" s="1"/>
  <c r="AC185" i="242"/>
  <c r="AB185" i="242"/>
  <c r="AA185" i="242"/>
  <c r="Z185" i="242"/>
  <c r="Y185" i="242"/>
  <c r="W185" i="242"/>
  <c r="V185" i="242"/>
  <c r="U185" i="242"/>
  <c r="T185" i="242"/>
  <c r="S185" i="242"/>
  <c r="Q185" i="242"/>
  <c r="P185" i="242"/>
  <c r="O185" i="242"/>
  <c r="N185" i="242"/>
  <c r="M185" i="242"/>
  <c r="L185" i="242"/>
  <c r="K185" i="242"/>
  <c r="J185" i="242"/>
  <c r="I185" i="242"/>
  <c r="H185" i="242"/>
  <c r="AD185" i="242" s="1"/>
  <c r="G185" i="242"/>
  <c r="F185" i="242"/>
  <c r="E185" i="242"/>
  <c r="D185" i="242"/>
  <c r="C185" i="242"/>
  <c r="X185" i="242" s="1"/>
  <c r="AD184" i="242"/>
  <c r="X184" i="242"/>
  <c r="AD183" i="242"/>
  <c r="X183" i="242"/>
  <c r="AD182" i="242"/>
  <c r="X182" i="242"/>
  <c r="AC180" i="242"/>
  <c r="AB180" i="242"/>
  <c r="AA180" i="242"/>
  <c r="Z180" i="242"/>
  <c r="Y180" i="242"/>
  <c r="W180" i="242"/>
  <c r="V180" i="242"/>
  <c r="U180" i="242"/>
  <c r="T180" i="242"/>
  <c r="S180" i="242"/>
  <c r="Q180" i="242"/>
  <c r="P180" i="242"/>
  <c r="O180" i="242"/>
  <c r="N180" i="242"/>
  <c r="M180" i="242"/>
  <c r="L180" i="242"/>
  <c r="K180" i="242"/>
  <c r="J180" i="242"/>
  <c r="I180" i="242"/>
  <c r="H180" i="242"/>
  <c r="G180" i="242"/>
  <c r="F180" i="242"/>
  <c r="E180" i="242"/>
  <c r="D180" i="242"/>
  <c r="C180" i="242"/>
  <c r="X180" i="242" s="1"/>
  <c r="AD179" i="242"/>
  <c r="X179" i="242"/>
  <c r="AD178" i="242"/>
  <c r="X178" i="242"/>
  <c r="AD177" i="242"/>
  <c r="X177" i="242"/>
  <c r="AC175" i="242"/>
  <c r="AB175" i="242"/>
  <c r="AA175" i="242"/>
  <c r="Z175" i="242"/>
  <c r="Y175" i="242"/>
  <c r="W175" i="242"/>
  <c r="V175" i="242"/>
  <c r="U175" i="242"/>
  <c r="T175" i="242"/>
  <c r="S175" i="242"/>
  <c r="Q175" i="242"/>
  <c r="P175" i="242"/>
  <c r="O175" i="242"/>
  <c r="N175" i="242"/>
  <c r="M175" i="242"/>
  <c r="L175" i="242"/>
  <c r="I175" i="242"/>
  <c r="H175" i="242"/>
  <c r="F175" i="242"/>
  <c r="E175" i="242"/>
  <c r="D175" i="242"/>
  <c r="C175" i="242"/>
  <c r="X174" i="242"/>
  <c r="K189" i="242"/>
  <c r="J174" i="242"/>
  <c r="J175" i="242" s="1"/>
  <c r="I174" i="242"/>
  <c r="X173" i="242"/>
  <c r="X172" i="242"/>
  <c r="K187" i="242"/>
  <c r="AC170" i="242"/>
  <c r="AB170" i="242"/>
  <c r="AA170" i="242"/>
  <c r="Z170" i="242"/>
  <c r="Y170" i="242"/>
  <c r="W170" i="242"/>
  <c r="V170" i="242"/>
  <c r="U170" i="242"/>
  <c r="T170" i="242"/>
  <c r="S170" i="242"/>
  <c r="Q170" i="242"/>
  <c r="P170" i="242"/>
  <c r="O170" i="242"/>
  <c r="N170" i="242"/>
  <c r="M170" i="242"/>
  <c r="L170" i="242"/>
  <c r="K170" i="242"/>
  <c r="J170" i="242"/>
  <c r="I170" i="242"/>
  <c r="AD170" i="242" s="1"/>
  <c r="H170" i="242"/>
  <c r="G170" i="242"/>
  <c r="F170" i="242"/>
  <c r="E170" i="242"/>
  <c r="D170" i="242"/>
  <c r="C170" i="242"/>
  <c r="H166" i="242"/>
  <c r="B166" i="242"/>
  <c r="H164" i="242"/>
  <c r="B164" i="242"/>
  <c r="AD163" i="242"/>
  <c r="X163" i="242"/>
  <c r="AD162" i="242"/>
  <c r="X162" i="242"/>
  <c r="AB161" i="242"/>
  <c r="AB164" i="242" s="1"/>
  <c r="AB166" i="242" s="1"/>
  <c r="W161" i="242"/>
  <c r="W164" i="242" s="1"/>
  <c r="W166" i="242" s="1"/>
  <c r="G161" i="242"/>
  <c r="G164" i="242" s="1"/>
  <c r="G166" i="242" s="1"/>
  <c r="C161" i="242"/>
  <c r="AC160" i="242"/>
  <c r="AB160" i="242"/>
  <c r="AA160" i="242"/>
  <c r="Z160" i="242"/>
  <c r="Y160" i="242"/>
  <c r="W160" i="242"/>
  <c r="V160" i="242"/>
  <c r="U160" i="242"/>
  <c r="T160" i="242"/>
  <c r="S160" i="242"/>
  <c r="Q160" i="242"/>
  <c r="P160" i="242"/>
  <c r="O160" i="242"/>
  <c r="N160" i="242"/>
  <c r="M160" i="242"/>
  <c r="L160" i="242"/>
  <c r="K160" i="242"/>
  <c r="J160" i="242"/>
  <c r="I160" i="242"/>
  <c r="H160" i="242"/>
  <c r="G160" i="242"/>
  <c r="F160" i="242"/>
  <c r="E160" i="242"/>
  <c r="D160" i="242"/>
  <c r="C160" i="242"/>
  <c r="X160" i="242" s="1"/>
  <c r="AC159" i="242"/>
  <c r="AB159" i="242"/>
  <c r="AA159" i="242"/>
  <c r="Z159" i="242"/>
  <c r="Y159" i="242"/>
  <c r="W159" i="242"/>
  <c r="V159" i="242"/>
  <c r="U159" i="242"/>
  <c r="T159" i="242"/>
  <c r="S159" i="242"/>
  <c r="Q159" i="242"/>
  <c r="Q161" i="242" s="1"/>
  <c r="P159" i="242"/>
  <c r="O159" i="242"/>
  <c r="N159" i="242"/>
  <c r="M159" i="242"/>
  <c r="L159" i="242"/>
  <c r="K159" i="242"/>
  <c r="J159" i="242"/>
  <c r="I159" i="242"/>
  <c r="AD159" i="242" s="1"/>
  <c r="H159" i="242"/>
  <c r="G159" i="242"/>
  <c r="F159" i="242"/>
  <c r="E159" i="242"/>
  <c r="D159" i="242"/>
  <c r="C159" i="242"/>
  <c r="AC158" i="242"/>
  <c r="AC161" i="242" s="1"/>
  <c r="AC164" i="242" s="1"/>
  <c r="AC166" i="242" s="1"/>
  <c r="AB158" i="242"/>
  <c r="AA158" i="242"/>
  <c r="Z158" i="242"/>
  <c r="Z161" i="242" s="1"/>
  <c r="Z164" i="242" s="1"/>
  <c r="Z166" i="242" s="1"/>
  <c r="Y158" i="242"/>
  <c r="Y161" i="242" s="1"/>
  <c r="Y164" i="242" s="1"/>
  <c r="Y166" i="242" s="1"/>
  <c r="W158" i="242"/>
  <c r="V158" i="242"/>
  <c r="U158" i="242"/>
  <c r="U161" i="242" s="1"/>
  <c r="U164" i="242" s="1"/>
  <c r="U166" i="242" s="1"/>
  <c r="T158" i="242"/>
  <c r="T161" i="242" s="1"/>
  <c r="T164" i="242" s="1"/>
  <c r="T166" i="242" s="1"/>
  <c r="S158" i="242"/>
  <c r="S161" i="242" s="1"/>
  <c r="S164" i="242" s="1"/>
  <c r="S166" i="242" s="1"/>
  <c r="Q158" i="242"/>
  <c r="P158" i="242"/>
  <c r="P161" i="242" s="1"/>
  <c r="O158" i="242"/>
  <c r="O161" i="242" s="1"/>
  <c r="N158" i="242"/>
  <c r="N161" i="242" s="1"/>
  <c r="M158" i="242"/>
  <c r="L158" i="242"/>
  <c r="L161" i="242" s="1"/>
  <c r="L164" i="242" s="1"/>
  <c r="L166" i="242" s="1"/>
  <c r="K158" i="242"/>
  <c r="K161" i="242" s="1"/>
  <c r="K164" i="242" s="1"/>
  <c r="K166" i="242" s="1"/>
  <c r="J158" i="242"/>
  <c r="J161" i="242" s="1"/>
  <c r="J164" i="242" s="1"/>
  <c r="J166" i="242" s="1"/>
  <c r="I158" i="242"/>
  <c r="H158" i="242"/>
  <c r="AD158" i="242" s="1"/>
  <c r="G158" i="242"/>
  <c r="F158" i="242"/>
  <c r="F161" i="242" s="1"/>
  <c r="F164" i="242" s="1"/>
  <c r="F166" i="242" s="1"/>
  <c r="E158" i="242"/>
  <c r="D158" i="242"/>
  <c r="D161" i="242" s="1"/>
  <c r="D164" i="242" s="1"/>
  <c r="D166" i="242" s="1"/>
  <c r="C158" i="242"/>
  <c r="AC156" i="242"/>
  <c r="AB156" i="242"/>
  <c r="AA156" i="242"/>
  <c r="Z156" i="242"/>
  <c r="Y156" i="242"/>
  <c r="W156" i="242"/>
  <c r="V156" i="242"/>
  <c r="U156" i="242"/>
  <c r="T156" i="242"/>
  <c r="S156" i="242"/>
  <c r="Q156" i="242"/>
  <c r="P156" i="242"/>
  <c r="O156" i="242"/>
  <c r="N156" i="242"/>
  <c r="M156" i="242"/>
  <c r="L156" i="242"/>
  <c r="K156" i="242"/>
  <c r="J156" i="242"/>
  <c r="I156" i="242"/>
  <c r="AD156" i="242" s="1"/>
  <c r="H156" i="242"/>
  <c r="G156" i="242"/>
  <c r="F156" i="242"/>
  <c r="E156" i="242"/>
  <c r="D156" i="242"/>
  <c r="C156" i="242"/>
  <c r="X156" i="242" s="1"/>
  <c r="AD155" i="242"/>
  <c r="X155" i="242"/>
  <c r="AD154" i="242"/>
  <c r="X154" i="242"/>
  <c r="AD153" i="242"/>
  <c r="X153" i="242"/>
  <c r="AC151" i="242"/>
  <c r="AB151" i="242"/>
  <c r="AA151" i="242"/>
  <c r="Z151" i="242"/>
  <c r="Y151" i="242"/>
  <c r="W151" i="242"/>
  <c r="V151" i="242"/>
  <c r="U151" i="242"/>
  <c r="T151" i="242"/>
  <c r="S151" i="242"/>
  <c r="Q151" i="242"/>
  <c r="P151" i="242"/>
  <c r="O151" i="242"/>
  <c r="N151" i="242"/>
  <c r="M151" i="242"/>
  <c r="L151" i="242"/>
  <c r="K151" i="242"/>
  <c r="J151" i="242"/>
  <c r="I151" i="242"/>
  <c r="H151" i="242"/>
  <c r="G151" i="242"/>
  <c r="F151" i="242"/>
  <c r="E151" i="242"/>
  <c r="D151" i="242"/>
  <c r="C151" i="242"/>
  <c r="X151" i="242" s="1"/>
  <c r="AD150" i="242"/>
  <c r="X150" i="242"/>
  <c r="AD149" i="242"/>
  <c r="X149" i="242"/>
  <c r="AD148" i="242"/>
  <c r="X148" i="242"/>
  <c r="AC146" i="242"/>
  <c r="AB146" i="242"/>
  <c r="AA146" i="242"/>
  <c r="Z146" i="242"/>
  <c r="Y146" i="242"/>
  <c r="W146" i="242"/>
  <c r="V146" i="242"/>
  <c r="U146" i="242"/>
  <c r="T146" i="242"/>
  <c r="S146" i="242"/>
  <c r="Q146" i="242"/>
  <c r="P146" i="242"/>
  <c r="O146" i="242"/>
  <c r="N146" i="242"/>
  <c r="M146" i="242"/>
  <c r="L146" i="242"/>
  <c r="K146" i="242"/>
  <c r="J146" i="242"/>
  <c r="I146" i="242"/>
  <c r="AD146" i="242" s="1"/>
  <c r="H146" i="242"/>
  <c r="G146" i="242"/>
  <c r="F146" i="242"/>
  <c r="E146" i="242"/>
  <c r="D146" i="242"/>
  <c r="C146" i="242"/>
  <c r="X146" i="242" s="1"/>
  <c r="AD145" i="242"/>
  <c r="X145" i="242"/>
  <c r="AD144" i="242"/>
  <c r="X144" i="242"/>
  <c r="AD143" i="242"/>
  <c r="X143" i="242"/>
  <c r="W141" i="242"/>
  <c r="V141" i="242"/>
  <c r="U141" i="242"/>
  <c r="T141" i="242"/>
  <c r="S141" i="242"/>
  <c r="Q141" i="242"/>
  <c r="P141" i="242"/>
  <c r="O141" i="242"/>
  <c r="N141" i="242"/>
  <c r="M141" i="242"/>
  <c r="L141" i="242"/>
  <c r="K141" i="242"/>
  <c r="J141" i="242"/>
  <c r="I141" i="242"/>
  <c r="H141" i="242"/>
  <c r="G141" i="242"/>
  <c r="F141" i="242"/>
  <c r="E141" i="242"/>
  <c r="D141" i="242"/>
  <c r="C141" i="242"/>
  <c r="B141" i="242"/>
  <c r="B140" i="242"/>
  <c r="AC137" i="242"/>
  <c r="AB137" i="242"/>
  <c r="AA137" i="242"/>
  <c r="Z137" i="242"/>
  <c r="Y137" i="242"/>
  <c r="W137" i="242"/>
  <c r="V137" i="242"/>
  <c r="U137" i="242"/>
  <c r="T137" i="242"/>
  <c r="S137" i="242"/>
  <c r="B137" i="242"/>
  <c r="B135" i="242"/>
  <c r="AD134" i="242"/>
  <c r="X134" i="242"/>
  <c r="X133" i="242"/>
  <c r="I133" i="242"/>
  <c r="I229" i="242" s="1"/>
  <c r="U132" i="242"/>
  <c r="AC131" i="242"/>
  <c r="AB131" i="242"/>
  <c r="AA131" i="242"/>
  <c r="Z131" i="242"/>
  <c r="Y131" i="242"/>
  <c r="W131" i="242"/>
  <c r="V131" i="242"/>
  <c r="U131" i="242"/>
  <c r="T131" i="242"/>
  <c r="S131" i="242"/>
  <c r="Q131" i="242"/>
  <c r="P131" i="242"/>
  <c r="O131" i="242"/>
  <c r="N131" i="242"/>
  <c r="M131" i="242"/>
  <c r="L131" i="242"/>
  <c r="K131" i="242"/>
  <c r="J131" i="242"/>
  <c r="I131" i="242"/>
  <c r="H131" i="242"/>
  <c r="AC130" i="242"/>
  <c r="AB130" i="242"/>
  <c r="AA130" i="242"/>
  <c r="Z130" i="242"/>
  <c r="Y130" i="242"/>
  <c r="W130" i="242"/>
  <c r="V130" i="242"/>
  <c r="U130" i="242"/>
  <c r="T130" i="242"/>
  <c r="S130" i="242"/>
  <c r="Q130" i="242"/>
  <c r="P130" i="242"/>
  <c r="O130" i="242"/>
  <c r="N130" i="242"/>
  <c r="M130" i="242"/>
  <c r="L130" i="242"/>
  <c r="J130" i="242"/>
  <c r="I130" i="242"/>
  <c r="H130" i="242"/>
  <c r="AC129" i="242"/>
  <c r="AC132" i="242" s="1"/>
  <c r="AB129" i="242"/>
  <c r="AA129" i="242"/>
  <c r="AA132" i="242" s="1"/>
  <c r="Z129" i="242"/>
  <c r="Z132" i="242" s="1"/>
  <c r="Y129" i="242"/>
  <c r="Y132" i="242" s="1"/>
  <c r="W129" i="242"/>
  <c r="V129" i="242"/>
  <c r="V132" i="242" s="1"/>
  <c r="U129" i="242"/>
  <c r="T129" i="242"/>
  <c r="T132" i="242" s="1"/>
  <c r="S129" i="242"/>
  <c r="Q129" i="242"/>
  <c r="Q132" i="242" s="1"/>
  <c r="P129" i="242"/>
  <c r="P132" i="242" s="1"/>
  <c r="O129" i="242"/>
  <c r="O132" i="242" s="1"/>
  <c r="N129" i="242"/>
  <c r="M129" i="242"/>
  <c r="M132" i="242" s="1"/>
  <c r="L129" i="242"/>
  <c r="L132" i="242" s="1"/>
  <c r="L135" i="242" s="1"/>
  <c r="L137" i="242" s="1"/>
  <c r="J129" i="242"/>
  <c r="I129" i="242"/>
  <c r="I132" i="242" s="1"/>
  <c r="I135" i="242" s="1"/>
  <c r="I137" i="242" s="1"/>
  <c r="H129" i="242"/>
  <c r="H132" i="242" s="1"/>
  <c r="D132" i="242"/>
  <c r="D135" i="242" s="1"/>
  <c r="D137" i="242" s="1"/>
  <c r="AC127" i="242"/>
  <c r="AB127" i="242"/>
  <c r="AA127" i="242"/>
  <c r="Z127" i="242"/>
  <c r="Y127" i="242"/>
  <c r="W127" i="242"/>
  <c r="V127" i="242"/>
  <c r="U127" i="242"/>
  <c r="T127" i="242"/>
  <c r="S127" i="242"/>
  <c r="Q127" i="242"/>
  <c r="P127" i="242"/>
  <c r="O127" i="242"/>
  <c r="N127" i="242"/>
  <c r="M127" i="242"/>
  <c r="L127" i="242"/>
  <c r="K127" i="242"/>
  <c r="J127" i="242"/>
  <c r="I127" i="242"/>
  <c r="H127" i="242"/>
  <c r="AD127" i="242" s="1"/>
  <c r="G127" i="242"/>
  <c r="F127" i="242"/>
  <c r="E127" i="242"/>
  <c r="D127" i="242"/>
  <c r="C127" i="242"/>
  <c r="X127" i="242" s="1"/>
  <c r="AD126" i="242"/>
  <c r="X126" i="242"/>
  <c r="AD125" i="242"/>
  <c r="X125" i="242"/>
  <c r="AD124" i="242"/>
  <c r="X124" i="242"/>
  <c r="AC122" i="242"/>
  <c r="AB122" i="242"/>
  <c r="AA122" i="242"/>
  <c r="Z122" i="242"/>
  <c r="Y122" i="242"/>
  <c r="W122" i="242"/>
  <c r="V122" i="242"/>
  <c r="U122" i="242"/>
  <c r="T122" i="242"/>
  <c r="S122" i="242"/>
  <c r="Q122" i="242"/>
  <c r="P122" i="242"/>
  <c r="O122" i="242"/>
  <c r="N122" i="242"/>
  <c r="M122" i="242"/>
  <c r="L122" i="242"/>
  <c r="K122" i="242"/>
  <c r="J122" i="242"/>
  <c r="I122" i="242"/>
  <c r="H122" i="242"/>
  <c r="G122" i="242"/>
  <c r="F122" i="242"/>
  <c r="E122" i="242"/>
  <c r="D122" i="242"/>
  <c r="C122" i="242"/>
  <c r="X122" i="242" s="1"/>
  <c r="AD121" i="242"/>
  <c r="X121" i="242"/>
  <c r="AD120" i="242"/>
  <c r="X120" i="242"/>
  <c r="AD119" i="242"/>
  <c r="X119" i="242"/>
  <c r="AC117" i="242"/>
  <c r="AB117" i="242"/>
  <c r="AA117" i="242"/>
  <c r="Z117" i="242"/>
  <c r="Y117" i="242"/>
  <c r="W117" i="242"/>
  <c r="V117" i="242"/>
  <c r="U117" i="242"/>
  <c r="T117" i="242"/>
  <c r="S117" i="242"/>
  <c r="Q117" i="242"/>
  <c r="P117" i="242"/>
  <c r="O117" i="242"/>
  <c r="N117" i="242"/>
  <c r="M117" i="242"/>
  <c r="L117" i="242"/>
  <c r="J117" i="242"/>
  <c r="I117" i="242"/>
  <c r="H117" i="242"/>
  <c r="G117" i="242"/>
  <c r="F117" i="242"/>
  <c r="E117" i="242"/>
  <c r="D117" i="242"/>
  <c r="C117" i="242"/>
  <c r="AD116" i="242"/>
  <c r="X116" i="242"/>
  <c r="X115" i="242"/>
  <c r="X114" i="242"/>
  <c r="K117" i="242"/>
  <c r="W112" i="242"/>
  <c r="V112" i="242"/>
  <c r="U112" i="242"/>
  <c r="T112" i="242"/>
  <c r="S112" i="242"/>
  <c r="Q112" i="242"/>
  <c r="P112" i="242"/>
  <c r="O112" i="242"/>
  <c r="N112" i="242"/>
  <c r="M112" i="242"/>
  <c r="L112" i="242"/>
  <c r="K112" i="242"/>
  <c r="J112" i="242"/>
  <c r="I112" i="242"/>
  <c r="H112" i="242"/>
  <c r="G112" i="242"/>
  <c r="F112" i="242"/>
  <c r="E112" i="242"/>
  <c r="D112" i="242"/>
  <c r="C112" i="242"/>
  <c r="B112" i="242"/>
  <c r="B111" i="242"/>
  <c r="B108" i="242"/>
  <c r="B106" i="242"/>
  <c r="AD105" i="242"/>
  <c r="X105" i="242"/>
  <c r="AD104" i="242"/>
  <c r="X104" i="242"/>
  <c r="T103" i="242"/>
  <c r="O103" i="242"/>
  <c r="K103" i="242"/>
  <c r="G103" i="242"/>
  <c r="C103" i="242"/>
  <c r="AC102" i="242"/>
  <c r="AB102" i="242"/>
  <c r="AA102" i="242"/>
  <c r="Z102" i="242"/>
  <c r="Y102" i="242"/>
  <c r="W102" i="242"/>
  <c r="V102" i="242"/>
  <c r="U102" i="242"/>
  <c r="T102" i="242"/>
  <c r="S102" i="242"/>
  <c r="Q102" i="242"/>
  <c r="P102" i="242"/>
  <c r="O102" i="242"/>
  <c r="N102" i="242"/>
  <c r="M102" i="242"/>
  <c r="L102" i="242"/>
  <c r="K102" i="242"/>
  <c r="J102" i="242"/>
  <c r="I102" i="242"/>
  <c r="H102" i="242"/>
  <c r="AD102" i="242" s="1"/>
  <c r="G102" i="242"/>
  <c r="F102" i="242"/>
  <c r="E102" i="242"/>
  <c r="D102" i="242"/>
  <c r="C102" i="242"/>
  <c r="X102" i="242" s="1"/>
  <c r="AC101" i="242"/>
  <c r="AB101" i="242"/>
  <c r="AA101" i="242"/>
  <c r="Z101" i="242"/>
  <c r="Z103" i="242" s="1"/>
  <c r="Y101" i="242"/>
  <c r="W101" i="242"/>
  <c r="V101" i="242"/>
  <c r="V103" i="242" s="1"/>
  <c r="U101" i="242"/>
  <c r="T101" i="242"/>
  <c r="S101" i="242"/>
  <c r="Q101" i="242"/>
  <c r="Q103" i="242" s="1"/>
  <c r="P101" i="242"/>
  <c r="O101" i="242"/>
  <c r="N101" i="242"/>
  <c r="M101" i="242"/>
  <c r="M103" i="242" s="1"/>
  <c r="L101" i="242"/>
  <c r="K101" i="242"/>
  <c r="J101" i="242"/>
  <c r="I101" i="242"/>
  <c r="AD101" i="242" s="1"/>
  <c r="H101" i="242"/>
  <c r="G101" i="242"/>
  <c r="F101" i="242"/>
  <c r="E101" i="242"/>
  <c r="E103" i="242" s="1"/>
  <c r="D101" i="242"/>
  <c r="C101" i="242"/>
  <c r="X101" i="242" s="1"/>
  <c r="AC100" i="242"/>
  <c r="AC103" i="242" s="1"/>
  <c r="AB100" i="242"/>
  <c r="AA100" i="242"/>
  <c r="AA103" i="242" s="1"/>
  <c r="Z100" i="242"/>
  <c r="Y100" i="242"/>
  <c r="Y103" i="242" s="1"/>
  <c r="W100" i="242"/>
  <c r="W103" i="242" s="1"/>
  <c r="V100" i="242"/>
  <c r="U100" i="242"/>
  <c r="U103" i="242" s="1"/>
  <c r="T100" i="242"/>
  <c r="S100" i="242"/>
  <c r="S103" i="242" s="1"/>
  <c r="Q100" i="242"/>
  <c r="P100" i="242"/>
  <c r="P103" i="242" s="1"/>
  <c r="O100" i="242"/>
  <c r="N100" i="242"/>
  <c r="N103" i="242" s="1"/>
  <c r="M100" i="242"/>
  <c r="L100" i="242"/>
  <c r="L103" i="242" s="1"/>
  <c r="K100" i="242"/>
  <c r="J100" i="242"/>
  <c r="J103" i="242" s="1"/>
  <c r="I100" i="242"/>
  <c r="H100" i="242"/>
  <c r="H103" i="242" s="1"/>
  <c r="G100" i="242"/>
  <c r="F100" i="242"/>
  <c r="F103" i="242" s="1"/>
  <c r="E100" i="242"/>
  <c r="D100" i="242"/>
  <c r="D103" i="242" s="1"/>
  <c r="C100" i="242"/>
  <c r="X100" i="242" s="1"/>
  <c r="AC98" i="242"/>
  <c r="AB98" i="242"/>
  <c r="AA98" i="242"/>
  <c r="Z98" i="242"/>
  <c r="Y98" i="242"/>
  <c r="W98" i="242"/>
  <c r="V98" i="242"/>
  <c r="U98" i="242"/>
  <c r="T98" i="242"/>
  <c r="S98" i="242"/>
  <c r="Q98" i="242"/>
  <c r="P98" i="242"/>
  <c r="O98" i="242"/>
  <c r="N98" i="242"/>
  <c r="M98" i="242"/>
  <c r="L98" i="242"/>
  <c r="K98" i="242"/>
  <c r="J98" i="242"/>
  <c r="I98" i="242"/>
  <c r="AD98" i="242" s="1"/>
  <c r="H98" i="242"/>
  <c r="G98" i="242"/>
  <c r="F98" i="242"/>
  <c r="E98" i="242"/>
  <c r="D98" i="242"/>
  <c r="C98" i="242"/>
  <c r="X98" i="242" s="1"/>
  <c r="AD97" i="242"/>
  <c r="X97" i="242"/>
  <c r="AD96" i="242"/>
  <c r="X96" i="242"/>
  <c r="AD95" i="242"/>
  <c r="X95" i="242"/>
  <c r="AC93" i="242"/>
  <c r="AB93" i="242"/>
  <c r="AA93" i="242"/>
  <c r="Z93" i="242"/>
  <c r="Y93" i="242"/>
  <c r="W93" i="242"/>
  <c r="V93" i="242"/>
  <c r="U93" i="242"/>
  <c r="T93" i="242"/>
  <c r="S93" i="242"/>
  <c r="Q93" i="242"/>
  <c r="P93" i="242"/>
  <c r="O93" i="242"/>
  <c r="N93" i="242"/>
  <c r="M93" i="242"/>
  <c r="L93" i="242"/>
  <c r="K93" i="242"/>
  <c r="J93" i="242"/>
  <c r="I93" i="242"/>
  <c r="H93" i="242"/>
  <c r="AD93" i="242" s="1"/>
  <c r="G93" i="242"/>
  <c r="F93" i="242"/>
  <c r="E93" i="242"/>
  <c r="D93" i="242"/>
  <c r="C93" i="242"/>
  <c r="X93" i="242" s="1"/>
  <c r="AD92" i="242"/>
  <c r="X92" i="242"/>
  <c r="AD91" i="242"/>
  <c r="X91" i="242"/>
  <c r="AD90" i="242"/>
  <c r="X90" i="242"/>
  <c r="AC88" i="242"/>
  <c r="AB88" i="242"/>
  <c r="AA88" i="242"/>
  <c r="Z88" i="242"/>
  <c r="Y88" i="242"/>
  <c r="W88" i="242"/>
  <c r="V88" i="242"/>
  <c r="U88" i="242"/>
  <c r="T88" i="242"/>
  <c r="S88" i="242"/>
  <c r="Q88" i="242"/>
  <c r="P88" i="242"/>
  <c r="O88" i="242"/>
  <c r="N88" i="242"/>
  <c r="M88" i="242"/>
  <c r="L88" i="242"/>
  <c r="K88" i="242"/>
  <c r="J88" i="242"/>
  <c r="I88" i="242"/>
  <c r="AD88" i="242" s="1"/>
  <c r="H88" i="242"/>
  <c r="G88" i="242"/>
  <c r="F88" i="242"/>
  <c r="E88" i="242"/>
  <c r="D88" i="242"/>
  <c r="C88" i="242"/>
  <c r="X88" i="242" s="1"/>
  <c r="AD87" i="242"/>
  <c r="X87" i="242"/>
  <c r="AD86" i="242"/>
  <c r="X86" i="242"/>
  <c r="AD85" i="242"/>
  <c r="X85" i="242"/>
  <c r="AC83" i="242"/>
  <c r="AB83" i="242"/>
  <c r="AA83" i="242"/>
  <c r="Z83" i="242"/>
  <c r="Y83" i="242"/>
  <c r="X83" i="242"/>
  <c r="W83" i="242"/>
  <c r="V83" i="242"/>
  <c r="U83" i="242"/>
  <c r="T83" i="242"/>
  <c r="S83" i="242"/>
  <c r="Q83" i="242"/>
  <c r="P83" i="242"/>
  <c r="O83" i="242"/>
  <c r="N83" i="242"/>
  <c r="M83" i="242"/>
  <c r="L83" i="242"/>
  <c r="K83" i="242"/>
  <c r="J83" i="242"/>
  <c r="I83" i="242"/>
  <c r="H83" i="242"/>
  <c r="AD83" i="242" s="1"/>
  <c r="G83" i="242"/>
  <c r="F83" i="242"/>
  <c r="E83" i="242"/>
  <c r="D83" i="242"/>
  <c r="C83" i="242"/>
  <c r="B83" i="242"/>
  <c r="B82" i="242"/>
  <c r="AD79" i="242"/>
  <c r="X79" i="242"/>
  <c r="B79" i="242"/>
  <c r="AD78" i="242"/>
  <c r="X78" i="242"/>
  <c r="B78" i="242"/>
  <c r="AD77" i="242"/>
  <c r="X77" i="242"/>
  <c r="B77" i="242"/>
  <c r="X76" i="242"/>
  <c r="Q76" i="242"/>
  <c r="P76" i="242"/>
  <c r="O76" i="242"/>
  <c r="N76" i="242"/>
  <c r="M76" i="242"/>
  <c r="L76" i="242"/>
  <c r="K76" i="242"/>
  <c r="AD76" i="242" s="1"/>
  <c r="B76" i="242"/>
  <c r="AD75" i="242"/>
  <c r="X75" i="242"/>
  <c r="B75" i="242"/>
  <c r="AD73" i="242"/>
  <c r="X73" i="242"/>
  <c r="B73" i="242"/>
  <c r="X72" i="242"/>
  <c r="J72" i="242"/>
  <c r="I72" i="242"/>
  <c r="H72" i="242"/>
  <c r="B72" i="242"/>
  <c r="AD71" i="242"/>
  <c r="X71" i="242"/>
  <c r="B71" i="242"/>
  <c r="X70" i="242"/>
  <c r="J70" i="242"/>
  <c r="I70" i="242"/>
  <c r="H70" i="242"/>
  <c r="B70" i="242"/>
  <c r="AD69" i="242"/>
  <c r="X69" i="242"/>
  <c r="B69" i="242"/>
  <c r="AD67" i="242"/>
  <c r="X67" i="242"/>
  <c r="B67" i="242"/>
  <c r="X66" i="242"/>
  <c r="J66" i="242"/>
  <c r="I66" i="242"/>
  <c r="H66" i="242"/>
  <c r="B66" i="242"/>
  <c r="AD65" i="242"/>
  <c r="X65" i="242"/>
  <c r="B65" i="242"/>
  <c r="X64" i="242"/>
  <c r="J64" i="242"/>
  <c r="I64" i="242"/>
  <c r="H64" i="242"/>
  <c r="B64" i="242"/>
  <c r="AD63" i="242"/>
  <c r="X63" i="242"/>
  <c r="B63" i="242"/>
  <c r="AD52" i="242"/>
  <c r="X52" i="242"/>
  <c r="B52" i="242"/>
  <c r="AD51" i="242"/>
  <c r="X51" i="242"/>
  <c r="B51" i="242"/>
  <c r="AD50" i="242"/>
  <c r="X50" i="242"/>
  <c r="B50" i="242"/>
  <c r="AD49" i="242"/>
  <c r="X49" i="242"/>
  <c r="B49" i="242"/>
  <c r="AD48" i="242"/>
  <c r="X48" i="242"/>
  <c r="B48" i="242"/>
  <c r="AD46" i="242"/>
  <c r="X46" i="242"/>
  <c r="B46" i="242"/>
  <c r="AD45" i="242"/>
  <c r="X45" i="242"/>
  <c r="B45" i="242"/>
  <c r="AD44" i="242"/>
  <c r="X44" i="242"/>
  <c r="B44" i="242"/>
  <c r="AD43" i="242"/>
  <c r="X43" i="242"/>
  <c r="B43" i="242"/>
  <c r="AD42" i="242"/>
  <c r="X42" i="242"/>
  <c r="B42" i="242"/>
  <c r="AD40" i="242"/>
  <c r="X40" i="242"/>
  <c r="B40" i="242"/>
  <c r="AD39" i="242"/>
  <c r="X39" i="242"/>
  <c r="B39" i="242"/>
  <c r="AD38" i="242"/>
  <c r="X38" i="242"/>
  <c r="B38" i="242"/>
  <c r="AD37" i="242"/>
  <c r="X37" i="242"/>
  <c r="B37" i="242"/>
  <c r="AD36" i="242"/>
  <c r="X36" i="242"/>
  <c r="B36" i="242"/>
  <c r="AB31" i="242"/>
  <c r="T31" i="242"/>
  <c r="O31" i="242"/>
  <c r="K31" i="242"/>
  <c r="G31" i="242"/>
  <c r="C31" i="242"/>
  <c r="AD30" i="242"/>
  <c r="X30" i="242"/>
  <c r="AC29" i="242"/>
  <c r="AC31" i="242" s="1"/>
  <c r="AB29" i="242"/>
  <c r="AA29" i="242"/>
  <c r="AA31" i="242" s="1"/>
  <c r="Z29" i="242"/>
  <c r="Z31" i="242" s="1"/>
  <c r="Y29" i="242"/>
  <c r="Y31" i="242" s="1"/>
  <c r="W29" i="242"/>
  <c r="W31" i="242" s="1"/>
  <c r="V29" i="242"/>
  <c r="V31" i="242" s="1"/>
  <c r="U29" i="242"/>
  <c r="U31" i="242" s="1"/>
  <c r="T29" i="242"/>
  <c r="S29" i="242"/>
  <c r="S31" i="242" s="1"/>
  <c r="Q29" i="242"/>
  <c r="Q31" i="242" s="1"/>
  <c r="P29" i="242"/>
  <c r="P31" i="242" s="1"/>
  <c r="O29" i="242"/>
  <c r="N29" i="242"/>
  <c r="N31" i="242" s="1"/>
  <c r="M29" i="242"/>
  <c r="M31" i="242" s="1"/>
  <c r="L29" i="242"/>
  <c r="L31" i="242" s="1"/>
  <c r="K29" i="242"/>
  <c r="J29" i="242"/>
  <c r="J31" i="242" s="1"/>
  <c r="I29" i="242"/>
  <c r="I31" i="242" s="1"/>
  <c r="H29" i="242"/>
  <c r="H31" i="242" s="1"/>
  <c r="AD31" i="242" s="1"/>
  <c r="G29" i="242"/>
  <c r="F29" i="242"/>
  <c r="F31" i="242" s="1"/>
  <c r="E29" i="242"/>
  <c r="E31" i="242" s="1"/>
  <c r="D29" i="242"/>
  <c r="D31" i="242" s="1"/>
  <c r="C29" i="242"/>
  <c r="X29" i="242" s="1"/>
  <c r="AD28" i="242"/>
  <c r="X28" i="242"/>
  <c r="X199" i="242" s="1"/>
  <c r="AD27" i="242"/>
  <c r="X27" i="242"/>
  <c r="X170" i="242" s="1"/>
  <c r="AD26" i="242"/>
  <c r="X26" i="242"/>
  <c r="X141" i="242" s="1"/>
  <c r="AD25" i="242"/>
  <c r="X25" i="242"/>
  <c r="AD24" i="242"/>
  <c r="P40" i="238" l="1"/>
  <c r="P64" i="238"/>
  <c r="P67" i="238"/>
  <c r="P63" i="238"/>
  <c r="L35" i="210" s="1"/>
  <c r="P66" i="238"/>
  <c r="P62" i="238"/>
  <c r="P65" i="238"/>
  <c r="P61" i="238"/>
  <c r="P98" i="235"/>
  <c r="P100" i="235" s="1"/>
  <c r="P122" i="235"/>
  <c r="L36" i="210" s="1"/>
  <c r="L190" i="242"/>
  <c r="O38" i="235"/>
  <c r="O40" i="235" s="1"/>
  <c r="AD117" i="242"/>
  <c r="M27" i="257"/>
  <c r="P33" i="257"/>
  <c r="Q32" i="257" s="1"/>
  <c r="J27" i="257"/>
  <c r="K26" i="257" s="1"/>
  <c r="K28" i="257" s="1"/>
  <c r="D28" i="259"/>
  <c r="K33" i="257"/>
  <c r="L32" i="257" s="1"/>
  <c r="D28" i="258"/>
  <c r="H28" i="258"/>
  <c r="P28" i="258"/>
  <c r="D31" i="258"/>
  <c r="H31" i="258"/>
  <c r="G34" i="258"/>
  <c r="K34" i="258"/>
  <c r="E28" i="259"/>
  <c r="M28" i="259"/>
  <c r="K28" i="260"/>
  <c r="J132" i="242"/>
  <c r="J135" i="242" s="1"/>
  <c r="J137" i="242" s="1"/>
  <c r="AD199" i="242"/>
  <c r="AD112" i="242"/>
  <c r="S58" i="205"/>
  <c r="AD70" i="242"/>
  <c r="L42" i="257"/>
  <c r="M41" i="257" s="1"/>
  <c r="M34" i="259"/>
  <c r="F34" i="260"/>
  <c r="F42" i="257"/>
  <c r="G41" i="257" s="1"/>
  <c r="P42" i="257"/>
  <c r="Q41" i="257" s="1"/>
  <c r="H43" i="258"/>
  <c r="L43" i="257"/>
  <c r="G52" i="258"/>
  <c r="H28" i="259"/>
  <c r="L28" i="259"/>
  <c r="P28" i="259"/>
  <c r="P34" i="260"/>
  <c r="O50" i="260"/>
  <c r="O52" i="260" s="1"/>
  <c r="AD72" i="242"/>
  <c r="K28" i="258"/>
  <c r="H27" i="257"/>
  <c r="P27" i="257"/>
  <c r="Q26" i="257" s="1"/>
  <c r="D32" i="257"/>
  <c r="H28" i="260"/>
  <c r="F28" i="260"/>
  <c r="R28" i="260"/>
  <c r="M51" i="257"/>
  <c r="Q51" i="257"/>
  <c r="R50" i="257" s="1"/>
  <c r="R52" i="257" s="1"/>
  <c r="F51" i="257"/>
  <c r="G50" i="257" s="1"/>
  <c r="D52" i="258"/>
  <c r="H51" i="257"/>
  <c r="M52" i="258"/>
  <c r="Q52" i="258"/>
  <c r="R28" i="259"/>
  <c r="J51" i="257"/>
  <c r="K50" i="257" s="1"/>
  <c r="R51" i="257"/>
  <c r="N51" i="257"/>
  <c r="N52" i="257" s="1"/>
  <c r="L41" i="258"/>
  <c r="G43" i="258"/>
  <c r="F52" i="258"/>
  <c r="H34" i="259"/>
  <c r="L34" i="259"/>
  <c r="P34" i="259"/>
  <c r="O26" i="260"/>
  <c r="O28" i="260" s="1"/>
  <c r="K34" i="260"/>
  <c r="E50" i="260"/>
  <c r="P52" i="260"/>
  <c r="D27" i="257"/>
  <c r="E26" i="257" s="1"/>
  <c r="L27" i="257"/>
  <c r="M26" i="257" s="1"/>
  <c r="M28" i="257" s="1"/>
  <c r="P51" i="257"/>
  <c r="Q50" i="257" s="1"/>
  <c r="E34" i="260"/>
  <c r="E52" i="260"/>
  <c r="F27" i="257"/>
  <c r="G26" i="257" s="1"/>
  <c r="N27" i="257"/>
  <c r="O26" i="257" s="1"/>
  <c r="N33" i="257"/>
  <c r="O32" i="257" s="1"/>
  <c r="K27" i="257"/>
  <c r="L26" i="257" s="1"/>
  <c r="L34" i="258"/>
  <c r="R33" i="257"/>
  <c r="D43" i="257"/>
  <c r="R50" i="260"/>
  <c r="R52" i="260" s="1"/>
  <c r="G51" i="257"/>
  <c r="H50" i="257" s="1"/>
  <c r="H52" i="257" s="1"/>
  <c r="K51" i="257"/>
  <c r="L50" i="257" s="1"/>
  <c r="M28" i="258"/>
  <c r="O32" i="259"/>
  <c r="O34" i="259" s="1"/>
  <c r="D28" i="260"/>
  <c r="F33" i="257"/>
  <c r="G32" i="257" s="1"/>
  <c r="Q33" i="257"/>
  <c r="R32" i="257" s="1"/>
  <c r="D51" i="257"/>
  <c r="E50" i="257" s="1"/>
  <c r="L51" i="257"/>
  <c r="M50" i="257" s="1"/>
  <c r="R19" i="258"/>
  <c r="R43" i="257"/>
  <c r="E33" i="257"/>
  <c r="F32" i="257" s="1"/>
  <c r="M33" i="257"/>
  <c r="R34" i="259"/>
  <c r="L28" i="260"/>
  <c r="P28" i="260"/>
  <c r="J32" i="260"/>
  <c r="J34" i="260" s="1"/>
  <c r="Q34" i="260"/>
  <c r="AB91" i="187"/>
  <c r="J60" i="205"/>
  <c r="I28" i="205"/>
  <c r="I62" i="205" s="1"/>
  <c r="X193" i="242"/>
  <c r="X232" i="242"/>
  <c r="X229" i="242"/>
  <c r="F132" i="242"/>
  <c r="F135" i="242" s="1"/>
  <c r="F137" i="242" s="1"/>
  <c r="X131" i="242"/>
  <c r="E132" i="242"/>
  <c r="E135" i="242" s="1"/>
  <c r="E137" i="242" s="1"/>
  <c r="Q43" i="257"/>
  <c r="K52" i="257"/>
  <c r="Q28" i="258"/>
  <c r="R41" i="258"/>
  <c r="R43" i="258" s="1"/>
  <c r="I43" i="258"/>
  <c r="F19" i="259"/>
  <c r="J26" i="259"/>
  <c r="J32" i="259"/>
  <c r="J34" i="259" s="1"/>
  <c r="H50" i="260"/>
  <c r="H52" i="260" s="1"/>
  <c r="N28" i="257"/>
  <c r="E27" i="257"/>
  <c r="F26" i="257" s="1"/>
  <c r="I27" i="257"/>
  <c r="J26" i="257" s="1"/>
  <c r="J28" i="257" s="1"/>
  <c r="Q27" i="257"/>
  <c r="R26" i="257" s="1"/>
  <c r="R28" i="257" s="1"/>
  <c r="F29" i="257"/>
  <c r="G33" i="257"/>
  <c r="H32" i="257" s="1"/>
  <c r="E42" i="257"/>
  <c r="F41" i="257" s="1"/>
  <c r="F43" i="257" s="1"/>
  <c r="I42" i="257"/>
  <c r="J41" i="257" s="1"/>
  <c r="J43" i="257" s="1"/>
  <c r="O51" i="257"/>
  <c r="P50" i="257" s="1"/>
  <c r="P52" i="257" s="1"/>
  <c r="N19" i="258"/>
  <c r="L26" i="258"/>
  <c r="L28" i="258" s="1"/>
  <c r="E31" i="258"/>
  <c r="J34" i="258"/>
  <c r="F34" i="258"/>
  <c r="E43" i="258"/>
  <c r="Q43" i="258"/>
  <c r="R52" i="258"/>
  <c r="H52" i="258"/>
  <c r="P52" i="258"/>
  <c r="E34" i="259"/>
  <c r="Q34" i="259"/>
  <c r="D19" i="260"/>
  <c r="M28" i="260"/>
  <c r="D34" i="260"/>
  <c r="H34" i="260"/>
  <c r="O32" i="260"/>
  <c r="O34" i="260" s="1"/>
  <c r="J50" i="260"/>
  <c r="J52" i="260" s="1"/>
  <c r="Q52" i="260"/>
  <c r="Q28" i="257"/>
  <c r="M43" i="257"/>
  <c r="AD64" i="242"/>
  <c r="AD66" i="242"/>
  <c r="D26" i="257"/>
  <c r="G27" i="257"/>
  <c r="H26" i="257" s="1"/>
  <c r="H28" i="257" s="1"/>
  <c r="O27" i="257"/>
  <c r="P26" i="257" s="1"/>
  <c r="P28" i="257" s="1"/>
  <c r="D29" i="257"/>
  <c r="H29" i="257"/>
  <c r="J33" i="257"/>
  <c r="K32" i="257" s="1"/>
  <c r="K34" i="257" s="1"/>
  <c r="O33" i="257"/>
  <c r="P32" i="257" s="1"/>
  <c r="P34" i="257" s="1"/>
  <c r="G42" i="257"/>
  <c r="H41" i="257" s="1"/>
  <c r="H43" i="257" s="1"/>
  <c r="O42" i="257"/>
  <c r="P41" i="257" s="1"/>
  <c r="P43" i="257" s="1"/>
  <c r="N43" i="257"/>
  <c r="E51" i="257"/>
  <c r="F50" i="257" s="1"/>
  <c r="I51" i="257"/>
  <c r="I52" i="257" s="1"/>
  <c r="G28" i="258"/>
  <c r="O28" i="258"/>
  <c r="P34" i="258"/>
  <c r="M43" i="258"/>
  <c r="L52" i="258"/>
  <c r="E19" i="259"/>
  <c r="Q28" i="259"/>
  <c r="G28" i="259"/>
  <c r="G34" i="259"/>
  <c r="E28" i="260"/>
  <c r="J26" i="260"/>
  <c r="J28" i="260" s="1"/>
  <c r="R34" i="260"/>
  <c r="L34" i="260"/>
  <c r="M52" i="260"/>
  <c r="D19" i="257"/>
  <c r="I34" i="257"/>
  <c r="M52" i="257"/>
  <c r="D19" i="258"/>
  <c r="H19" i="258"/>
  <c r="O19" i="258"/>
  <c r="G31" i="258"/>
  <c r="Q32" i="258"/>
  <c r="Q34" i="258" s="1"/>
  <c r="D43" i="258"/>
  <c r="O41" i="258"/>
  <c r="O43" i="258" s="1"/>
  <c r="G19" i="259"/>
  <c r="N19" i="259"/>
  <c r="D34" i="259"/>
  <c r="H19" i="260"/>
  <c r="G28" i="260"/>
  <c r="G34" i="260"/>
  <c r="F52" i="260"/>
  <c r="F19" i="257"/>
  <c r="O19" i="257"/>
  <c r="E19" i="258"/>
  <c r="P19" i="258"/>
  <c r="D34" i="258"/>
  <c r="H34" i="258"/>
  <c r="M34" i="258"/>
  <c r="F43" i="258"/>
  <c r="J43" i="258"/>
  <c r="E50" i="258"/>
  <c r="E52" i="258" s="1"/>
  <c r="K52" i="258"/>
  <c r="O52" i="258"/>
  <c r="N52" i="258"/>
  <c r="D19" i="259"/>
  <c r="P19" i="259"/>
  <c r="O26" i="259"/>
  <c r="O28" i="259" s="1"/>
  <c r="F34" i="259"/>
  <c r="Q28" i="260"/>
  <c r="H19" i="257"/>
  <c r="F19" i="258"/>
  <c r="E28" i="258"/>
  <c r="O32" i="258"/>
  <c r="O34" i="258" s="1"/>
  <c r="R34" i="258"/>
  <c r="L43" i="258"/>
  <c r="P43" i="258"/>
  <c r="R19" i="259"/>
  <c r="F28" i="259"/>
  <c r="J28" i="259"/>
  <c r="G50" i="260"/>
  <c r="G52" i="260" s="1"/>
  <c r="N28" i="258"/>
  <c r="F19" i="260"/>
  <c r="O19" i="260"/>
  <c r="P23" i="222"/>
  <c r="P72" i="222"/>
  <c r="F23" i="222"/>
  <c r="M23" i="222"/>
  <c r="Q23" i="222"/>
  <c r="F72" i="222"/>
  <c r="M72" i="222"/>
  <c r="Q72" i="222"/>
  <c r="C23" i="222"/>
  <c r="C72" i="222"/>
  <c r="K43" i="257"/>
  <c r="Q19" i="257"/>
  <c r="Q19" i="260"/>
  <c r="G19" i="257"/>
  <c r="N19" i="257"/>
  <c r="R19" i="257"/>
  <c r="Q19" i="259"/>
  <c r="G19" i="260"/>
  <c r="N19" i="260"/>
  <c r="R19" i="260"/>
  <c r="D33" i="257"/>
  <c r="H33" i="257"/>
  <c r="H34" i="257" s="1"/>
  <c r="L33" i="257"/>
  <c r="M32" i="257" s="1"/>
  <c r="J26" i="258"/>
  <c r="J28" i="258" s="1"/>
  <c r="K41" i="258"/>
  <c r="K43" i="258" s="1"/>
  <c r="J50" i="258"/>
  <c r="J52" i="258" s="1"/>
  <c r="K26" i="259"/>
  <c r="K28" i="259" s="1"/>
  <c r="K32" i="259"/>
  <c r="K34" i="259" s="1"/>
  <c r="K50" i="260"/>
  <c r="K52" i="260" s="1"/>
  <c r="G124" i="235"/>
  <c r="G30" i="235"/>
  <c r="G126" i="235" s="1"/>
  <c r="K124" i="235"/>
  <c r="K30" i="235"/>
  <c r="K126" i="235" s="1"/>
  <c r="M28" i="235"/>
  <c r="M121" i="235"/>
  <c r="L124" i="235"/>
  <c r="J126" i="235"/>
  <c r="I126" i="235"/>
  <c r="L126" i="235"/>
  <c r="O58" i="235"/>
  <c r="O60" i="235" s="1"/>
  <c r="O118" i="235"/>
  <c r="O120" i="235" s="1"/>
  <c r="O121" i="235"/>
  <c r="O48" i="235"/>
  <c r="O50" i="235" s="1"/>
  <c r="J124" i="235"/>
  <c r="N121" i="235"/>
  <c r="P28" i="235"/>
  <c r="P58" i="235"/>
  <c r="P60" i="235" s="1"/>
  <c r="I124" i="235"/>
  <c r="P68" i="235"/>
  <c r="P70" i="235" s="1"/>
  <c r="O108" i="235"/>
  <c r="O110" i="235" s="1"/>
  <c r="P121" i="235"/>
  <c r="N28" i="235"/>
  <c r="P88" i="235"/>
  <c r="P90" i="235" s="1"/>
  <c r="N151" i="235"/>
  <c r="N153" i="235" s="1"/>
  <c r="L167" i="235"/>
  <c r="L169" i="235" s="1"/>
  <c r="Q78" i="206"/>
  <c r="Q111" i="206" s="1"/>
  <c r="Q109" i="206"/>
  <c r="G106" i="206"/>
  <c r="P42" i="206"/>
  <c r="Q58" i="206"/>
  <c r="Q60" i="206" s="1"/>
  <c r="R58" i="206"/>
  <c r="R60" i="206" s="1"/>
  <c r="F106" i="206"/>
  <c r="F76" i="206"/>
  <c r="J106" i="206"/>
  <c r="J76" i="206"/>
  <c r="N106" i="206"/>
  <c r="N76" i="206"/>
  <c r="R106" i="206"/>
  <c r="R76" i="206"/>
  <c r="K109" i="206"/>
  <c r="K78" i="206"/>
  <c r="K111" i="206" s="1"/>
  <c r="H212" i="206"/>
  <c r="H250" i="206" s="1"/>
  <c r="H179" i="206"/>
  <c r="D178" i="206"/>
  <c r="D213" i="206"/>
  <c r="H213" i="206"/>
  <c r="H251" i="206" s="1"/>
  <c r="H178" i="206"/>
  <c r="R213" i="206"/>
  <c r="R251" i="206" s="1"/>
  <c r="R178" i="206"/>
  <c r="D248" i="206"/>
  <c r="D250" i="206" s="1"/>
  <c r="D225" i="206"/>
  <c r="N249" i="206"/>
  <c r="N247" i="206"/>
  <c r="I249" i="206"/>
  <c r="I251" i="206" s="1"/>
  <c r="Q247" i="206"/>
  <c r="Q249" i="206"/>
  <c r="M289" i="206"/>
  <c r="D51" i="206"/>
  <c r="M58" i="206"/>
  <c r="M60" i="206" s="1"/>
  <c r="E78" i="206"/>
  <c r="E111" i="206" s="1"/>
  <c r="E109" i="206"/>
  <c r="M78" i="206"/>
  <c r="M98" i="206"/>
  <c r="M100" i="206" s="1"/>
  <c r="G102" i="206"/>
  <c r="K106" i="206"/>
  <c r="L107" i="206"/>
  <c r="J125" i="206"/>
  <c r="J127" i="206" s="1"/>
  <c r="N179" i="206"/>
  <c r="I78" i="206"/>
  <c r="I111" i="206" s="1"/>
  <c r="I109" i="206"/>
  <c r="O106" i="206"/>
  <c r="E289" i="206"/>
  <c r="G58" i="206"/>
  <c r="G60" i="206" s="1"/>
  <c r="O58" i="206"/>
  <c r="O60" i="206" s="1"/>
  <c r="O56" i="206"/>
  <c r="D106" i="206"/>
  <c r="D76" i="206"/>
  <c r="H106" i="206"/>
  <c r="H76" i="206"/>
  <c r="L106" i="206"/>
  <c r="P106" i="206"/>
  <c r="P76" i="206"/>
  <c r="G109" i="206"/>
  <c r="G78" i="206"/>
  <c r="G111" i="206" s="1"/>
  <c r="O109" i="206"/>
  <c r="O78" i="206"/>
  <c r="O111" i="206" s="1"/>
  <c r="F212" i="206"/>
  <c r="F250" i="206" s="1"/>
  <c r="F179" i="206"/>
  <c r="R212" i="206"/>
  <c r="R250" i="206" s="1"/>
  <c r="R179" i="206"/>
  <c r="Q213" i="206"/>
  <c r="Q178" i="206"/>
  <c r="F213" i="206"/>
  <c r="F251" i="206" s="1"/>
  <c r="F178" i="206"/>
  <c r="J178" i="206"/>
  <c r="J213" i="206"/>
  <c r="J251" i="206" s="1"/>
  <c r="N213" i="206"/>
  <c r="N178" i="206"/>
  <c r="O178" i="206"/>
  <c r="D236" i="206"/>
  <c r="E249" i="206"/>
  <c r="R247" i="206"/>
  <c r="D249" i="206"/>
  <c r="I289" i="206"/>
  <c r="Q289" i="206"/>
  <c r="O250" i="206"/>
  <c r="K213" i="206"/>
  <c r="H225" i="206"/>
  <c r="G249" i="206"/>
  <c r="G251" i="206" s="1"/>
  <c r="G246" i="206"/>
  <c r="G247" i="206" s="1"/>
  <c r="K249" i="206"/>
  <c r="K246" i="206"/>
  <c r="K247" i="206" s="1"/>
  <c r="O249" i="206"/>
  <c r="O251" i="206" s="1"/>
  <c r="O247" i="206"/>
  <c r="H249" i="206"/>
  <c r="I125" i="206"/>
  <c r="E212" i="206"/>
  <c r="P213" i="206"/>
  <c r="P251" i="206" s="1"/>
  <c r="M247" i="206"/>
  <c r="M249" i="206"/>
  <c r="M251" i="206" s="1"/>
  <c r="P249" i="206"/>
  <c r="E251" i="206"/>
  <c r="K250" i="206"/>
  <c r="J249" i="206"/>
  <c r="J246" i="206"/>
  <c r="J247" i="206" s="1"/>
  <c r="M179" i="206"/>
  <c r="E248" i="206"/>
  <c r="F246" i="206"/>
  <c r="F247" i="206" s="1"/>
  <c r="O38" i="238"/>
  <c r="O40" i="238" s="1"/>
  <c r="V63" i="238"/>
  <c r="S74" i="238"/>
  <c r="S76" i="238" s="1"/>
  <c r="S78" i="238" s="1"/>
  <c r="V104" i="238"/>
  <c r="V106" i="238"/>
  <c r="V108" i="238" s="1"/>
  <c r="O106" i="238"/>
  <c r="O108" i="238" s="1"/>
  <c r="O126" i="238"/>
  <c r="O128" i="238" s="1"/>
  <c r="U156" i="238"/>
  <c r="U158" i="238" s="1"/>
  <c r="T166" i="238"/>
  <c r="T168" i="238" s="1"/>
  <c r="M227" i="238"/>
  <c r="I243" i="238"/>
  <c r="P241" i="238"/>
  <c r="O240" i="238"/>
  <c r="P239" i="238"/>
  <c r="P246" i="238" s="1"/>
  <c r="O238" i="238"/>
  <c r="O245" i="238" s="1"/>
  <c r="L241" i="238"/>
  <c r="K240" i="238"/>
  <c r="L239" i="238"/>
  <c r="L246" i="238" s="1"/>
  <c r="K238" i="238"/>
  <c r="K245" i="238" s="1"/>
  <c r="N242" i="238"/>
  <c r="H241" i="238"/>
  <c r="G240" i="238"/>
  <c r="H239" i="238"/>
  <c r="G238" i="238"/>
  <c r="G245" i="238" s="1"/>
  <c r="M28" i="238"/>
  <c r="M30" i="238" s="1"/>
  <c r="N62" i="238"/>
  <c r="O64" i="238"/>
  <c r="T65" i="238"/>
  <c r="I67" i="238"/>
  <c r="R96" i="238"/>
  <c r="R98" i="238" s="1"/>
  <c r="V96" i="238"/>
  <c r="V98" i="238" s="1"/>
  <c r="V94" i="238"/>
  <c r="O114" i="238"/>
  <c r="O116" i="238" s="1"/>
  <c r="O118" i="238" s="1"/>
  <c r="T124" i="238"/>
  <c r="T126" i="238"/>
  <c r="T128" i="238" s="1"/>
  <c r="R124" i="238"/>
  <c r="R126" i="238" s="1"/>
  <c r="R128" i="238" s="1"/>
  <c r="S136" i="238"/>
  <c r="S138" i="238" s="1"/>
  <c r="S134" i="238"/>
  <c r="S144" i="238"/>
  <c r="S146" i="238" s="1"/>
  <c r="S148" i="238" s="1"/>
  <c r="R61" i="238"/>
  <c r="R64" i="238"/>
  <c r="V65" i="238"/>
  <c r="L67" i="238"/>
  <c r="P74" i="238"/>
  <c r="U76" i="238"/>
  <c r="U78" i="238" s="1"/>
  <c r="P86" i="238"/>
  <c r="P88" i="238" s="1"/>
  <c r="U86" i="238"/>
  <c r="U88" i="238" s="1"/>
  <c r="U84" i="238"/>
  <c r="T104" i="238"/>
  <c r="T106" i="238" s="1"/>
  <c r="T108" i="238" s="1"/>
  <c r="T114" i="238"/>
  <c r="T116" i="238" s="1"/>
  <c r="T118" i="238" s="1"/>
  <c r="V126" i="238"/>
  <c r="V128" i="238" s="1"/>
  <c r="O146" i="238"/>
  <c r="O148" i="238" s="1"/>
  <c r="P154" i="238"/>
  <c r="P156" i="238"/>
  <c r="P158" i="238" s="1"/>
  <c r="O164" i="238"/>
  <c r="O166" i="238" s="1"/>
  <c r="O168" i="238" s="1"/>
  <c r="O67" i="238"/>
  <c r="G67" i="238"/>
  <c r="O66" i="238"/>
  <c r="G66" i="238"/>
  <c r="N65" i="238"/>
  <c r="S64" i="238"/>
  <c r="J64" i="238"/>
  <c r="G61" i="238"/>
  <c r="G62" i="238"/>
  <c r="O62" i="238"/>
  <c r="G63" i="238"/>
  <c r="O63" i="238"/>
  <c r="H64" i="238"/>
  <c r="T64" i="238"/>
  <c r="L65" i="238"/>
  <c r="H66" i="238"/>
  <c r="S66" i="238"/>
  <c r="M67" i="238"/>
  <c r="S106" i="238"/>
  <c r="S108" i="238" s="1"/>
  <c r="S116" i="238"/>
  <c r="S118" i="238" s="1"/>
  <c r="U136" i="238"/>
  <c r="U138" i="238" s="1"/>
  <c r="V166" i="238"/>
  <c r="V168" i="238" s="1"/>
  <c r="M238" i="238"/>
  <c r="M245" i="238" s="1"/>
  <c r="P136" i="238"/>
  <c r="P138" i="238" s="1"/>
  <c r="N238" i="238"/>
  <c r="N245" i="238" s="1"/>
  <c r="V61" i="238"/>
  <c r="M62" i="238"/>
  <c r="V62" i="238"/>
  <c r="M63" i="238"/>
  <c r="K64" i="238"/>
  <c r="V64" i="238"/>
  <c r="O65" i="238"/>
  <c r="J66" i="238"/>
  <c r="V66" i="238"/>
  <c r="O76" i="238"/>
  <c r="O78" i="238" s="1"/>
  <c r="T76" i="238"/>
  <c r="T78" i="238" s="1"/>
  <c r="O86" i="238"/>
  <c r="O88" i="238" s="1"/>
  <c r="P96" i="238"/>
  <c r="P98" i="238" s="1"/>
  <c r="S104" i="238"/>
  <c r="P126" i="238"/>
  <c r="P128" i="238" s="1"/>
  <c r="U126" i="238"/>
  <c r="U128" i="238" s="1"/>
  <c r="R136" i="238"/>
  <c r="R138" i="238" s="1"/>
  <c r="V136" i="238"/>
  <c r="V138" i="238" s="1"/>
  <c r="R146" i="238"/>
  <c r="R148" i="238" s="1"/>
  <c r="O156" i="238"/>
  <c r="O158" i="238" s="1"/>
  <c r="T156" i="238"/>
  <c r="T158" i="238" s="1"/>
  <c r="S156" i="238"/>
  <c r="S158" i="238" s="1"/>
  <c r="R166" i="238"/>
  <c r="R168" i="238" s="1"/>
  <c r="L198" i="238"/>
  <c r="O243" i="238"/>
  <c r="I238" i="238"/>
  <c r="I245" i="238" s="1"/>
  <c r="N239" i="238"/>
  <c r="N246" i="238" s="1"/>
  <c r="I240" i="238"/>
  <c r="N241" i="238"/>
  <c r="L242" i="238"/>
  <c r="G243" i="238"/>
  <c r="P243" i="238"/>
  <c r="L243" i="238"/>
  <c r="H243" i="238"/>
  <c r="O242" i="238"/>
  <c r="K242" i="238"/>
  <c r="G242" i="238"/>
  <c r="M241" i="238"/>
  <c r="I241" i="238"/>
  <c r="P240" i="238"/>
  <c r="L240" i="238"/>
  <c r="H240" i="238"/>
  <c r="O239" i="238"/>
  <c r="O246" i="238" s="1"/>
  <c r="K239" i="238"/>
  <c r="G239" i="238"/>
  <c r="J238" i="238"/>
  <c r="J245" i="238" s="1"/>
  <c r="N243" i="238"/>
  <c r="J243" i="238"/>
  <c r="M242" i="238"/>
  <c r="I242" i="238"/>
  <c r="O241" i="238"/>
  <c r="K241" i="238"/>
  <c r="G241" i="238"/>
  <c r="N240" i="238"/>
  <c r="J240" i="238"/>
  <c r="M239" i="238"/>
  <c r="M246" i="238" s="1"/>
  <c r="I239" i="238"/>
  <c r="P238" i="238"/>
  <c r="P245" i="238" s="1"/>
  <c r="H238" i="238"/>
  <c r="H245" i="238" s="1"/>
  <c r="J239" i="238"/>
  <c r="M240" i="238"/>
  <c r="J241" i="238"/>
  <c r="H242" i="238"/>
  <c r="P242" i="238"/>
  <c r="K243" i="238"/>
  <c r="L238" i="238"/>
  <c r="L245" i="238" s="1"/>
  <c r="L38" i="187"/>
  <c r="T51" i="187"/>
  <c r="T53" i="187" s="1"/>
  <c r="T55" i="187" s="1"/>
  <c r="AB53" i="187"/>
  <c r="AD144" i="187"/>
  <c r="R34" i="187"/>
  <c r="R36" i="187" s="1"/>
  <c r="AB36" i="187"/>
  <c r="AH68" i="187"/>
  <c r="AB72" i="187"/>
  <c r="O70" i="187"/>
  <c r="Q78" i="187"/>
  <c r="AB33" i="187"/>
  <c r="AB44" i="187"/>
  <c r="L55" i="187"/>
  <c r="AH67" i="187"/>
  <c r="AB70" i="187"/>
  <c r="X96" i="187"/>
  <c r="X87" i="187"/>
  <c r="X89" i="187" s="1"/>
  <c r="AB84" i="187"/>
  <c r="AF96" i="187"/>
  <c r="AF85" i="187"/>
  <c r="AF87" i="187" s="1"/>
  <c r="AF89" i="187" s="1"/>
  <c r="N96" i="187"/>
  <c r="AA144" i="187"/>
  <c r="P135" i="187"/>
  <c r="P115" i="187"/>
  <c r="P136" i="187" s="1"/>
  <c r="T135" i="187"/>
  <c r="T117" i="187"/>
  <c r="T115" i="187"/>
  <c r="T136" i="187" s="1"/>
  <c r="Q138" i="187"/>
  <c r="W138" i="187"/>
  <c r="W119" i="187"/>
  <c r="AA138" i="187"/>
  <c r="AA119" i="187"/>
  <c r="AH33" i="187"/>
  <c r="AB38" i="187"/>
  <c r="AH51" i="187"/>
  <c r="AB55" i="187"/>
  <c r="O53" i="187"/>
  <c r="AB61" i="187"/>
  <c r="Q70" i="187"/>
  <c r="Q72" i="187" s="1"/>
  <c r="S70" i="187"/>
  <c r="S72" i="187" s="1"/>
  <c r="L72" i="187"/>
  <c r="L96" i="187"/>
  <c r="AH84" i="187"/>
  <c r="Y96" i="187"/>
  <c r="Y87" i="187"/>
  <c r="Y89" i="187" s="1"/>
  <c r="AB89" i="187" s="1"/>
  <c r="AC96" i="187"/>
  <c r="AC87" i="187"/>
  <c r="AC89" i="187" s="1"/>
  <c r="AH89" i="187" s="1"/>
  <c r="AG96" i="187"/>
  <c r="AG87" i="187"/>
  <c r="AG89" i="187" s="1"/>
  <c r="L138" i="187"/>
  <c r="AH128" i="187"/>
  <c r="AH145" i="187" s="1"/>
  <c r="L130" i="187"/>
  <c r="M144" i="187"/>
  <c r="Z144" i="187"/>
  <c r="AB114" i="187"/>
  <c r="AH114" i="187"/>
  <c r="R138" i="187"/>
  <c r="AE138" i="187"/>
  <c r="AE119" i="187"/>
  <c r="AH56" i="187"/>
  <c r="AH73" i="187"/>
  <c r="O78" i="187"/>
  <c r="AH137" i="187"/>
  <c r="G138" i="187"/>
  <c r="G119" i="187"/>
  <c r="AB117" i="187"/>
  <c r="K138" i="187"/>
  <c r="K140" i="187" s="1"/>
  <c r="K119" i="187"/>
  <c r="U136" i="187"/>
  <c r="Y138" i="187"/>
  <c r="AC138" i="187"/>
  <c r="I119" i="187"/>
  <c r="AC119" i="187"/>
  <c r="N130" i="187"/>
  <c r="N138" i="187"/>
  <c r="N140" i="187" s="1"/>
  <c r="O135" i="187"/>
  <c r="AH135" i="187" s="1"/>
  <c r="X135" i="187"/>
  <c r="AB135" i="187" s="1"/>
  <c r="Q136" i="187"/>
  <c r="AB136" i="187"/>
  <c r="Z138" i="187"/>
  <c r="J119" i="187"/>
  <c r="J138" i="187"/>
  <c r="J140" i="187" s="1"/>
  <c r="AB128" i="187"/>
  <c r="O115" i="187"/>
  <c r="S115" i="187"/>
  <c r="S136" i="187" s="1"/>
  <c r="H138" i="187"/>
  <c r="H119" i="187"/>
  <c r="AH133" i="187"/>
  <c r="X138" i="187"/>
  <c r="AG138" i="187"/>
  <c r="AH125" i="187"/>
  <c r="U60" i="205"/>
  <c r="U28" i="205"/>
  <c r="U62" i="205" s="1"/>
  <c r="Q60" i="205"/>
  <c r="Q28" i="205"/>
  <c r="Q62" i="205" s="1"/>
  <c r="G60" i="205"/>
  <c r="K60" i="205"/>
  <c r="M28" i="205"/>
  <c r="M62" i="205" s="1"/>
  <c r="U58" i="205"/>
  <c r="T24" i="205"/>
  <c r="T26" i="205" s="1"/>
  <c r="T33" i="205"/>
  <c r="T35" i="205" s="1"/>
  <c r="T37" i="205" s="1"/>
  <c r="T44" i="205"/>
  <c r="T46" i="205" s="1"/>
  <c r="T42" i="205"/>
  <c r="O57" i="205"/>
  <c r="O58" i="205"/>
  <c r="N98" i="205"/>
  <c r="I95" i="205"/>
  <c r="G96" i="205"/>
  <c r="K96" i="205"/>
  <c r="O96" i="205"/>
  <c r="O97" i="205" s="1"/>
  <c r="G98" i="205"/>
  <c r="K98" i="205"/>
  <c r="O98" i="205"/>
  <c r="R24" i="205"/>
  <c r="V24" i="205"/>
  <c r="V26" i="205"/>
  <c r="J28" i="205"/>
  <c r="J62" i="205" s="1"/>
  <c r="N28" i="205"/>
  <c r="N62" i="205" s="1"/>
  <c r="R33" i="205"/>
  <c r="R35" i="205" s="1"/>
  <c r="R37" i="205" s="1"/>
  <c r="V33" i="205"/>
  <c r="V35" i="205" s="1"/>
  <c r="V37" i="205" s="1"/>
  <c r="J95" i="205"/>
  <c r="H96" i="205"/>
  <c r="L96" i="205"/>
  <c r="L97" i="205" s="1"/>
  <c r="P96" i="205"/>
  <c r="P97" i="205" s="1"/>
  <c r="H98" i="205"/>
  <c r="L98" i="205"/>
  <c r="P98" i="205"/>
  <c r="S26" i="205"/>
  <c r="G28" i="205"/>
  <c r="G62" i="205" s="1"/>
  <c r="K28" i="205"/>
  <c r="K62" i="205" s="1"/>
  <c r="O28" i="205"/>
  <c r="G95" i="205"/>
  <c r="K95" i="205"/>
  <c r="I96" i="205"/>
  <c r="M96" i="205"/>
  <c r="M97" i="205" s="1"/>
  <c r="I98" i="205"/>
  <c r="M98" i="205"/>
  <c r="P26" i="205"/>
  <c r="H28" i="205"/>
  <c r="H62" i="205" s="1"/>
  <c r="L28" i="205"/>
  <c r="L62" i="205" s="1"/>
  <c r="R42" i="205"/>
  <c r="R44" i="205" s="1"/>
  <c r="R46" i="205" s="1"/>
  <c r="V42" i="205"/>
  <c r="V44" i="205" s="1"/>
  <c r="V46" i="205" s="1"/>
  <c r="H95" i="205"/>
  <c r="J96" i="205"/>
  <c r="N96" i="205"/>
  <c r="N97" i="205" s="1"/>
  <c r="J98" i="205"/>
  <c r="Y106" i="242"/>
  <c r="Y108" i="242" s="1"/>
  <c r="AC106" i="242"/>
  <c r="AC108" i="242" s="1"/>
  <c r="AD220" i="242"/>
  <c r="D106" i="242"/>
  <c r="D108" i="242" s="1"/>
  <c r="U106" i="242"/>
  <c r="U108" i="242" s="1"/>
  <c r="P133" i="242"/>
  <c r="AA106" i="242"/>
  <c r="AA108" i="242" s="1"/>
  <c r="Z106" i="242"/>
  <c r="Z108" i="242" s="1"/>
  <c r="H135" i="242"/>
  <c r="H106" i="242"/>
  <c r="L228" i="242"/>
  <c r="L106" i="242"/>
  <c r="L108" i="242" s="1"/>
  <c r="P106" i="242"/>
  <c r="P108" i="242" s="1"/>
  <c r="X31" i="242"/>
  <c r="F106" i="242"/>
  <c r="F108" i="242" s="1"/>
  <c r="F228" i="242"/>
  <c r="F231" i="242" s="1"/>
  <c r="F233" i="242" s="1"/>
  <c r="J106" i="242"/>
  <c r="J108" i="242" s="1"/>
  <c r="N106" i="242"/>
  <c r="N108" i="242" s="1"/>
  <c r="S228" i="242"/>
  <c r="S231" i="242" s="1"/>
  <c r="S233" i="242" s="1"/>
  <c r="S106" i="242"/>
  <c r="S108" i="242" s="1"/>
  <c r="W228" i="242"/>
  <c r="W231" i="242" s="1"/>
  <c r="W233" i="242" s="1"/>
  <c r="W106" i="242"/>
  <c r="W108" i="242" s="1"/>
  <c r="E106" i="242"/>
  <c r="E108" i="242" s="1"/>
  <c r="M228" i="242"/>
  <c r="M106" i="242"/>
  <c r="M108" i="242" s="1"/>
  <c r="Q106" i="242"/>
  <c r="Q108" i="242" s="1"/>
  <c r="V228" i="242"/>
  <c r="V231" i="242" s="1"/>
  <c r="V233" i="242" s="1"/>
  <c r="V106" i="242"/>
  <c r="V108" i="242" s="1"/>
  <c r="X103" i="242"/>
  <c r="Q162" i="242"/>
  <c r="Q164" i="242" s="1"/>
  <c r="Q166" i="242" s="1"/>
  <c r="O228" i="242"/>
  <c r="O106" i="242"/>
  <c r="O108" i="242" s="1"/>
  <c r="N164" i="242"/>
  <c r="N166" i="242" s="1"/>
  <c r="N162" i="242"/>
  <c r="P193" i="242"/>
  <c r="P195" i="242" s="1"/>
  <c r="P191" i="242"/>
  <c r="AD29" i="242"/>
  <c r="AD100" i="242"/>
  <c r="N132" i="242"/>
  <c r="S132" i="242"/>
  <c r="W132" i="242"/>
  <c r="AB132" i="242"/>
  <c r="AD151" i="242"/>
  <c r="X158" i="242"/>
  <c r="O164" i="242"/>
  <c r="O166" i="242" s="1"/>
  <c r="O162" i="242"/>
  <c r="AD160" i="242"/>
  <c r="C164" i="242"/>
  <c r="K188" i="242"/>
  <c r="K190" i="242" s="1"/>
  <c r="AD173" i="242"/>
  <c r="AD180" i="242"/>
  <c r="H193" i="242"/>
  <c r="AD188" i="242"/>
  <c r="G106" i="242"/>
  <c r="G108" i="242" s="1"/>
  <c r="M133" i="242"/>
  <c r="O191" i="242"/>
  <c r="O193" i="242"/>
  <c r="O195" i="242" s="1"/>
  <c r="I103" i="242"/>
  <c r="AD115" i="242"/>
  <c r="K130" i="242"/>
  <c r="AD130" i="242" s="1"/>
  <c r="O133" i="242"/>
  <c r="P164" i="242"/>
  <c r="P166" i="242" s="1"/>
  <c r="X159" i="242"/>
  <c r="N191" i="242"/>
  <c r="N193" i="242"/>
  <c r="N195" i="242" s="1"/>
  <c r="M220" i="242"/>
  <c r="M222" i="242"/>
  <c r="M224" i="242" s="1"/>
  <c r="Q220" i="242"/>
  <c r="Q222" i="242"/>
  <c r="Q224" i="242" s="1"/>
  <c r="N220" i="242"/>
  <c r="N222" i="242"/>
  <c r="N224" i="242" s="1"/>
  <c r="C106" i="242"/>
  <c r="K106" i="242"/>
  <c r="K108" i="242" s="1"/>
  <c r="T106" i="242"/>
  <c r="T108" i="242" s="1"/>
  <c r="T228" i="242"/>
  <c r="T231" i="242" s="1"/>
  <c r="T233" i="242" s="1"/>
  <c r="Q133" i="242"/>
  <c r="L229" i="242"/>
  <c r="L193" i="242"/>
  <c r="L195" i="242" s="1"/>
  <c r="AB103" i="242"/>
  <c r="X112" i="242"/>
  <c r="X117" i="242"/>
  <c r="AD122" i="242"/>
  <c r="C132" i="242"/>
  <c r="C228" i="242" s="1"/>
  <c r="G137" i="242"/>
  <c r="X130" i="242"/>
  <c r="AD131" i="242"/>
  <c r="AD141" i="242"/>
  <c r="E161" i="242"/>
  <c r="E164" i="242" s="1"/>
  <c r="E166" i="242" s="1"/>
  <c r="I161" i="242"/>
  <c r="M161" i="242"/>
  <c r="V161" i="242"/>
  <c r="V164" i="242" s="1"/>
  <c r="V166" i="242" s="1"/>
  <c r="AA161" i="242"/>
  <c r="AA164" i="242" s="1"/>
  <c r="AA166" i="242" s="1"/>
  <c r="P162" i="242"/>
  <c r="J190" i="242"/>
  <c r="J193" i="242" s="1"/>
  <c r="J195" i="242" s="1"/>
  <c r="N268" i="242"/>
  <c r="N269" i="242"/>
  <c r="AD114" i="242"/>
  <c r="K129" i="242"/>
  <c r="AD129" i="242" s="1"/>
  <c r="X129" i="242"/>
  <c r="I190" i="242"/>
  <c r="I193" i="242" s="1"/>
  <c r="I195" i="242" s="1"/>
  <c r="M190" i="242"/>
  <c r="Q190" i="242"/>
  <c r="Q228" i="242" s="1"/>
  <c r="V190" i="242"/>
  <c r="X190" i="242" s="1"/>
  <c r="Z190" i="242"/>
  <c r="X188" i="242"/>
  <c r="J189" i="242"/>
  <c r="AD189" i="242" s="1"/>
  <c r="X195" i="242"/>
  <c r="Z219" i="242"/>
  <c r="Z222" i="242" s="1"/>
  <c r="Z224" i="242" s="1"/>
  <c r="X217" i="242"/>
  <c r="AD218" i="242"/>
  <c r="AD230" i="242"/>
  <c r="O265" i="242"/>
  <c r="O270" i="242" s="1"/>
  <c r="AD204" i="242"/>
  <c r="H219" i="242"/>
  <c r="H228" i="242" s="1"/>
  <c r="AD209" i="242"/>
  <c r="AD214" i="242"/>
  <c r="L270" i="242"/>
  <c r="AD270" i="242" s="1"/>
  <c r="AD265" i="242"/>
  <c r="K175" i="242"/>
  <c r="AD175" i="242" s="1"/>
  <c r="AD172" i="242"/>
  <c r="AD174" i="242"/>
  <c r="X175" i="242"/>
  <c r="AD187" i="242"/>
  <c r="O220" i="242"/>
  <c r="O222" i="242" s="1"/>
  <c r="O224" i="242" s="1"/>
  <c r="C222" i="242"/>
  <c r="P268" i="242"/>
  <c r="X218" i="242"/>
  <c r="AD232" i="242"/>
  <c r="O267" i="242"/>
  <c r="N259" i="242"/>
  <c r="AD259" i="242"/>
  <c r="Q259" i="242"/>
  <c r="Q265" i="242" s="1"/>
  <c r="Q270" i="242" s="1"/>
  <c r="M259" i="242"/>
  <c r="M265" i="242" s="1"/>
  <c r="M270" i="242" s="1"/>
  <c r="N260" i="242"/>
  <c r="N266" i="242" s="1"/>
  <c r="AD260" i="242"/>
  <c r="Q260" i="242"/>
  <c r="Q266" i="242" s="1"/>
  <c r="M260" i="242"/>
  <c r="M266" i="242" s="1"/>
  <c r="N261" i="242"/>
  <c r="N267" i="242" s="1"/>
  <c r="AD261" i="242"/>
  <c r="Q261" i="242"/>
  <c r="Q267" i="242" s="1"/>
  <c r="M261" i="242"/>
  <c r="M267" i="242" s="1"/>
  <c r="N262" i="242"/>
  <c r="AD262" i="242"/>
  <c r="Q262" i="242"/>
  <c r="Q268" i="242" s="1"/>
  <c r="M262" i="242"/>
  <c r="M268" i="242" s="1"/>
  <c r="N263" i="242"/>
  <c r="AD263" i="242"/>
  <c r="Q263" i="242"/>
  <c r="Q269" i="242" s="1"/>
  <c r="M263" i="242"/>
  <c r="M269" i="242" s="1"/>
  <c r="X204" i="242"/>
  <c r="D219" i="242"/>
  <c r="D222" i="242" s="1"/>
  <c r="D224" i="242" s="1"/>
  <c r="P219" i="242"/>
  <c r="U219" i="242"/>
  <c r="U222" i="242" s="1"/>
  <c r="U224" i="242" s="1"/>
  <c r="Y219" i="242"/>
  <c r="Y222" i="242" s="1"/>
  <c r="Y224" i="242" s="1"/>
  <c r="AC219" i="242"/>
  <c r="AC222" i="242" s="1"/>
  <c r="AC224" i="242" s="1"/>
  <c r="N265" i="242"/>
  <c r="N270" i="242" s="1"/>
  <c r="AD250" i="242"/>
  <c r="O259" i="242"/>
  <c r="O260" i="242"/>
  <c r="O266" i="242" s="1"/>
  <c r="O261" i="242"/>
  <c r="L62" i="238" l="1"/>
  <c r="N67" i="238"/>
  <c r="T63" i="238"/>
  <c r="O61" i="238"/>
  <c r="J67" i="238"/>
  <c r="U65" i="238"/>
  <c r="I63" i="238"/>
  <c r="I62" i="238"/>
  <c r="H67" i="238"/>
  <c r="R65" i="238"/>
  <c r="M64" i="238"/>
  <c r="K63" i="238"/>
  <c r="K62" i="238"/>
  <c r="S63" i="238"/>
  <c r="J65" i="238"/>
  <c r="K66" i="238"/>
  <c r="K67" i="238"/>
  <c r="R66" i="238"/>
  <c r="G64" i="238"/>
  <c r="H62" i="238"/>
  <c r="N66" i="238"/>
  <c r="N63" i="238"/>
  <c r="M61" i="238"/>
  <c r="L64" i="238"/>
  <c r="L61" i="238"/>
  <c r="I66" i="238"/>
  <c r="J63" i="238"/>
  <c r="R67" i="238"/>
  <c r="M65" i="238"/>
  <c r="S62" i="238"/>
  <c r="S61" i="238"/>
  <c r="V67" i="238"/>
  <c r="I65" i="238"/>
  <c r="R63" i="238"/>
  <c r="R62" i="238"/>
  <c r="I61" i="238"/>
  <c r="S67" i="238"/>
  <c r="M66" i="238"/>
  <c r="G65" i="238"/>
  <c r="U63" i="238"/>
  <c r="T62" i="238"/>
  <c r="K61" i="238"/>
  <c r="N64" i="238"/>
  <c r="S65" i="238"/>
  <c r="T66" i="238"/>
  <c r="T67" i="238"/>
  <c r="K65" i="238"/>
  <c r="H63" i="238"/>
  <c r="H61" i="238"/>
  <c r="U67" i="238"/>
  <c r="H65" i="238"/>
  <c r="N61" i="238"/>
  <c r="U62" i="238"/>
  <c r="T61" i="238"/>
  <c r="U64" i="238"/>
  <c r="J61" i="238"/>
  <c r="AH34" i="187"/>
  <c r="O97" i="187"/>
  <c r="O36" i="187"/>
  <c r="O53" i="205"/>
  <c r="O55" i="205" s="1"/>
  <c r="O62" i="205" s="1"/>
  <c r="D52" i="257"/>
  <c r="D28" i="257"/>
  <c r="R34" i="257"/>
  <c r="Q52" i="257"/>
  <c r="I43" i="257"/>
  <c r="G43" i="257"/>
  <c r="G52" i="257"/>
  <c r="F28" i="257"/>
  <c r="F52" i="257"/>
  <c r="E43" i="257"/>
  <c r="L28" i="257"/>
  <c r="M34" i="257"/>
  <c r="O50" i="257"/>
  <c r="J34" i="257"/>
  <c r="O34" i="257"/>
  <c r="G34" i="257"/>
  <c r="L52" i="257"/>
  <c r="O52" i="257"/>
  <c r="Q34" i="257"/>
  <c r="E52" i="257"/>
  <c r="E28" i="257"/>
  <c r="N34" i="257"/>
  <c r="G28" i="257"/>
  <c r="F34" i="257"/>
  <c r="G98" i="187"/>
  <c r="G99" i="187" s="1"/>
  <c r="J98" i="187"/>
  <c r="J99" i="187" s="1"/>
  <c r="I98" i="187"/>
  <c r="I99" i="187" s="1"/>
  <c r="I100" i="187"/>
  <c r="O43" i="257"/>
  <c r="J50" i="257"/>
  <c r="J52" i="257" s="1"/>
  <c r="O28" i="257"/>
  <c r="I28" i="257"/>
  <c r="L34" i="257"/>
  <c r="E32" i="257"/>
  <c r="E34" i="257" s="1"/>
  <c r="D34" i="257"/>
  <c r="O122" i="235"/>
  <c r="O28" i="235"/>
  <c r="M124" i="235"/>
  <c r="M30" i="235"/>
  <c r="M126" i="235" s="1"/>
  <c r="N124" i="235"/>
  <c r="N30" i="235"/>
  <c r="N126" i="235" s="1"/>
  <c r="P124" i="235"/>
  <c r="P30" i="235"/>
  <c r="P126" i="235" s="1"/>
  <c r="N78" i="206"/>
  <c r="N111" i="206" s="1"/>
  <c r="N109" i="206"/>
  <c r="F78" i="206"/>
  <c r="F111" i="206" s="1"/>
  <c r="F109" i="206"/>
  <c r="O99" i="205"/>
  <c r="I127" i="206"/>
  <c r="L162" i="206" s="1"/>
  <c r="F155" i="206"/>
  <c r="G162" i="206"/>
  <c r="M162" i="206"/>
  <c r="Q251" i="206"/>
  <c r="L111" i="206"/>
  <c r="L109" i="206"/>
  <c r="D78" i="206"/>
  <c r="D111" i="206" s="1"/>
  <c r="D109" i="206"/>
  <c r="M109" i="206"/>
  <c r="D251" i="206"/>
  <c r="K251" i="206"/>
  <c r="G156" i="206"/>
  <c r="D156" i="206"/>
  <c r="M111" i="206"/>
  <c r="R109" i="206"/>
  <c r="R78" i="206"/>
  <c r="R111" i="206" s="1"/>
  <c r="J109" i="206"/>
  <c r="J78" i="206"/>
  <c r="J111" i="206" s="1"/>
  <c r="E250" i="206"/>
  <c r="F159" i="206"/>
  <c r="K156" i="206"/>
  <c r="N251" i="206"/>
  <c r="P78" i="206"/>
  <c r="P111" i="206" s="1"/>
  <c r="P109" i="206"/>
  <c r="H78" i="206"/>
  <c r="H111" i="206" s="1"/>
  <c r="H109" i="206"/>
  <c r="D162" i="206"/>
  <c r="P76" i="238"/>
  <c r="L99" i="205"/>
  <c r="H212" i="238"/>
  <c r="K213" i="238"/>
  <c r="K247" i="238" s="1"/>
  <c r="I215" i="238"/>
  <c r="H213" i="238"/>
  <c r="H247" i="238" s="1"/>
  <c r="J242" i="238"/>
  <c r="M243" i="238"/>
  <c r="L66" i="238"/>
  <c r="L63" i="238"/>
  <c r="U66" i="238"/>
  <c r="I64" i="238"/>
  <c r="J62" i="238"/>
  <c r="U61" i="238"/>
  <c r="P215" i="238"/>
  <c r="L200" i="238"/>
  <c r="M213" i="238"/>
  <c r="H215" i="238"/>
  <c r="J212" i="238"/>
  <c r="G213" i="238"/>
  <c r="G247" i="238" s="1"/>
  <c r="N215" i="238"/>
  <c r="M215" i="238"/>
  <c r="L213" i="238"/>
  <c r="O215" i="238"/>
  <c r="R38" i="187"/>
  <c r="AH72" i="187"/>
  <c r="O55" i="187"/>
  <c r="N55" i="187"/>
  <c r="T138" i="187"/>
  <c r="X144" i="187"/>
  <c r="AH55" i="187"/>
  <c r="O72" i="187"/>
  <c r="N72" i="187"/>
  <c r="N99" i="205"/>
  <c r="AG144" i="187"/>
  <c r="Y144" i="187"/>
  <c r="AH87" i="187"/>
  <c r="AE144" i="187"/>
  <c r="AB93" i="187"/>
  <c r="AH85" i="187"/>
  <c r="G97" i="205"/>
  <c r="G99" i="205" s="1"/>
  <c r="AB119" i="187"/>
  <c r="T129" i="187"/>
  <c r="T130" i="187" s="1"/>
  <c r="AC98" i="187"/>
  <c r="AE146" i="187"/>
  <c r="J146" i="187"/>
  <c r="AE140" i="187"/>
  <c r="AA137" i="187"/>
  <c r="S117" i="187"/>
  <c r="AF97" i="187"/>
  <c r="N93" i="187"/>
  <c r="AB87" i="187"/>
  <c r="AH70" i="187"/>
  <c r="L94" i="187"/>
  <c r="AH53" i="187"/>
  <c r="AH78" i="187"/>
  <c r="AA94" i="187" s="1"/>
  <c r="H97" i="205"/>
  <c r="H99" i="205" s="1"/>
  <c r="M99" i="205"/>
  <c r="P99" i="205"/>
  <c r="O136" i="187"/>
  <c r="AH115" i="187"/>
  <c r="AB138" i="187"/>
  <c r="AC95" i="187"/>
  <c r="AG93" i="187"/>
  <c r="AH91" i="187"/>
  <c r="X98" i="187"/>
  <c r="AD140" i="187"/>
  <c r="W100" i="187"/>
  <c r="AG94" i="187"/>
  <c r="Z146" i="187"/>
  <c r="G146" i="187"/>
  <c r="O117" i="187"/>
  <c r="L140" i="187"/>
  <c r="AC144" i="187"/>
  <c r="L144" i="187"/>
  <c r="P117" i="187"/>
  <c r="Q98" i="187"/>
  <c r="N144" i="187"/>
  <c r="AC91" i="187"/>
  <c r="Z95" i="187"/>
  <c r="K97" i="205"/>
  <c r="K99" i="205" s="1"/>
  <c r="R26" i="205"/>
  <c r="O60" i="205"/>
  <c r="P60" i="205"/>
  <c r="P28" i="205"/>
  <c r="P62" i="205" s="1"/>
  <c r="V60" i="205"/>
  <c r="V28" i="205"/>
  <c r="V62" i="205" s="1"/>
  <c r="J97" i="205"/>
  <c r="J99" i="205" s="1"/>
  <c r="V58" i="205"/>
  <c r="I97" i="205"/>
  <c r="I99" i="205" s="1"/>
  <c r="T60" i="205"/>
  <c r="T28" i="205"/>
  <c r="T62" i="205" s="1"/>
  <c r="S60" i="205"/>
  <c r="S28" i="205"/>
  <c r="S62" i="205" s="1"/>
  <c r="R58" i="205"/>
  <c r="T58" i="205"/>
  <c r="H231" i="242"/>
  <c r="C231" i="242"/>
  <c r="X222" i="242"/>
  <c r="C224" i="242"/>
  <c r="X224" i="242" s="1"/>
  <c r="N133" i="242"/>
  <c r="N229" i="242" s="1"/>
  <c r="P229" i="242"/>
  <c r="P220" i="242"/>
  <c r="P222" i="242" s="1"/>
  <c r="P224" i="242" s="1"/>
  <c r="AD191" i="242"/>
  <c r="M135" i="242"/>
  <c r="M137" i="242" s="1"/>
  <c r="AD190" i="242"/>
  <c r="L231" i="242"/>
  <c r="L233" i="242" s="1"/>
  <c r="Z228" i="242"/>
  <c r="P135" i="242"/>
  <c r="P137" i="242" s="1"/>
  <c r="D228" i="242"/>
  <c r="D231" i="242" s="1"/>
  <c r="D233" i="242" s="1"/>
  <c r="AC228" i="242"/>
  <c r="M162" i="242"/>
  <c r="M164" i="242" s="1"/>
  <c r="M166" i="242" s="1"/>
  <c r="AB106" i="242"/>
  <c r="AB108" i="242" s="1"/>
  <c r="AB228" i="242"/>
  <c r="Q229" i="242"/>
  <c r="Q231" i="242" s="1"/>
  <c r="Q233" i="242" s="1"/>
  <c r="C108" i="242"/>
  <c r="X108" i="242" s="1"/>
  <c r="X106" i="242"/>
  <c r="O229" i="242"/>
  <c r="O231" i="242" s="1"/>
  <c r="O233" i="242" s="1"/>
  <c r="I228" i="242"/>
  <c r="I231" i="242" s="1"/>
  <c r="I233" i="242" s="1"/>
  <c r="I106" i="242"/>
  <c r="I108" i="242" s="1"/>
  <c r="H195" i="242"/>
  <c r="X161" i="242"/>
  <c r="E228" i="242"/>
  <c r="E231" i="242" s="1"/>
  <c r="E233" i="242" s="1"/>
  <c r="J228" i="242"/>
  <c r="J231" i="242" s="1"/>
  <c r="J233" i="242" s="1"/>
  <c r="AD103" i="242"/>
  <c r="H137" i="242"/>
  <c r="AD219" i="242"/>
  <c r="H222" i="242"/>
  <c r="N228" i="242"/>
  <c r="N231" i="242" s="1"/>
  <c r="N233" i="242" s="1"/>
  <c r="Q191" i="242"/>
  <c r="Q193" i="242"/>
  <c r="Q195" i="242" s="1"/>
  <c r="C135" i="242"/>
  <c r="X132" i="242"/>
  <c r="X219" i="242"/>
  <c r="M191" i="242"/>
  <c r="M193" i="242" s="1"/>
  <c r="M195" i="242" s="1"/>
  <c r="K132" i="242"/>
  <c r="I164" i="242"/>
  <c r="AD161" i="242"/>
  <c r="Q135" i="242"/>
  <c r="Q137" i="242" s="1"/>
  <c r="O135" i="242"/>
  <c r="O137" i="242" s="1"/>
  <c r="G231" i="242"/>
  <c r="G233" i="242" s="1"/>
  <c r="C166" i="242"/>
  <c r="X166" i="242" s="1"/>
  <c r="X164" i="242"/>
  <c r="P228" i="242"/>
  <c r="H108" i="242"/>
  <c r="AD108" i="242" s="1"/>
  <c r="AD106" i="242"/>
  <c r="AA228" i="242"/>
  <c r="U228" i="242"/>
  <c r="U231" i="242" s="1"/>
  <c r="U233" i="242" s="1"/>
  <c r="K222" i="242"/>
  <c r="K224" i="242" s="1"/>
  <c r="Y228" i="242"/>
  <c r="O38" i="187" l="1"/>
  <c r="AH38" i="187" s="1"/>
  <c r="AH36" i="187"/>
  <c r="K193" i="242"/>
  <c r="K195" i="242" s="1"/>
  <c r="AD195" i="242" s="1"/>
  <c r="I101" i="187"/>
  <c r="H98" i="187"/>
  <c r="H99" i="187" s="1"/>
  <c r="K100" i="187"/>
  <c r="AC148" i="187"/>
  <c r="N98" i="187"/>
  <c r="N99" i="187" s="1"/>
  <c r="N147" i="187" s="1"/>
  <c r="AE97" i="187"/>
  <c r="H100" i="187"/>
  <c r="J100" i="187"/>
  <c r="J101" i="187" s="1"/>
  <c r="K98" i="187"/>
  <c r="K99" i="187" s="1"/>
  <c r="G100" i="187"/>
  <c r="G101" i="187" s="1"/>
  <c r="X228" i="242"/>
  <c r="O124" i="235"/>
  <c r="O30" i="235"/>
  <c r="O126" i="235" s="1"/>
  <c r="H162" i="206"/>
  <c r="E155" i="206"/>
  <c r="J155" i="206"/>
  <c r="H155" i="206"/>
  <c r="L160" i="206"/>
  <c r="L161" i="206" s="1"/>
  <c r="L163" i="206" s="1"/>
  <c r="K162" i="206"/>
  <c r="E156" i="206"/>
  <c r="D159" i="206"/>
  <c r="I160" i="206"/>
  <c r="I161" i="206" s="1"/>
  <c r="K157" i="206"/>
  <c r="F156" i="206"/>
  <c r="J156" i="206"/>
  <c r="D160" i="206"/>
  <c r="E162" i="206"/>
  <c r="G160" i="206"/>
  <c r="L157" i="206"/>
  <c r="M160" i="206"/>
  <c r="M161" i="206" s="1"/>
  <c r="M163" i="206" s="1"/>
  <c r="E159" i="206"/>
  <c r="I156" i="206"/>
  <c r="D157" i="206"/>
  <c r="I157" i="206"/>
  <c r="M156" i="206"/>
  <c r="H160" i="206"/>
  <c r="H159" i="206"/>
  <c r="I162" i="206"/>
  <c r="E160" i="206"/>
  <c r="E157" i="206"/>
  <c r="I155" i="206"/>
  <c r="K160" i="206"/>
  <c r="K161" i="206" s="1"/>
  <c r="G155" i="206"/>
  <c r="H157" i="206"/>
  <c r="J162" i="206"/>
  <c r="D155" i="206"/>
  <c r="F157" i="206"/>
  <c r="J160" i="206"/>
  <c r="J161" i="206" s="1"/>
  <c r="K155" i="206"/>
  <c r="G159" i="206"/>
  <c r="L155" i="206"/>
  <c r="F162" i="206"/>
  <c r="L156" i="206"/>
  <c r="M157" i="206"/>
  <c r="H156" i="206"/>
  <c r="M155" i="206"/>
  <c r="F160" i="206"/>
  <c r="F161" i="206" s="1"/>
  <c r="G157" i="206"/>
  <c r="J157" i="206"/>
  <c r="L247" i="238"/>
  <c r="L214" i="238"/>
  <c r="L248" i="238" s="1"/>
  <c r="J246" i="238"/>
  <c r="P249" i="238"/>
  <c r="M249" i="238"/>
  <c r="H249" i="238"/>
  <c r="I249" i="238"/>
  <c r="H246" i="238"/>
  <c r="H214" i="238"/>
  <c r="H248" i="238" s="1"/>
  <c r="N249" i="238"/>
  <c r="M247" i="238"/>
  <c r="M214" i="238"/>
  <c r="M248" i="238" s="1"/>
  <c r="P78" i="238"/>
  <c r="O169" i="238" s="1"/>
  <c r="O177" i="238" s="1"/>
  <c r="K172" i="238"/>
  <c r="K179" i="238" s="1"/>
  <c r="L172" i="238"/>
  <c r="L179" i="238" s="1"/>
  <c r="O174" i="238"/>
  <c r="O181" i="238" s="1"/>
  <c r="O171" i="238"/>
  <c r="O178" i="238" s="1"/>
  <c r="O249" i="238"/>
  <c r="G215" i="238"/>
  <c r="K212" i="238"/>
  <c r="N213" i="238"/>
  <c r="J215" i="238"/>
  <c r="L215" i="238"/>
  <c r="I213" i="238"/>
  <c r="I247" i="238" s="1"/>
  <c r="P213" i="238"/>
  <c r="G212" i="238"/>
  <c r="J213" i="238"/>
  <c r="J247" i="238" s="1"/>
  <c r="O213" i="238"/>
  <c r="S171" i="238"/>
  <c r="S178" i="238" s="1"/>
  <c r="K171" i="238"/>
  <c r="K178" i="238" s="1"/>
  <c r="I212" i="238"/>
  <c r="S174" i="238"/>
  <c r="S181" i="238" s="1"/>
  <c r="G174" i="238"/>
  <c r="G181" i="238" s="1"/>
  <c r="P174" i="238"/>
  <c r="P181" i="238" s="1"/>
  <c r="P173" i="238"/>
  <c r="P180" i="238" s="1"/>
  <c r="U175" i="238"/>
  <c r="U182" i="238" s="1"/>
  <c r="L174" i="238"/>
  <c r="L181" i="238" s="1"/>
  <c r="T172" i="238"/>
  <c r="T179" i="238" s="1"/>
  <c r="K215" i="238"/>
  <c r="O119" i="187"/>
  <c r="O138" i="187"/>
  <c r="AH117" i="187"/>
  <c r="AE145" i="187"/>
  <c r="AE91" i="187"/>
  <c r="P95" i="187"/>
  <c r="Y98" i="187"/>
  <c r="AD98" i="187"/>
  <c r="AB94" i="187"/>
  <c r="X137" i="187"/>
  <c r="K148" i="187"/>
  <c r="R146" i="187"/>
  <c r="AA139" i="187"/>
  <c r="R118" i="187"/>
  <c r="W137" i="187"/>
  <c r="M93" i="187"/>
  <c r="AG98" i="187"/>
  <c r="R98" i="187"/>
  <c r="I146" i="187"/>
  <c r="U94" i="187"/>
  <c r="AA97" i="187"/>
  <c r="W146" i="187"/>
  <c r="AA140" i="187"/>
  <c r="Y148" i="187"/>
  <c r="P138" i="187"/>
  <c r="AF94" i="187"/>
  <c r="L148" i="187"/>
  <c r="Y139" i="187"/>
  <c r="Z97" i="187"/>
  <c r="L98" i="187"/>
  <c r="L99" i="187" s="1"/>
  <c r="W93" i="187"/>
  <c r="H148" i="187"/>
  <c r="H139" i="187"/>
  <c r="H140" i="187" s="1"/>
  <c r="AB96" i="187"/>
  <c r="Z148" i="187"/>
  <c r="W91" i="187"/>
  <c r="X91" i="187"/>
  <c r="AG91" i="187"/>
  <c r="AC139" i="187"/>
  <c r="AD97" i="187"/>
  <c r="P98" i="187"/>
  <c r="AD93" i="187"/>
  <c r="X93" i="187"/>
  <c r="X97" i="187"/>
  <c r="S146" i="187"/>
  <c r="N148" i="187"/>
  <c r="Q129" i="187"/>
  <c r="Q130" i="187" s="1"/>
  <c r="T100" i="187"/>
  <c r="W95" i="187"/>
  <c r="AB101" i="187"/>
  <c r="AC146" i="187"/>
  <c r="AG97" i="187"/>
  <c r="T95" i="187"/>
  <c r="AF93" i="187"/>
  <c r="AE94" i="187"/>
  <c r="O146" i="187"/>
  <c r="J148" i="187"/>
  <c r="U118" i="187"/>
  <c r="P100" i="187"/>
  <c r="R95" i="187"/>
  <c r="AE100" i="187"/>
  <c r="T146" i="187"/>
  <c r="AF98" i="187"/>
  <c r="AF99" i="187" s="1"/>
  <c r="Y93" i="187"/>
  <c r="AF100" i="187"/>
  <c r="S94" i="187"/>
  <c r="AB144" i="187"/>
  <c r="O145" i="187"/>
  <c r="AH136" i="187"/>
  <c r="L93" i="187"/>
  <c r="N94" i="187"/>
  <c r="AH94" i="187"/>
  <c r="AG95" i="187"/>
  <c r="O100" i="187"/>
  <c r="P146" i="187"/>
  <c r="AH93" i="187"/>
  <c r="L95" i="187"/>
  <c r="AH95" i="187"/>
  <c r="Z98" i="187"/>
  <c r="Y146" i="187"/>
  <c r="AE95" i="187"/>
  <c r="N146" i="187"/>
  <c r="AA100" i="187"/>
  <c r="T98" i="187"/>
  <c r="L146" i="187"/>
  <c r="AH100" i="187"/>
  <c r="AB98" i="187"/>
  <c r="W97" i="187"/>
  <c r="AC93" i="187"/>
  <c r="U95" i="187"/>
  <c r="X94" i="187"/>
  <c r="AC97" i="187"/>
  <c r="AE93" i="187"/>
  <c r="AF95" i="187"/>
  <c r="Y97" i="187"/>
  <c r="M148" i="187"/>
  <c r="P94" i="187"/>
  <c r="AH96" i="187"/>
  <c r="H146" i="187"/>
  <c r="S95" i="187"/>
  <c r="X100" i="187"/>
  <c r="T148" i="187"/>
  <c r="AG146" i="187"/>
  <c r="K146" i="187"/>
  <c r="AE139" i="187"/>
  <c r="S129" i="187"/>
  <c r="S130" i="187" s="1"/>
  <c r="W148" i="187"/>
  <c r="AD146" i="187"/>
  <c r="M146" i="187"/>
  <c r="W140" i="187"/>
  <c r="Y137" i="187"/>
  <c r="AG148" i="187"/>
  <c r="AA146" i="187"/>
  <c r="R129" i="187"/>
  <c r="R130" i="187" s="1"/>
  <c r="AC100" i="187"/>
  <c r="L100" i="187"/>
  <c r="W98" i="187"/>
  <c r="AH97" i="187"/>
  <c r="N95" i="187"/>
  <c r="S148" i="187"/>
  <c r="Z137" i="187"/>
  <c r="Q148" i="187"/>
  <c r="G139" i="187"/>
  <c r="Q100" i="187"/>
  <c r="AA91" i="187"/>
  <c r="W94" i="187"/>
  <c r="AF91" i="187"/>
  <c r="Z93" i="187"/>
  <c r="X95" i="187"/>
  <c r="T94" i="187"/>
  <c r="AE148" i="187"/>
  <c r="AH101" i="187"/>
  <c r="X140" i="187"/>
  <c r="Z100" i="187"/>
  <c r="Q94" i="187"/>
  <c r="AA148" i="187"/>
  <c r="AG100" i="187"/>
  <c r="Z139" i="187"/>
  <c r="U100" i="187"/>
  <c r="AB97" i="187"/>
  <c r="AB99" i="187" s="1"/>
  <c r="S100" i="187"/>
  <c r="Z140" i="187"/>
  <c r="AD91" i="187"/>
  <c r="U148" i="187"/>
  <c r="S118" i="187"/>
  <c r="S119" i="187" s="1"/>
  <c r="Q118" i="187"/>
  <c r="AG140" i="187"/>
  <c r="AD100" i="187"/>
  <c r="AB95" i="187"/>
  <c r="AA93" i="187"/>
  <c r="Z91" i="187"/>
  <c r="Z94" i="187"/>
  <c r="AD95" i="187"/>
  <c r="X146" i="187"/>
  <c r="R148" i="187"/>
  <c r="U129" i="187"/>
  <c r="U130" i="187" s="1"/>
  <c r="Y100" i="187"/>
  <c r="AA95" i="187"/>
  <c r="T118" i="187"/>
  <c r="I148" i="187"/>
  <c r="M100" i="187"/>
  <c r="M94" i="187"/>
  <c r="U98" i="187"/>
  <c r="AD94" i="187"/>
  <c r="M95" i="187"/>
  <c r="S138" i="187"/>
  <c r="AC140" i="187"/>
  <c r="U146" i="187"/>
  <c r="O148" i="187"/>
  <c r="AE98" i="187"/>
  <c r="AC94" i="187"/>
  <c r="R100" i="187"/>
  <c r="AG139" i="187"/>
  <c r="S98" i="187"/>
  <c r="AB100" i="187"/>
  <c r="Y95" i="187"/>
  <c r="M98" i="187"/>
  <c r="M99" i="187" s="1"/>
  <c r="Y140" i="187"/>
  <c r="Q146" i="187"/>
  <c r="G148" i="187"/>
  <c r="AA98" i="187"/>
  <c r="Y94" i="187"/>
  <c r="N100" i="187"/>
  <c r="N101" i="187" s="1"/>
  <c r="O98" i="187"/>
  <c r="R94" i="187"/>
  <c r="Q95" i="187"/>
  <c r="AH98" i="187"/>
  <c r="Y91" i="187"/>
  <c r="R60" i="205"/>
  <c r="R28" i="205"/>
  <c r="R57" i="205" s="1"/>
  <c r="X135" i="242"/>
  <c r="C137" i="242"/>
  <c r="X137" i="242" s="1"/>
  <c r="Z229" i="242"/>
  <c r="Z231" i="242"/>
  <c r="Z233" i="242" s="1"/>
  <c r="Y229" i="242"/>
  <c r="Y231" i="242" s="1"/>
  <c r="Y233" i="242" s="1"/>
  <c r="AB231" i="242"/>
  <c r="AB233" i="242" s="1"/>
  <c r="AB229" i="242"/>
  <c r="AC229" i="242"/>
  <c r="AC231" i="242" s="1"/>
  <c r="AC233" i="242" s="1"/>
  <c r="X231" i="242"/>
  <c r="C233" i="242"/>
  <c r="X233" i="242" s="1"/>
  <c r="AA229" i="242"/>
  <c r="AA231" i="242"/>
  <c r="AA233" i="242" s="1"/>
  <c r="M229" i="242"/>
  <c r="M231" i="242" s="1"/>
  <c r="M233" i="242" s="1"/>
  <c r="I166" i="242"/>
  <c r="AD166" i="242" s="1"/>
  <c r="AD164" i="242"/>
  <c r="H224" i="242"/>
  <c r="AD224" i="242" s="1"/>
  <c r="AD222" i="242"/>
  <c r="P231" i="242"/>
  <c r="P233" i="242" s="1"/>
  <c r="K135" i="242"/>
  <c r="AD132" i="242"/>
  <c r="K228" i="242"/>
  <c r="AD228" i="242" s="1"/>
  <c r="N135" i="242"/>
  <c r="N137" i="242" s="1"/>
  <c r="H233" i="242"/>
  <c r="P93" i="187" l="1"/>
  <c r="T91" i="187"/>
  <c r="Q93" i="187"/>
  <c r="Q96" i="187" s="1"/>
  <c r="S91" i="187"/>
  <c r="R91" i="187"/>
  <c r="R97" i="187"/>
  <c r="R145" i="187" s="1"/>
  <c r="U91" i="187"/>
  <c r="S93" i="187"/>
  <c r="S96" i="187" s="1"/>
  <c r="P91" i="187"/>
  <c r="Q97" i="187"/>
  <c r="Q145" i="187" s="1"/>
  <c r="AD193" i="242"/>
  <c r="Q91" i="187"/>
  <c r="P97" i="187"/>
  <c r="U93" i="187"/>
  <c r="U96" i="187" s="1"/>
  <c r="R93" i="187"/>
  <c r="R96" i="187" s="1"/>
  <c r="T93" i="187"/>
  <c r="T96" i="187" s="1"/>
  <c r="T97" i="187"/>
  <c r="T145" i="187" s="1"/>
  <c r="S97" i="187"/>
  <c r="S145" i="187" s="1"/>
  <c r="U97" i="187"/>
  <c r="U145" i="187" s="1"/>
  <c r="O93" i="187"/>
  <c r="O96" i="187" s="1"/>
  <c r="O144" i="187" s="1"/>
  <c r="O147" i="187" s="1"/>
  <c r="O149" i="187" s="1"/>
  <c r="AE99" i="187"/>
  <c r="AE101" i="187" s="1"/>
  <c r="K101" i="187"/>
  <c r="H101" i="187"/>
  <c r="F163" i="206"/>
  <c r="J163" i="206"/>
  <c r="K163" i="206"/>
  <c r="J214" i="238"/>
  <c r="J248" i="238" s="1"/>
  <c r="E161" i="206"/>
  <c r="E163" i="206" s="1"/>
  <c r="G161" i="206"/>
  <c r="G163" i="206" s="1"/>
  <c r="I163" i="206"/>
  <c r="H161" i="206"/>
  <c r="H163" i="206" s="1"/>
  <c r="D161" i="206"/>
  <c r="D163" i="206" s="1"/>
  <c r="AH99" i="187"/>
  <c r="H216" i="238"/>
  <c r="H250" i="238" s="1"/>
  <c r="I214" i="238"/>
  <c r="I246" i="238"/>
  <c r="K249" i="238"/>
  <c r="M170" i="238"/>
  <c r="R170" i="238"/>
  <c r="U171" i="238"/>
  <c r="U178" i="238" s="1"/>
  <c r="J175" i="238"/>
  <c r="J182" i="238" s="1"/>
  <c r="H170" i="238"/>
  <c r="L216" i="238"/>
  <c r="L250" i="238" s="1"/>
  <c r="L249" i="238"/>
  <c r="G249" i="238"/>
  <c r="M173" i="238"/>
  <c r="M180" i="238" s="1"/>
  <c r="P247" i="238"/>
  <c r="P214" i="238"/>
  <c r="N247" i="238"/>
  <c r="N214" i="238"/>
  <c r="O214" i="238"/>
  <c r="O247" i="238"/>
  <c r="K214" i="238"/>
  <c r="K248" i="238" s="1"/>
  <c r="K246" i="238"/>
  <c r="M171" i="238"/>
  <c r="M178" i="238" s="1"/>
  <c r="V169" i="238"/>
  <c r="V177" i="238" s="1"/>
  <c r="I172" i="238"/>
  <c r="I179" i="238" s="1"/>
  <c r="N172" i="238"/>
  <c r="N179" i="238" s="1"/>
  <c r="P170" i="238"/>
  <c r="R174" i="238"/>
  <c r="R181" i="238" s="1"/>
  <c r="V172" i="238"/>
  <c r="V179" i="238" s="1"/>
  <c r="N174" i="238"/>
  <c r="N181" i="238" s="1"/>
  <c r="J170" i="238"/>
  <c r="G175" i="238"/>
  <c r="G182" i="238" s="1"/>
  <c r="U172" i="238"/>
  <c r="U179" i="238" s="1"/>
  <c r="K169" i="238"/>
  <c r="K177" i="238" s="1"/>
  <c r="T170" i="238"/>
  <c r="G173" i="238"/>
  <c r="G180" i="238" s="1"/>
  <c r="J173" i="238"/>
  <c r="J180" i="238" s="1"/>
  <c r="H171" i="238"/>
  <c r="H178" i="238" s="1"/>
  <c r="I175" i="238"/>
  <c r="I182" i="238" s="1"/>
  <c r="R173" i="238"/>
  <c r="R180" i="238" s="1"/>
  <c r="T173" i="238"/>
  <c r="T180" i="238" s="1"/>
  <c r="G169" i="238"/>
  <c r="G177" i="238" s="1"/>
  <c r="S170" i="238"/>
  <c r="O175" i="238"/>
  <c r="O182" i="238" s="1"/>
  <c r="L173" i="238"/>
  <c r="L180" i="238" s="1"/>
  <c r="V171" i="238"/>
  <c r="V178" i="238" s="1"/>
  <c r="I173" i="238"/>
  <c r="I180" i="238" s="1"/>
  <c r="S175" i="238"/>
  <c r="S182" i="238" s="1"/>
  <c r="I170" i="238"/>
  <c r="R171" i="238"/>
  <c r="R178" i="238" s="1"/>
  <c r="H174" i="238"/>
  <c r="H181" i="238" s="1"/>
  <c r="S173" i="238"/>
  <c r="S180" i="238" s="1"/>
  <c r="P171" i="238"/>
  <c r="P178" i="238" s="1"/>
  <c r="R175" i="238"/>
  <c r="R182" i="238" s="1"/>
  <c r="R169" i="238"/>
  <c r="R177" i="238" s="1"/>
  <c r="U174" i="238"/>
  <c r="U181" i="238" s="1"/>
  <c r="V170" i="238"/>
  <c r="N171" i="238"/>
  <c r="N178" i="238" s="1"/>
  <c r="H169" i="238"/>
  <c r="H177" i="238" s="1"/>
  <c r="U173" i="238"/>
  <c r="U180" i="238" s="1"/>
  <c r="G171" i="238"/>
  <c r="G178" i="238" s="1"/>
  <c r="O172" i="238"/>
  <c r="O179" i="238" s="1"/>
  <c r="H175" i="238"/>
  <c r="H182" i="238" s="1"/>
  <c r="K174" i="238"/>
  <c r="K181" i="238" s="1"/>
  <c r="H172" i="238"/>
  <c r="H179" i="238" s="1"/>
  <c r="U169" i="238"/>
  <c r="U177" i="238" s="1"/>
  <c r="V175" i="238"/>
  <c r="V182" i="238" s="1"/>
  <c r="T171" i="238"/>
  <c r="T178" i="238" s="1"/>
  <c r="J172" i="238"/>
  <c r="J179" i="238" s="1"/>
  <c r="L170" i="238"/>
  <c r="M174" i="238"/>
  <c r="M181" i="238" s="1"/>
  <c r="S169" i="238"/>
  <c r="S177" i="238" s="1"/>
  <c r="O170" i="238"/>
  <c r="J174" i="238"/>
  <c r="J181" i="238" s="1"/>
  <c r="M172" i="238"/>
  <c r="M179" i="238" s="1"/>
  <c r="V173" i="238"/>
  <c r="V180" i="238" s="1"/>
  <c r="J169" i="238"/>
  <c r="J177" i="238" s="1"/>
  <c r="T174" i="238"/>
  <c r="T181" i="238" s="1"/>
  <c r="P172" i="238"/>
  <c r="P179" i="238" s="1"/>
  <c r="G170" i="238"/>
  <c r="P169" i="238"/>
  <c r="P177" i="238" s="1"/>
  <c r="K170" i="238"/>
  <c r="R172" i="238"/>
  <c r="R179" i="238" s="1"/>
  <c r="S172" i="238"/>
  <c r="S179" i="238" s="1"/>
  <c r="U170" i="238"/>
  <c r="V174" i="238"/>
  <c r="V181" i="238" s="1"/>
  <c r="M169" i="238"/>
  <c r="M177" i="238" s="1"/>
  <c r="N169" i="238"/>
  <c r="N177" i="238" s="1"/>
  <c r="K173" i="238"/>
  <c r="K180" i="238" s="1"/>
  <c r="N175" i="238"/>
  <c r="N182" i="238" s="1"/>
  <c r="N170" i="238"/>
  <c r="K175" i="238"/>
  <c r="K182" i="238" s="1"/>
  <c r="H173" i="238"/>
  <c r="H180" i="238" s="1"/>
  <c r="T169" i="238"/>
  <c r="T177" i="238" s="1"/>
  <c r="I171" i="238"/>
  <c r="I178" i="238" s="1"/>
  <c r="O173" i="238"/>
  <c r="O180" i="238" s="1"/>
  <c r="N173" i="238"/>
  <c r="N180" i="238" s="1"/>
  <c r="L171" i="238"/>
  <c r="L178" i="238" s="1"/>
  <c r="M175" i="238"/>
  <c r="M182" i="238" s="1"/>
  <c r="AB146" i="187"/>
  <c r="I169" i="238"/>
  <c r="I177" i="238" s="1"/>
  <c r="J171" i="238"/>
  <c r="J178" i="238" s="1"/>
  <c r="G172" i="238"/>
  <c r="G179" i="238" s="1"/>
  <c r="T175" i="238"/>
  <c r="T182" i="238" s="1"/>
  <c r="L175" i="238"/>
  <c r="L182" i="238" s="1"/>
  <c r="I174" i="238"/>
  <c r="I181" i="238" s="1"/>
  <c r="G214" i="238"/>
  <c r="G248" i="238" s="1"/>
  <c r="G246" i="238"/>
  <c r="J249" i="238"/>
  <c r="P175" i="238"/>
  <c r="P182" i="238" s="1"/>
  <c r="L169" i="238"/>
  <c r="L177" i="238" s="1"/>
  <c r="M216" i="238"/>
  <c r="M250" i="238" s="1"/>
  <c r="AF101" i="187"/>
  <c r="AE147" i="187"/>
  <c r="AE149" i="187" s="1"/>
  <c r="Y145" i="187"/>
  <c r="Y99" i="187"/>
  <c r="AG145" i="187"/>
  <c r="AG99" i="187"/>
  <c r="M147" i="187"/>
  <c r="M149" i="187" s="1"/>
  <c r="M101" i="187"/>
  <c r="T139" i="187"/>
  <c r="T140" i="187" s="1"/>
  <c r="T119" i="187"/>
  <c r="H147" i="187"/>
  <c r="H149" i="187" s="1"/>
  <c r="X145" i="187"/>
  <c r="X99" i="187"/>
  <c r="P96" i="187"/>
  <c r="Z145" i="187"/>
  <c r="Z99" i="187"/>
  <c r="AA145" i="187"/>
  <c r="AA99" i="187"/>
  <c r="AB137" i="187"/>
  <c r="L147" i="187"/>
  <c r="L149" i="187" s="1"/>
  <c r="L101" i="187"/>
  <c r="Q139" i="187"/>
  <c r="Q140" i="187" s="1"/>
  <c r="Q119" i="187"/>
  <c r="G140" i="187"/>
  <c r="AB140" i="187" s="1"/>
  <c r="U139" i="187"/>
  <c r="U140" i="187" s="1"/>
  <c r="U119" i="187"/>
  <c r="AD145" i="187"/>
  <c r="AD99" i="187"/>
  <c r="J147" i="187"/>
  <c r="J149" i="187" s="1"/>
  <c r="N149" i="187"/>
  <c r="K147" i="187"/>
  <c r="K149" i="187" s="1"/>
  <c r="I147" i="187"/>
  <c r="I149" i="187" s="1"/>
  <c r="S139" i="187"/>
  <c r="S140" i="187" s="1"/>
  <c r="AC145" i="187"/>
  <c r="AC99" i="187"/>
  <c r="W145" i="187"/>
  <c r="W99" i="187"/>
  <c r="G147" i="187"/>
  <c r="R139" i="187"/>
  <c r="R140" i="187" s="1"/>
  <c r="R119" i="187"/>
  <c r="O140" i="187"/>
  <c r="AH138" i="187"/>
  <c r="U57" i="205"/>
  <c r="T57" i="205"/>
  <c r="R62" i="205"/>
  <c r="S57" i="205"/>
  <c r="V57" i="205"/>
  <c r="K137" i="242"/>
  <c r="AD137" i="242" s="1"/>
  <c r="AD135" i="242"/>
  <c r="K229" i="242"/>
  <c r="AD229" i="242" s="1"/>
  <c r="AD133" i="242"/>
  <c r="P145" i="187" l="1"/>
  <c r="L28" i="210"/>
  <c r="J216" i="238"/>
  <c r="J250" i="238" s="1"/>
  <c r="O99" i="187"/>
  <c r="O101" i="187" s="1"/>
  <c r="K216" i="238"/>
  <c r="K250" i="238" s="1"/>
  <c r="P248" i="238"/>
  <c r="P216" i="238"/>
  <c r="P250" i="238" s="1"/>
  <c r="N248" i="238"/>
  <c r="N216" i="238"/>
  <c r="N250" i="238" s="1"/>
  <c r="O248" i="238"/>
  <c r="O216" i="238"/>
  <c r="O250" i="238" s="1"/>
  <c r="AB145" i="187"/>
  <c r="G216" i="238"/>
  <c r="G250" i="238" s="1"/>
  <c r="I248" i="238"/>
  <c r="I216" i="238"/>
  <c r="I250" i="238" s="1"/>
  <c r="W101" i="187"/>
  <c r="W147" i="187"/>
  <c r="W149" i="187" s="1"/>
  <c r="Z147" i="187"/>
  <c r="Z149" i="187" s="1"/>
  <c r="Z101" i="187"/>
  <c r="AD147" i="187"/>
  <c r="AD101" i="187"/>
  <c r="Q144" i="187"/>
  <c r="Q147" i="187" s="1"/>
  <c r="Q149" i="187" s="1"/>
  <c r="Q99" i="187"/>
  <c r="Q101" i="187" s="1"/>
  <c r="S144" i="187"/>
  <c r="S147" i="187" s="1"/>
  <c r="S149" i="187" s="1"/>
  <c r="S99" i="187"/>
  <c r="S101" i="187" s="1"/>
  <c r="X147" i="187"/>
  <c r="X101" i="187"/>
  <c r="Y147" i="187"/>
  <c r="Y149" i="187" s="1"/>
  <c r="Y101" i="187"/>
  <c r="G149" i="187"/>
  <c r="AA147" i="187"/>
  <c r="AA149" i="187" s="1"/>
  <c r="AA101" i="187"/>
  <c r="AG147" i="187"/>
  <c r="AG149" i="187" s="1"/>
  <c r="AG101" i="187"/>
  <c r="R144" i="187"/>
  <c r="R147" i="187" s="1"/>
  <c r="R149" i="187" s="1"/>
  <c r="R99" i="187"/>
  <c r="R101" i="187" s="1"/>
  <c r="AC147" i="187"/>
  <c r="AC149" i="187" s="1"/>
  <c r="AC101" i="187"/>
  <c r="T99" i="187"/>
  <c r="T101" i="187" s="1"/>
  <c r="T144" i="187"/>
  <c r="T147" i="187" s="1"/>
  <c r="T149" i="187" s="1"/>
  <c r="P144" i="187"/>
  <c r="P147" i="187" s="1"/>
  <c r="P99" i="187"/>
  <c r="P101" i="187" s="1"/>
  <c r="U144" i="187"/>
  <c r="U147" i="187" s="1"/>
  <c r="U149" i="187" s="1"/>
  <c r="U99" i="187"/>
  <c r="U101" i="187" s="1"/>
  <c r="K231" i="242"/>
  <c r="AB147" i="187" l="1"/>
  <c r="K233" i="242"/>
  <c r="AD233" i="242" s="1"/>
  <c r="AD231" i="242"/>
  <c r="Q87" i="222" l="1"/>
  <c r="P87" i="222"/>
  <c r="O87" i="222"/>
  <c r="N87" i="222"/>
  <c r="M87" i="222"/>
  <c r="L87" i="222"/>
  <c r="K87" i="222"/>
  <c r="J87" i="222"/>
  <c r="I87" i="222"/>
  <c r="H87" i="222"/>
  <c r="G87" i="222"/>
  <c r="F87" i="222"/>
  <c r="E87" i="222"/>
  <c r="D87" i="222"/>
  <c r="C87" i="222"/>
  <c r="K28" i="220" l="1"/>
  <c r="J28" i="220"/>
  <c r="I28" i="220"/>
  <c r="H28" i="220"/>
  <c r="D20" i="220" l="1"/>
  <c r="E20" i="220"/>
  <c r="F20" i="220"/>
  <c r="G20" i="220"/>
  <c r="C20" i="220"/>
  <c r="AB138" i="211" l="1"/>
  <c r="AA138" i="211"/>
  <c r="Z138" i="211"/>
  <c r="Y138" i="211"/>
  <c r="X138" i="211"/>
  <c r="W138" i="211"/>
  <c r="V138" i="211"/>
  <c r="U138" i="211"/>
  <c r="Q138" i="211"/>
  <c r="P138" i="211"/>
  <c r="O138" i="211"/>
  <c r="N138" i="211"/>
  <c r="M138" i="211"/>
  <c r="L138" i="211"/>
  <c r="K138" i="211"/>
  <c r="J138" i="211"/>
  <c r="I138" i="211"/>
  <c r="H138" i="211"/>
  <c r="G138" i="211"/>
  <c r="F138" i="211"/>
  <c r="E138" i="211"/>
  <c r="D138" i="211"/>
  <c r="C138" i="211"/>
  <c r="B128" i="211"/>
  <c r="AB126" i="211"/>
  <c r="AA126" i="211"/>
  <c r="Z126" i="211"/>
  <c r="Y126" i="211"/>
  <c r="X126" i="211"/>
  <c r="W126" i="211"/>
  <c r="V126" i="211"/>
  <c r="U126" i="211"/>
  <c r="Q126" i="211"/>
  <c r="P126" i="211"/>
  <c r="O126" i="211"/>
  <c r="N126" i="211"/>
  <c r="M126" i="211"/>
  <c r="L126" i="211"/>
  <c r="K126" i="211"/>
  <c r="J126" i="211"/>
  <c r="I126" i="211"/>
  <c r="H126" i="211"/>
  <c r="G126" i="211"/>
  <c r="F126" i="211"/>
  <c r="E126" i="211"/>
  <c r="D126" i="211"/>
  <c r="C126" i="211"/>
  <c r="B116" i="211"/>
  <c r="AB114" i="211"/>
  <c r="AA114" i="211"/>
  <c r="Z114" i="211"/>
  <c r="Y114" i="211"/>
  <c r="X114" i="211"/>
  <c r="W114" i="211"/>
  <c r="V114" i="211"/>
  <c r="U114" i="211"/>
  <c r="Q114" i="211"/>
  <c r="P114" i="211"/>
  <c r="O114" i="211"/>
  <c r="N114" i="211"/>
  <c r="M114" i="211"/>
  <c r="L114" i="211"/>
  <c r="K114" i="211"/>
  <c r="J114" i="211"/>
  <c r="I114" i="211"/>
  <c r="H114" i="211"/>
  <c r="G114" i="211"/>
  <c r="F114" i="211"/>
  <c r="E114" i="211"/>
  <c r="D114" i="211"/>
  <c r="C114" i="211"/>
  <c r="B104" i="211"/>
  <c r="AB102" i="211"/>
  <c r="AA102" i="211"/>
  <c r="Z102" i="211"/>
  <c r="Y102" i="211"/>
  <c r="X102" i="211"/>
  <c r="W102" i="211"/>
  <c r="V102" i="211"/>
  <c r="U102" i="211"/>
  <c r="Q102" i="211"/>
  <c r="P102" i="211"/>
  <c r="O102" i="211"/>
  <c r="N102" i="211"/>
  <c r="M102" i="211"/>
  <c r="L102" i="211"/>
  <c r="K102" i="211"/>
  <c r="J102" i="211"/>
  <c r="I102" i="211"/>
  <c r="H102" i="211"/>
  <c r="G102" i="211"/>
  <c r="F102" i="211"/>
  <c r="E102" i="211"/>
  <c r="D102" i="211"/>
  <c r="C102" i="211"/>
  <c r="B92" i="211"/>
  <c r="AB90" i="211"/>
  <c r="AA90" i="211"/>
  <c r="Z90" i="211"/>
  <c r="Y90" i="211"/>
  <c r="X90" i="211"/>
  <c r="W90" i="211"/>
  <c r="V90" i="211"/>
  <c r="U90" i="211"/>
  <c r="Q90" i="211"/>
  <c r="P90" i="211"/>
  <c r="O90" i="211"/>
  <c r="N90" i="211"/>
  <c r="M90" i="211"/>
  <c r="L90" i="211"/>
  <c r="K90" i="211"/>
  <c r="J90" i="211"/>
  <c r="I90" i="211"/>
  <c r="H90" i="211"/>
  <c r="G90" i="211"/>
  <c r="F90" i="211"/>
  <c r="E90" i="211"/>
  <c r="D90" i="211"/>
  <c r="C90" i="211"/>
  <c r="B80" i="211"/>
  <c r="AB78" i="211"/>
  <c r="AA78" i="211"/>
  <c r="Z78" i="211"/>
  <c r="Y78" i="211"/>
  <c r="X78" i="211"/>
  <c r="W78" i="211"/>
  <c r="V78" i="211"/>
  <c r="U78" i="211"/>
  <c r="Q78" i="211"/>
  <c r="P78" i="211"/>
  <c r="O78" i="211"/>
  <c r="N78" i="211"/>
  <c r="M78" i="211"/>
  <c r="L78" i="211"/>
  <c r="K78" i="211"/>
  <c r="J78" i="211"/>
  <c r="I78" i="211"/>
  <c r="H78" i="211"/>
  <c r="G78" i="211"/>
  <c r="F78" i="211"/>
  <c r="E78" i="211"/>
  <c r="D78" i="211"/>
  <c r="C78" i="211"/>
  <c r="B68" i="211"/>
  <c r="AB66" i="211"/>
  <c r="AA66" i="211"/>
  <c r="Z66" i="211"/>
  <c r="Y66" i="211"/>
  <c r="X66" i="211"/>
  <c r="W66" i="211"/>
  <c r="V66" i="211"/>
  <c r="U66" i="211"/>
  <c r="Q66" i="211"/>
  <c r="P66" i="211"/>
  <c r="O66" i="211"/>
  <c r="N66" i="211"/>
  <c r="M66" i="211"/>
  <c r="L66" i="211"/>
  <c r="K66" i="211"/>
  <c r="J66" i="211"/>
  <c r="I66" i="211"/>
  <c r="H66" i="211"/>
  <c r="G66" i="211"/>
  <c r="F66" i="211"/>
  <c r="E66" i="211"/>
  <c r="D66" i="211"/>
  <c r="C66" i="211"/>
  <c r="B56" i="211"/>
  <c r="AB54" i="211"/>
  <c r="AA54" i="211"/>
  <c r="Z54" i="211"/>
  <c r="Y54" i="211"/>
  <c r="X54" i="211"/>
  <c r="W54" i="211"/>
  <c r="V54" i="211"/>
  <c r="U54" i="211"/>
  <c r="Q54" i="211"/>
  <c r="P54" i="211"/>
  <c r="O54" i="211"/>
  <c r="N54" i="211"/>
  <c r="M54" i="211"/>
  <c r="L54" i="211"/>
  <c r="K54" i="211"/>
  <c r="J54" i="211"/>
  <c r="I54" i="211"/>
  <c r="H54" i="211"/>
  <c r="G54" i="211"/>
  <c r="F54" i="211"/>
  <c r="E54" i="211"/>
  <c r="D54" i="211"/>
  <c r="C54" i="211"/>
  <c r="B44" i="211"/>
  <c r="AB42" i="211"/>
  <c r="AA42" i="211"/>
  <c r="Z42" i="211"/>
  <c r="Y42" i="211"/>
  <c r="X42" i="211"/>
  <c r="W42" i="211"/>
  <c r="V42" i="211"/>
  <c r="U42" i="211"/>
  <c r="Q42" i="211"/>
  <c r="P42" i="211"/>
  <c r="O42" i="211"/>
  <c r="N42" i="211"/>
  <c r="M42" i="211"/>
  <c r="L42" i="211"/>
  <c r="K42" i="211"/>
  <c r="J42" i="211"/>
  <c r="I42" i="211"/>
  <c r="H42" i="211"/>
  <c r="G42" i="211"/>
  <c r="F42" i="211"/>
  <c r="E42" i="211"/>
  <c r="D42" i="211"/>
  <c r="C42" i="211"/>
  <c r="B32" i="211"/>
  <c r="AB30" i="211"/>
  <c r="AA30" i="211"/>
  <c r="Z30" i="211"/>
  <c r="Y30" i="211"/>
  <c r="X30" i="211"/>
  <c r="W30" i="211"/>
  <c r="V30" i="211"/>
  <c r="U30" i="211"/>
  <c r="Q30" i="211"/>
  <c r="P30" i="211"/>
  <c r="O30" i="211"/>
  <c r="N30" i="211"/>
  <c r="M30" i="211"/>
  <c r="L30" i="211"/>
  <c r="K30" i="211"/>
  <c r="J30" i="211"/>
  <c r="I30" i="211"/>
  <c r="H30" i="211"/>
  <c r="G30" i="211"/>
  <c r="F30" i="211"/>
  <c r="E30" i="211"/>
  <c r="D30" i="211"/>
  <c r="C30" i="211"/>
  <c r="B20" i="211"/>
  <c r="B2" i="211"/>
  <c r="B1" i="211"/>
  <c r="E75" i="256" l="1"/>
  <c r="S73" i="256"/>
  <c r="R73" i="256"/>
  <c r="Q73" i="256"/>
  <c r="P73" i="256"/>
  <c r="O73" i="256"/>
  <c r="N73" i="256"/>
  <c r="M73" i="256"/>
  <c r="L73" i="256"/>
  <c r="K73" i="256"/>
  <c r="J73" i="256"/>
  <c r="I73" i="256"/>
  <c r="H73" i="256"/>
  <c r="G73" i="256"/>
  <c r="F73" i="256"/>
  <c r="E73" i="256"/>
  <c r="S72" i="256"/>
  <c r="R72" i="256"/>
  <c r="Q72" i="256"/>
  <c r="P72" i="256"/>
  <c r="O72" i="256"/>
  <c r="N72" i="256"/>
  <c r="M72" i="256"/>
  <c r="L72" i="256"/>
  <c r="K72" i="256"/>
  <c r="J72" i="256"/>
  <c r="I72" i="256"/>
  <c r="H72" i="256"/>
  <c r="G72" i="256"/>
  <c r="F72" i="256"/>
  <c r="E72" i="256"/>
  <c r="S71" i="256"/>
  <c r="R71" i="256"/>
  <c r="Q71" i="256"/>
  <c r="P71" i="256"/>
  <c r="O71" i="256"/>
  <c r="N71" i="256"/>
  <c r="M71" i="256"/>
  <c r="L71" i="256"/>
  <c r="K71" i="256"/>
  <c r="J71" i="256"/>
  <c r="I71" i="256"/>
  <c r="H71" i="256"/>
  <c r="G71" i="256"/>
  <c r="F71" i="256"/>
  <c r="E71" i="256"/>
  <c r="S67" i="256"/>
  <c r="R67" i="256"/>
  <c r="Q67" i="256"/>
  <c r="P67" i="256"/>
  <c r="O67" i="256"/>
  <c r="N67" i="256"/>
  <c r="M67" i="256"/>
  <c r="L67" i="256"/>
  <c r="K67" i="256"/>
  <c r="J67" i="256"/>
  <c r="I67" i="256"/>
  <c r="H67" i="256"/>
  <c r="G67" i="256"/>
  <c r="F67" i="256"/>
  <c r="E67" i="256"/>
  <c r="S66" i="256"/>
  <c r="R66" i="256"/>
  <c r="Q66" i="256"/>
  <c r="P66" i="256"/>
  <c r="O66" i="256"/>
  <c r="N66" i="256"/>
  <c r="M66" i="256"/>
  <c r="L66" i="256"/>
  <c r="K66" i="256"/>
  <c r="J66" i="256"/>
  <c r="I66" i="256"/>
  <c r="H66" i="256"/>
  <c r="G66" i="256"/>
  <c r="F66" i="256"/>
  <c r="E66" i="256"/>
  <c r="S64" i="256"/>
  <c r="R64" i="256"/>
  <c r="Q64" i="256"/>
  <c r="P64" i="256"/>
  <c r="O64" i="256"/>
  <c r="N64" i="256"/>
  <c r="M64" i="256"/>
  <c r="L64" i="256"/>
  <c r="K64" i="256"/>
  <c r="J64" i="256"/>
  <c r="I64" i="256"/>
  <c r="H64" i="256"/>
  <c r="G64" i="256"/>
  <c r="F64" i="256"/>
  <c r="E64" i="256"/>
  <c r="S63" i="256"/>
  <c r="R63" i="256"/>
  <c r="Q63" i="256"/>
  <c r="P63" i="256"/>
  <c r="O63" i="256"/>
  <c r="N63" i="256"/>
  <c r="M63" i="256"/>
  <c r="L63" i="256"/>
  <c r="K63" i="256"/>
  <c r="J63" i="256"/>
  <c r="I63" i="256"/>
  <c r="H63" i="256"/>
  <c r="G63" i="256"/>
  <c r="F63" i="256"/>
  <c r="E63" i="256"/>
  <c r="S62" i="256"/>
  <c r="R62" i="256"/>
  <c r="Q62" i="256"/>
  <c r="P62" i="256"/>
  <c r="O62" i="256"/>
  <c r="N62" i="256"/>
  <c r="M62" i="256"/>
  <c r="L62" i="256"/>
  <c r="K62" i="256"/>
  <c r="J62" i="256"/>
  <c r="I62" i="256"/>
  <c r="H62" i="256"/>
  <c r="G62" i="256"/>
  <c r="F62" i="256"/>
  <c r="E62" i="256"/>
  <c r="S61" i="256"/>
  <c r="R61" i="256"/>
  <c r="Q61" i="256"/>
  <c r="P61" i="256"/>
  <c r="O61" i="256"/>
  <c r="N61" i="256"/>
  <c r="M61" i="256"/>
  <c r="L61" i="256"/>
  <c r="K61" i="256"/>
  <c r="J61" i="256"/>
  <c r="I61" i="256"/>
  <c r="H61" i="256"/>
  <c r="G61" i="256"/>
  <c r="F61" i="256"/>
  <c r="E61" i="256"/>
  <c r="S60" i="256"/>
  <c r="R60" i="256"/>
  <c r="Q60" i="256"/>
  <c r="P60" i="256"/>
  <c r="O60" i="256"/>
  <c r="N60" i="256"/>
  <c r="M60" i="256"/>
  <c r="L60" i="256"/>
  <c r="K60" i="256"/>
  <c r="J60" i="256"/>
  <c r="I60" i="256"/>
  <c r="H60" i="256"/>
  <c r="G60" i="256"/>
  <c r="F60" i="256"/>
  <c r="E60" i="256"/>
  <c r="S59" i="256"/>
  <c r="R59" i="256"/>
  <c r="Q59" i="256"/>
  <c r="P59" i="256"/>
  <c r="O59" i="256"/>
  <c r="N59" i="256"/>
  <c r="M59" i="256"/>
  <c r="L59" i="256"/>
  <c r="K59" i="256"/>
  <c r="J59" i="256"/>
  <c r="I59" i="256"/>
  <c r="H59" i="256"/>
  <c r="G59" i="256"/>
  <c r="F59" i="256"/>
  <c r="E59" i="256"/>
  <c r="S58" i="256"/>
  <c r="R58" i="256"/>
  <c r="Q58" i="256"/>
  <c r="P58" i="256"/>
  <c r="O58" i="256"/>
  <c r="N58" i="256"/>
  <c r="M58" i="256"/>
  <c r="L58" i="256"/>
  <c r="K58" i="256"/>
  <c r="J58" i="256"/>
  <c r="I58" i="256"/>
  <c r="H58" i="256"/>
  <c r="G58" i="256"/>
  <c r="F58" i="256"/>
  <c r="E58" i="256"/>
  <c r="S54" i="256"/>
  <c r="R54" i="256"/>
  <c r="Q54" i="256"/>
  <c r="P54" i="256"/>
  <c r="O54" i="256"/>
  <c r="N54" i="256"/>
  <c r="M54" i="256"/>
  <c r="L54" i="256"/>
  <c r="K54" i="256"/>
  <c r="J54" i="256"/>
  <c r="I54" i="256"/>
  <c r="H54" i="256"/>
  <c r="G54" i="256"/>
  <c r="F54" i="256"/>
  <c r="E54" i="256"/>
  <c r="S53" i="256"/>
  <c r="R53" i="256"/>
  <c r="Q53" i="256"/>
  <c r="P53" i="256"/>
  <c r="O53" i="256"/>
  <c r="N53" i="256"/>
  <c r="M53" i="256"/>
  <c r="L53" i="256"/>
  <c r="K53" i="256"/>
  <c r="J53" i="256"/>
  <c r="I53" i="256"/>
  <c r="H53" i="256"/>
  <c r="G53" i="256"/>
  <c r="F53" i="256"/>
  <c r="E53" i="256"/>
  <c r="S52" i="256"/>
  <c r="R52" i="256"/>
  <c r="Q52" i="256"/>
  <c r="P52" i="256"/>
  <c r="O52" i="256"/>
  <c r="N52" i="256"/>
  <c r="M52" i="256"/>
  <c r="L52" i="256"/>
  <c r="K52" i="256"/>
  <c r="J52" i="256"/>
  <c r="I52" i="256"/>
  <c r="H52" i="256"/>
  <c r="G52" i="256"/>
  <c r="F52" i="256"/>
  <c r="E52" i="256"/>
  <c r="S51" i="256"/>
  <c r="R51" i="256"/>
  <c r="Q51" i="256"/>
  <c r="P51" i="256"/>
  <c r="O51" i="256"/>
  <c r="N51" i="256"/>
  <c r="M51" i="256"/>
  <c r="L51" i="256"/>
  <c r="K51" i="256"/>
  <c r="J51" i="256"/>
  <c r="I51" i="256"/>
  <c r="H51" i="256"/>
  <c r="G51" i="256"/>
  <c r="F51" i="256"/>
  <c r="E51" i="256"/>
  <c r="S50" i="256"/>
  <c r="R50" i="256"/>
  <c r="Q50" i="256"/>
  <c r="Q50" i="253" s="1"/>
  <c r="P50" i="256"/>
  <c r="O50" i="256"/>
  <c r="N50" i="256"/>
  <c r="M50" i="256"/>
  <c r="L50" i="256"/>
  <c r="K50" i="256"/>
  <c r="J50" i="256"/>
  <c r="I50" i="256"/>
  <c r="H50" i="256"/>
  <c r="G50" i="256"/>
  <c r="F50" i="256"/>
  <c r="E50" i="256"/>
  <c r="S49" i="256"/>
  <c r="R49" i="256"/>
  <c r="Q49" i="256"/>
  <c r="P49" i="256"/>
  <c r="O49" i="256"/>
  <c r="N49" i="256"/>
  <c r="M49" i="256"/>
  <c r="L49" i="256"/>
  <c r="K49" i="256"/>
  <c r="J49" i="256"/>
  <c r="I49" i="256"/>
  <c r="H49" i="256"/>
  <c r="G49" i="256"/>
  <c r="F49" i="256"/>
  <c r="E49" i="256"/>
  <c r="S48" i="256"/>
  <c r="R48" i="256"/>
  <c r="Q48" i="256"/>
  <c r="P48" i="256"/>
  <c r="O48" i="256"/>
  <c r="N48" i="256"/>
  <c r="M48" i="256"/>
  <c r="L48" i="256"/>
  <c r="K48" i="256"/>
  <c r="J48" i="256"/>
  <c r="I48" i="256"/>
  <c r="H48" i="256"/>
  <c r="G48" i="256"/>
  <c r="F48" i="256"/>
  <c r="E48" i="256"/>
  <c r="S47" i="256"/>
  <c r="R47" i="256"/>
  <c r="Q47" i="256"/>
  <c r="P47" i="256"/>
  <c r="O47" i="256"/>
  <c r="N47" i="256"/>
  <c r="M47" i="256"/>
  <c r="L47" i="256"/>
  <c r="K47" i="256"/>
  <c r="J47" i="256"/>
  <c r="I47" i="256"/>
  <c r="H47" i="256"/>
  <c r="G47" i="256"/>
  <c r="F47" i="256"/>
  <c r="E47" i="256"/>
  <c r="S46" i="256"/>
  <c r="R46" i="256"/>
  <c r="Q46" i="256"/>
  <c r="P46" i="256"/>
  <c r="O46" i="256"/>
  <c r="N46" i="256"/>
  <c r="M46" i="256"/>
  <c r="L46" i="256"/>
  <c r="K46" i="256"/>
  <c r="J46" i="256"/>
  <c r="I46" i="256"/>
  <c r="H46" i="256"/>
  <c r="G46" i="256"/>
  <c r="F46" i="256"/>
  <c r="E46" i="256"/>
  <c r="E46" i="253" s="1"/>
  <c r="S45" i="256"/>
  <c r="R45" i="256"/>
  <c r="Q45" i="256"/>
  <c r="P45" i="256"/>
  <c r="O45" i="256"/>
  <c r="N45" i="256"/>
  <c r="M45" i="256"/>
  <c r="L45" i="256"/>
  <c r="K45" i="256"/>
  <c r="J45" i="256"/>
  <c r="I45" i="256"/>
  <c r="H45" i="256"/>
  <c r="G45" i="256"/>
  <c r="F45" i="256"/>
  <c r="E45" i="256"/>
  <c r="S44" i="256"/>
  <c r="R44" i="256"/>
  <c r="Q44" i="256"/>
  <c r="P44" i="256"/>
  <c r="O44" i="256"/>
  <c r="N44" i="256"/>
  <c r="M44" i="256"/>
  <c r="L44" i="256"/>
  <c r="K44" i="256"/>
  <c r="J44" i="256"/>
  <c r="I44" i="256"/>
  <c r="H44" i="256"/>
  <c r="G44" i="256"/>
  <c r="F44" i="256"/>
  <c r="E44" i="256"/>
  <c r="S43" i="256"/>
  <c r="R43" i="256"/>
  <c r="Q43" i="256"/>
  <c r="P43" i="256"/>
  <c r="O43" i="256"/>
  <c r="N43" i="256"/>
  <c r="M43" i="256"/>
  <c r="L43" i="256"/>
  <c r="K43" i="256"/>
  <c r="J43" i="256"/>
  <c r="I43" i="256"/>
  <c r="H43" i="256"/>
  <c r="G43" i="256"/>
  <c r="F43" i="256"/>
  <c r="E43" i="256"/>
  <c r="S42" i="256"/>
  <c r="R42" i="256"/>
  <c r="Q42" i="256"/>
  <c r="P42" i="256"/>
  <c r="O42" i="256"/>
  <c r="N42" i="256"/>
  <c r="M42" i="256"/>
  <c r="L42" i="256"/>
  <c r="K42" i="256"/>
  <c r="J42" i="256"/>
  <c r="I42" i="256"/>
  <c r="H42" i="256"/>
  <c r="G42" i="256"/>
  <c r="F42" i="256"/>
  <c r="E42" i="256"/>
  <c r="S41" i="256"/>
  <c r="R41" i="256"/>
  <c r="Q41" i="256"/>
  <c r="P41" i="256"/>
  <c r="O41" i="256"/>
  <c r="N41" i="256"/>
  <c r="M41" i="256"/>
  <c r="L41" i="256"/>
  <c r="K41" i="256"/>
  <c r="J41" i="256"/>
  <c r="I41" i="256"/>
  <c r="H41" i="256"/>
  <c r="G41" i="256"/>
  <c r="F41" i="256"/>
  <c r="E41" i="256"/>
  <c r="S40" i="256"/>
  <c r="R40" i="256"/>
  <c r="Q40" i="256"/>
  <c r="P40" i="256"/>
  <c r="O40" i="256"/>
  <c r="N40" i="256"/>
  <c r="M40" i="256"/>
  <c r="L40" i="256"/>
  <c r="K40" i="256"/>
  <c r="J40" i="256"/>
  <c r="I40" i="256"/>
  <c r="H40" i="256"/>
  <c r="G40" i="256"/>
  <c r="F40" i="256"/>
  <c r="E40" i="256"/>
  <c r="S39" i="256"/>
  <c r="R39" i="256"/>
  <c r="Q39" i="256"/>
  <c r="P39" i="256"/>
  <c r="O39" i="256"/>
  <c r="N39" i="256"/>
  <c r="M39" i="256"/>
  <c r="L39" i="256"/>
  <c r="K39" i="256"/>
  <c r="J39" i="256"/>
  <c r="I39" i="256"/>
  <c r="H39" i="256"/>
  <c r="G39" i="256"/>
  <c r="F39" i="256"/>
  <c r="E39" i="256"/>
  <c r="S37" i="256"/>
  <c r="R37" i="256"/>
  <c r="Q37" i="256"/>
  <c r="P37" i="256"/>
  <c r="O37" i="256"/>
  <c r="N37" i="256"/>
  <c r="M37" i="256"/>
  <c r="L37" i="256"/>
  <c r="K37" i="256"/>
  <c r="J37" i="256"/>
  <c r="I37" i="256"/>
  <c r="H37" i="256"/>
  <c r="G37" i="256"/>
  <c r="F37" i="256"/>
  <c r="E37" i="256"/>
  <c r="S36" i="256"/>
  <c r="R36" i="256"/>
  <c r="Q36" i="256"/>
  <c r="P36" i="256"/>
  <c r="O36" i="256"/>
  <c r="N36" i="256"/>
  <c r="M36" i="256"/>
  <c r="L36" i="256"/>
  <c r="K36" i="256"/>
  <c r="J36" i="256"/>
  <c r="I36" i="256"/>
  <c r="H36" i="256"/>
  <c r="G36" i="256"/>
  <c r="F36" i="256"/>
  <c r="E36" i="256"/>
  <c r="S35" i="256"/>
  <c r="R35" i="256"/>
  <c r="Q35" i="256"/>
  <c r="P35" i="256"/>
  <c r="O35" i="256"/>
  <c r="N35" i="256"/>
  <c r="M35" i="256"/>
  <c r="L35" i="256"/>
  <c r="K35" i="256"/>
  <c r="J35" i="256"/>
  <c r="I35" i="256"/>
  <c r="H35" i="256"/>
  <c r="G35" i="256"/>
  <c r="F35" i="256"/>
  <c r="E35" i="256"/>
  <c r="S34" i="256"/>
  <c r="R34" i="256"/>
  <c r="Q34" i="256"/>
  <c r="P34" i="256"/>
  <c r="O34" i="256"/>
  <c r="N34" i="256"/>
  <c r="M34" i="256"/>
  <c r="L34" i="256"/>
  <c r="K34" i="256"/>
  <c r="J34" i="256"/>
  <c r="I34" i="256"/>
  <c r="H34" i="256"/>
  <c r="G34" i="256"/>
  <c r="F34" i="256"/>
  <c r="E34" i="256"/>
  <c r="S33" i="256"/>
  <c r="R33" i="256"/>
  <c r="Q33" i="256"/>
  <c r="P33" i="256"/>
  <c r="O33" i="256"/>
  <c r="N33" i="256"/>
  <c r="M33" i="256"/>
  <c r="L33" i="256"/>
  <c r="K33" i="256"/>
  <c r="J33" i="256"/>
  <c r="I33" i="256"/>
  <c r="H33" i="256"/>
  <c r="G33" i="256"/>
  <c r="F33" i="256"/>
  <c r="E33" i="256"/>
  <c r="S32" i="256"/>
  <c r="R32" i="256"/>
  <c r="Q32" i="256"/>
  <c r="P32" i="256"/>
  <c r="O32" i="256"/>
  <c r="N32" i="256"/>
  <c r="M32" i="256"/>
  <c r="L32" i="256"/>
  <c r="K32" i="256"/>
  <c r="J32" i="256"/>
  <c r="I32" i="256"/>
  <c r="H32" i="256"/>
  <c r="G32" i="256"/>
  <c r="F32" i="256"/>
  <c r="E32" i="256"/>
  <c r="S31" i="256"/>
  <c r="R31" i="256"/>
  <c r="Q31" i="256"/>
  <c r="P31" i="256"/>
  <c r="O31" i="256"/>
  <c r="N31" i="256"/>
  <c r="M31" i="256"/>
  <c r="L31" i="256"/>
  <c r="K31" i="256"/>
  <c r="J31" i="256"/>
  <c r="I31" i="256"/>
  <c r="H31" i="256"/>
  <c r="G31" i="256"/>
  <c r="F31" i="256"/>
  <c r="E31" i="256"/>
  <c r="S30" i="256"/>
  <c r="R30" i="256"/>
  <c r="Q30" i="256"/>
  <c r="P30" i="256"/>
  <c r="O30" i="256"/>
  <c r="N30" i="256"/>
  <c r="M30" i="256"/>
  <c r="L30" i="256"/>
  <c r="K30" i="256"/>
  <c r="J30" i="256"/>
  <c r="I30" i="256"/>
  <c r="H30" i="256"/>
  <c r="G30" i="256"/>
  <c r="F30" i="256"/>
  <c r="E30" i="256"/>
  <c r="S29" i="256"/>
  <c r="R29" i="256"/>
  <c r="Q29" i="256"/>
  <c r="P29" i="256"/>
  <c r="O29" i="256"/>
  <c r="N29" i="256"/>
  <c r="M29" i="256"/>
  <c r="L29" i="256"/>
  <c r="K29" i="256"/>
  <c r="J29" i="256"/>
  <c r="I29" i="256"/>
  <c r="H29" i="256"/>
  <c r="G29" i="256"/>
  <c r="F29" i="256"/>
  <c r="E29" i="256"/>
  <c r="S28" i="256"/>
  <c r="R28" i="256"/>
  <c r="Q28" i="256"/>
  <c r="P28" i="256"/>
  <c r="O28" i="256"/>
  <c r="N28" i="256"/>
  <c r="M28" i="256"/>
  <c r="L28" i="256"/>
  <c r="K28" i="256"/>
  <c r="J28" i="256"/>
  <c r="I28" i="256"/>
  <c r="H28" i="256"/>
  <c r="G28" i="256"/>
  <c r="F28" i="256"/>
  <c r="E28" i="256"/>
  <c r="S27" i="256"/>
  <c r="R27" i="256"/>
  <c r="Q27" i="256"/>
  <c r="P27" i="256"/>
  <c r="O27" i="256"/>
  <c r="N27" i="256"/>
  <c r="M27" i="256"/>
  <c r="L27" i="256"/>
  <c r="K27" i="256"/>
  <c r="J27" i="256"/>
  <c r="I27" i="256"/>
  <c r="H27" i="256"/>
  <c r="G27" i="256"/>
  <c r="F27" i="256"/>
  <c r="E27" i="256"/>
  <c r="S26" i="256"/>
  <c r="R26" i="256"/>
  <c r="Q26" i="256"/>
  <c r="P26" i="256"/>
  <c r="O26" i="256"/>
  <c r="N26" i="256"/>
  <c r="M26" i="256"/>
  <c r="L26" i="256"/>
  <c r="K26" i="256"/>
  <c r="J26" i="256"/>
  <c r="I26" i="256"/>
  <c r="H26" i="256"/>
  <c r="G26" i="256"/>
  <c r="F26" i="256"/>
  <c r="E26" i="256"/>
  <c r="S25" i="256"/>
  <c r="R25" i="256"/>
  <c r="Q25" i="256"/>
  <c r="P25" i="256"/>
  <c r="O25" i="256"/>
  <c r="N25" i="256"/>
  <c r="M25" i="256"/>
  <c r="L25" i="256"/>
  <c r="K25" i="256"/>
  <c r="J25" i="256"/>
  <c r="I25" i="256"/>
  <c r="H25" i="256"/>
  <c r="G25" i="256"/>
  <c r="F25" i="256"/>
  <c r="E25" i="256"/>
  <c r="S24" i="256"/>
  <c r="R24" i="256"/>
  <c r="Q24" i="256"/>
  <c r="P24" i="256"/>
  <c r="O24" i="256"/>
  <c r="N24" i="256"/>
  <c r="M24" i="256"/>
  <c r="L24" i="256"/>
  <c r="K24" i="256"/>
  <c r="J24" i="256"/>
  <c r="I24" i="256"/>
  <c r="H24" i="256"/>
  <c r="G24" i="256"/>
  <c r="F24" i="256"/>
  <c r="E24" i="256"/>
  <c r="S23" i="256"/>
  <c r="R23" i="256"/>
  <c r="Q23" i="256"/>
  <c r="P23" i="256"/>
  <c r="O23" i="256"/>
  <c r="N23" i="256"/>
  <c r="M23" i="256"/>
  <c r="L23" i="256"/>
  <c r="K23" i="256"/>
  <c r="J23" i="256"/>
  <c r="I23" i="256"/>
  <c r="H23" i="256"/>
  <c r="G23" i="256"/>
  <c r="F23" i="256"/>
  <c r="E23" i="256"/>
  <c r="S22" i="256"/>
  <c r="R22" i="256"/>
  <c r="Q22" i="256"/>
  <c r="P22" i="256"/>
  <c r="O22" i="256"/>
  <c r="N22" i="256"/>
  <c r="M22" i="256"/>
  <c r="L22" i="256"/>
  <c r="K22" i="256"/>
  <c r="J22" i="256"/>
  <c r="I22" i="256"/>
  <c r="H22" i="256"/>
  <c r="G22" i="256"/>
  <c r="F22" i="256"/>
  <c r="E22" i="256"/>
  <c r="B2" i="256"/>
  <c r="B1" i="256"/>
  <c r="E75" i="255"/>
  <c r="S74" i="255"/>
  <c r="R74" i="255"/>
  <c r="Q74" i="255"/>
  <c r="P74" i="255"/>
  <c r="O74" i="255"/>
  <c r="N74" i="255"/>
  <c r="M74" i="255"/>
  <c r="L74" i="255"/>
  <c r="K74" i="255"/>
  <c r="J74" i="255"/>
  <c r="I74" i="255"/>
  <c r="H74" i="255"/>
  <c r="G74" i="255"/>
  <c r="F74" i="255"/>
  <c r="E74" i="255"/>
  <c r="S71" i="255"/>
  <c r="R71" i="255"/>
  <c r="Q71" i="255"/>
  <c r="P71" i="255"/>
  <c r="O71" i="255"/>
  <c r="N71" i="255"/>
  <c r="M71" i="255"/>
  <c r="L71" i="255"/>
  <c r="K71" i="255"/>
  <c r="J71" i="255"/>
  <c r="I71" i="255"/>
  <c r="H71" i="255"/>
  <c r="G71" i="255"/>
  <c r="F71" i="255"/>
  <c r="E71" i="255"/>
  <c r="S67" i="255"/>
  <c r="R67" i="255"/>
  <c r="Q67" i="255"/>
  <c r="P67" i="255"/>
  <c r="O67" i="255"/>
  <c r="N67" i="255"/>
  <c r="M67" i="255"/>
  <c r="L67" i="255"/>
  <c r="K67" i="255"/>
  <c r="J67" i="255"/>
  <c r="I67" i="255"/>
  <c r="H67" i="255"/>
  <c r="G67" i="255"/>
  <c r="F67" i="255"/>
  <c r="E67" i="255"/>
  <c r="S66" i="255"/>
  <c r="R66" i="255"/>
  <c r="Q66" i="255"/>
  <c r="P66" i="255"/>
  <c r="O66" i="255"/>
  <c r="N66" i="255"/>
  <c r="M66" i="255"/>
  <c r="L66" i="255"/>
  <c r="K66" i="255"/>
  <c r="J66" i="255"/>
  <c r="I66" i="255"/>
  <c r="H66" i="255"/>
  <c r="G66" i="255"/>
  <c r="F66" i="255"/>
  <c r="E66" i="255"/>
  <c r="S64" i="255"/>
  <c r="R64" i="255"/>
  <c r="Q64" i="255"/>
  <c r="P64" i="255"/>
  <c r="O64" i="255"/>
  <c r="N64" i="255"/>
  <c r="M64" i="255"/>
  <c r="L64" i="255"/>
  <c r="K64" i="255"/>
  <c r="J64" i="255"/>
  <c r="I64" i="255"/>
  <c r="H64" i="255"/>
  <c r="G64" i="255"/>
  <c r="F64" i="255"/>
  <c r="E64" i="255"/>
  <c r="S63" i="255"/>
  <c r="R63" i="255"/>
  <c r="Q63" i="255"/>
  <c r="P63" i="255"/>
  <c r="O63" i="255"/>
  <c r="N63" i="255"/>
  <c r="M63" i="255"/>
  <c r="L63" i="255"/>
  <c r="K63" i="255"/>
  <c r="J63" i="255"/>
  <c r="I63" i="255"/>
  <c r="H63" i="255"/>
  <c r="G63" i="255"/>
  <c r="F63" i="255"/>
  <c r="E63" i="255"/>
  <c r="S62" i="255"/>
  <c r="R62" i="255"/>
  <c r="Q62" i="255"/>
  <c r="P62" i="255"/>
  <c r="O62" i="255"/>
  <c r="N62" i="255"/>
  <c r="M62" i="255"/>
  <c r="L62" i="255"/>
  <c r="K62" i="255"/>
  <c r="J62" i="255"/>
  <c r="I62" i="255"/>
  <c r="H62" i="255"/>
  <c r="G62" i="255"/>
  <c r="F62" i="255"/>
  <c r="E62" i="255"/>
  <c r="S61" i="255"/>
  <c r="R61" i="255"/>
  <c r="Q61" i="255"/>
  <c r="P61" i="255"/>
  <c r="O61" i="255"/>
  <c r="N61" i="255"/>
  <c r="M61" i="255"/>
  <c r="L61" i="255"/>
  <c r="K61" i="255"/>
  <c r="J61" i="255"/>
  <c r="I61" i="255"/>
  <c r="H61" i="255"/>
  <c r="G61" i="255"/>
  <c r="F61" i="255"/>
  <c r="E61" i="255"/>
  <c r="S60" i="255"/>
  <c r="R60" i="255"/>
  <c r="Q60" i="255"/>
  <c r="P60" i="255"/>
  <c r="O60" i="255"/>
  <c r="N60" i="255"/>
  <c r="M60" i="255"/>
  <c r="L60" i="255"/>
  <c r="K60" i="255"/>
  <c r="J60" i="255"/>
  <c r="I60" i="255"/>
  <c r="H60" i="255"/>
  <c r="G60" i="255"/>
  <c r="F60" i="255"/>
  <c r="E60" i="255"/>
  <c r="S59" i="255"/>
  <c r="R59" i="255"/>
  <c r="Q59" i="255"/>
  <c r="P59" i="255"/>
  <c r="O59" i="255"/>
  <c r="N59" i="255"/>
  <c r="M59" i="255"/>
  <c r="L59" i="255"/>
  <c r="K59" i="255"/>
  <c r="J59" i="255"/>
  <c r="I59" i="255"/>
  <c r="H59" i="255"/>
  <c r="G59" i="255"/>
  <c r="F59" i="255"/>
  <c r="E59" i="255"/>
  <c r="S54" i="255"/>
  <c r="R54" i="255"/>
  <c r="Q54" i="255"/>
  <c r="P54" i="255"/>
  <c r="O54" i="255"/>
  <c r="N54" i="255"/>
  <c r="M54" i="255"/>
  <c r="L54" i="255"/>
  <c r="K54" i="255"/>
  <c r="J54" i="255"/>
  <c r="I54" i="255"/>
  <c r="H54" i="255"/>
  <c r="G54" i="255"/>
  <c r="F54" i="255"/>
  <c r="E54" i="255"/>
  <c r="S53" i="255"/>
  <c r="R53" i="255"/>
  <c r="Q53" i="255"/>
  <c r="P53" i="255"/>
  <c r="O53" i="255"/>
  <c r="N53" i="255"/>
  <c r="M53" i="255"/>
  <c r="L53" i="255"/>
  <c r="K53" i="255"/>
  <c r="J53" i="255"/>
  <c r="I53" i="255"/>
  <c r="H53" i="255"/>
  <c r="G53" i="255"/>
  <c r="F53" i="255"/>
  <c r="E53" i="255"/>
  <c r="S52" i="255"/>
  <c r="R52" i="255"/>
  <c r="Q52" i="255"/>
  <c r="P52" i="255"/>
  <c r="O52" i="255"/>
  <c r="N52" i="255"/>
  <c r="M52" i="255"/>
  <c r="L52" i="255"/>
  <c r="K52" i="255"/>
  <c r="J52" i="255"/>
  <c r="I52" i="255"/>
  <c r="H52" i="255"/>
  <c r="G52" i="255"/>
  <c r="F52" i="255"/>
  <c r="E52" i="255"/>
  <c r="S51" i="255"/>
  <c r="R51" i="255"/>
  <c r="Q51" i="255"/>
  <c r="P51" i="255"/>
  <c r="O51" i="255"/>
  <c r="N51" i="255"/>
  <c r="M51" i="255"/>
  <c r="L51" i="255"/>
  <c r="K51" i="255"/>
  <c r="J51" i="255"/>
  <c r="I51" i="255"/>
  <c r="H51" i="255"/>
  <c r="G51" i="255"/>
  <c r="F51" i="255"/>
  <c r="E51" i="255"/>
  <c r="S50" i="255"/>
  <c r="R50" i="255"/>
  <c r="Q50" i="255"/>
  <c r="P50" i="255"/>
  <c r="O50" i="255"/>
  <c r="N50" i="255"/>
  <c r="M50" i="255"/>
  <c r="L50" i="255"/>
  <c r="K50" i="255"/>
  <c r="J50" i="255"/>
  <c r="I50" i="255"/>
  <c r="H50" i="255"/>
  <c r="G50" i="255"/>
  <c r="F50" i="255"/>
  <c r="E50" i="255"/>
  <c r="S49" i="255"/>
  <c r="R49" i="255"/>
  <c r="Q49" i="255"/>
  <c r="P49" i="255"/>
  <c r="O49" i="255"/>
  <c r="N49" i="255"/>
  <c r="M49" i="255"/>
  <c r="L49" i="255"/>
  <c r="K49" i="255"/>
  <c r="J49" i="255"/>
  <c r="I49" i="255"/>
  <c r="H49" i="255"/>
  <c r="G49" i="255"/>
  <c r="F49" i="255"/>
  <c r="E49" i="255"/>
  <c r="S48" i="255"/>
  <c r="R48" i="255"/>
  <c r="Q48" i="255"/>
  <c r="P48" i="255"/>
  <c r="O48" i="255"/>
  <c r="N48" i="255"/>
  <c r="M48" i="255"/>
  <c r="L48" i="255"/>
  <c r="K48" i="255"/>
  <c r="J48" i="255"/>
  <c r="I48" i="255"/>
  <c r="H48" i="255"/>
  <c r="G48" i="255"/>
  <c r="F48" i="255"/>
  <c r="E48" i="255"/>
  <c r="S47" i="255"/>
  <c r="R47" i="255"/>
  <c r="Q47" i="255"/>
  <c r="P47" i="255"/>
  <c r="O47" i="255"/>
  <c r="N47" i="255"/>
  <c r="M47" i="255"/>
  <c r="L47" i="255"/>
  <c r="K47" i="255"/>
  <c r="J47" i="255"/>
  <c r="I47" i="255"/>
  <c r="H47" i="255"/>
  <c r="G47" i="255"/>
  <c r="F47" i="255"/>
  <c r="E47" i="255"/>
  <c r="S46" i="255"/>
  <c r="R46" i="255"/>
  <c r="Q46" i="255"/>
  <c r="P46" i="255"/>
  <c r="O46" i="255"/>
  <c r="N46" i="255"/>
  <c r="M46" i="255"/>
  <c r="L46" i="255"/>
  <c r="K46" i="255"/>
  <c r="J46" i="255"/>
  <c r="I46" i="255"/>
  <c r="H46" i="255"/>
  <c r="G46" i="255"/>
  <c r="F46" i="255"/>
  <c r="E46" i="255"/>
  <c r="S45" i="255"/>
  <c r="R45" i="255"/>
  <c r="Q45" i="255"/>
  <c r="P45" i="255"/>
  <c r="O45" i="255"/>
  <c r="N45" i="255"/>
  <c r="M45" i="255"/>
  <c r="L45" i="255"/>
  <c r="K45" i="255"/>
  <c r="J45" i="255"/>
  <c r="I45" i="255"/>
  <c r="H45" i="255"/>
  <c r="G45" i="255"/>
  <c r="F45" i="255"/>
  <c r="E45" i="255"/>
  <c r="S44" i="255"/>
  <c r="R44" i="255"/>
  <c r="Q44" i="255"/>
  <c r="P44" i="255"/>
  <c r="O44" i="255"/>
  <c r="N44" i="255"/>
  <c r="M44" i="255"/>
  <c r="L44" i="255"/>
  <c r="K44" i="255"/>
  <c r="J44" i="255"/>
  <c r="I44" i="255"/>
  <c r="H44" i="255"/>
  <c r="G44" i="255"/>
  <c r="F44" i="255"/>
  <c r="E44" i="255"/>
  <c r="S43" i="255"/>
  <c r="R43" i="255"/>
  <c r="Q43" i="255"/>
  <c r="P43" i="255"/>
  <c r="O43" i="255"/>
  <c r="N43" i="255"/>
  <c r="M43" i="255"/>
  <c r="L43" i="255"/>
  <c r="K43" i="255"/>
  <c r="J43" i="255"/>
  <c r="I43" i="255"/>
  <c r="H43" i="255"/>
  <c r="G43" i="255"/>
  <c r="F43" i="255"/>
  <c r="E43" i="255"/>
  <c r="S42" i="255"/>
  <c r="R42" i="255"/>
  <c r="Q42" i="255"/>
  <c r="P42" i="255"/>
  <c r="O42" i="255"/>
  <c r="N42" i="255"/>
  <c r="M42" i="255"/>
  <c r="L42" i="255"/>
  <c r="K42" i="255"/>
  <c r="J42" i="255"/>
  <c r="I42" i="255"/>
  <c r="H42" i="255"/>
  <c r="G42" i="255"/>
  <c r="F42" i="255"/>
  <c r="E42" i="255"/>
  <c r="S41" i="255"/>
  <c r="R41" i="255"/>
  <c r="Q41" i="255"/>
  <c r="P41" i="255"/>
  <c r="O41" i="255"/>
  <c r="N41" i="255"/>
  <c r="M41" i="255"/>
  <c r="L41" i="255"/>
  <c r="K41" i="255"/>
  <c r="J41" i="255"/>
  <c r="I41" i="255"/>
  <c r="H41" i="255"/>
  <c r="G41" i="255"/>
  <c r="F41" i="255"/>
  <c r="E41" i="255"/>
  <c r="S40" i="255"/>
  <c r="R40" i="255"/>
  <c r="Q40" i="255"/>
  <c r="P40" i="255"/>
  <c r="O40" i="255"/>
  <c r="N40" i="255"/>
  <c r="M40" i="255"/>
  <c r="L40" i="255"/>
  <c r="K40" i="255"/>
  <c r="J40" i="255"/>
  <c r="I40" i="255"/>
  <c r="H40" i="255"/>
  <c r="G40" i="255"/>
  <c r="F40" i="255"/>
  <c r="E40" i="255"/>
  <c r="S39" i="255"/>
  <c r="R39" i="255"/>
  <c r="Q39" i="255"/>
  <c r="P39" i="255"/>
  <c r="O39" i="255"/>
  <c r="N39" i="255"/>
  <c r="M39" i="255"/>
  <c r="L39" i="255"/>
  <c r="K39" i="255"/>
  <c r="J39" i="255"/>
  <c r="I39" i="255"/>
  <c r="H39" i="255"/>
  <c r="G39" i="255"/>
  <c r="F39" i="255"/>
  <c r="E39" i="255"/>
  <c r="S37" i="255"/>
  <c r="R37" i="255"/>
  <c r="Q37" i="255"/>
  <c r="P37" i="255"/>
  <c r="O37" i="255"/>
  <c r="N37" i="255"/>
  <c r="M37" i="255"/>
  <c r="L37" i="255"/>
  <c r="K37" i="255"/>
  <c r="J37" i="255"/>
  <c r="I37" i="255"/>
  <c r="H37" i="255"/>
  <c r="G37" i="255"/>
  <c r="F37" i="255"/>
  <c r="E37" i="255"/>
  <c r="S36" i="255"/>
  <c r="R36" i="255"/>
  <c r="Q36" i="255"/>
  <c r="P36" i="255"/>
  <c r="O36" i="255"/>
  <c r="N36" i="255"/>
  <c r="M36" i="255"/>
  <c r="L36" i="255"/>
  <c r="K36" i="255"/>
  <c r="J36" i="255"/>
  <c r="I36" i="255"/>
  <c r="H36" i="255"/>
  <c r="G36" i="255"/>
  <c r="F36" i="255"/>
  <c r="E36" i="255"/>
  <c r="S35" i="255"/>
  <c r="R35" i="255"/>
  <c r="Q35" i="255"/>
  <c r="P35" i="255"/>
  <c r="O35" i="255"/>
  <c r="N35" i="255"/>
  <c r="M35" i="255"/>
  <c r="L35" i="255"/>
  <c r="K35" i="255"/>
  <c r="J35" i="255"/>
  <c r="I35" i="255"/>
  <c r="H35" i="255"/>
  <c r="G35" i="255"/>
  <c r="F35" i="255"/>
  <c r="E35" i="255"/>
  <c r="S34" i="255"/>
  <c r="R34" i="255"/>
  <c r="Q34" i="255"/>
  <c r="P34" i="255"/>
  <c r="O34" i="255"/>
  <c r="N34" i="255"/>
  <c r="M34" i="255"/>
  <c r="L34" i="255"/>
  <c r="K34" i="255"/>
  <c r="J34" i="255"/>
  <c r="I34" i="255"/>
  <c r="H34" i="255"/>
  <c r="G34" i="255"/>
  <c r="F34" i="255"/>
  <c r="E34" i="255"/>
  <c r="S33" i="255"/>
  <c r="R33" i="255"/>
  <c r="Q33" i="255"/>
  <c r="P33" i="255"/>
  <c r="O33" i="255"/>
  <c r="N33" i="255"/>
  <c r="M33" i="255"/>
  <c r="L33" i="255"/>
  <c r="K33" i="255"/>
  <c r="J33" i="255"/>
  <c r="I33" i="255"/>
  <c r="H33" i="255"/>
  <c r="G33" i="255"/>
  <c r="F33" i="255"/>
  <c r="E33" i="255"/>
  <c r="S32" i="255"/>
  <c r="R32" i="255"/>
  <c r="Q32" i="255"/>
  <c r="P32" i="255"/>
  <c r="O32" i="255"/>
  <c r="N32" i="255"/>
  <c r="M32" i="255"/>
  <c r="L32" i="255"/>
  <c r="K32" i="255"/>
  <c r="J32" i="255"/>
  <c r="I32" i="255"/>
  <c r="H32" i="255"/>
  <c r="G32" i="255"/>
  <c r="F32" i="255"/>
  <c r="E32" i="255"/>
  <c r="S31" i="255"/>
  <c r="R31" i="255"/>
  <c r="Q31" i="255"/>
  <c r="P31" i="255"/>
  <c r="O31" i="255"/>
  <c r="N31" i="255"/>
  <c r="M31" i="255"/>
  <c r="L31" i="255"/>
  <c r="K31" i="255"/>
  <c r="J31" i="255"/>
  <c r="I31" i="255"/>
  <c r="H31" i="255"/>
  <c r="G31" i="255"/>
  <c r="F31" i="255"/>
  <c r="E31" i="255"/>
  <c r="S30" i="255"/>
  <c r="R30" i="255"/>
  <c r="Q30" i="255"/>
  <c r="P30" i="255"/>
  <c r="O30" i="255"/>
  <c r="N30" i="255"/>
  <c r="M30" i="255"/>
  <c r="L30" i="255"/>
  <c r="K30" i="255"/>
  <c r="J30" i="255"/>
  <c r="I30" i="255"/>
  <c r="H30" i="255"/>
  <c r="G30" i="255"/>
  <c r="F30" i="255"/>
  <c r="E30" i="255"/>
  <c r="S29" i="255"/>
  <c r="R29" i="255"/>
  <c r="Q29" i="255"/>
  <c r="P29" i="255"/>
  <c r="O29" i="255"/>
  <c r="N29" i="255"/>
  <c r="M29" i="255"/>
  <c r="L29" i="255"/>
  <c r="K29" i="255"/>
  <c r="J29" i="255"/>
  <c r="I29" i="255"/>
  <c r="H29" i="255"/>
  <c r="G29" i="255"/>
  <c r="F29" i="255"/>
  <c r="E29" i="255"/>
  <c r="S28" i="255"/>
  <c r="R28" i="255"/>
  <c r="Q28" i="255"/>
  <c r="P28" i="255"/>
  <c r="O28" i="255"/>
  <c r="N28" i="255"/>
  <c r="M28" i="255"/>
  <c r="L28" i="255"/>
  <c r="K28" i="255"/>
  <c r="J28" i="255"/>
  <c r="I28" i="255"/>
  <c r="H28" i="255"/>
  <c r="G28" i="255"/>
  <c r="F28" i="255"/>
  <c r="E28" i="255"/>
  <c r="S27" i="255"/>
  <c r="R27" i="255"/>
  <c r="Q27" i="255"/>
  <c r="P27" i="255"/>
  <c r="O27" i="255"/>
  <c r="N27" i="255"/>
  <c r="M27" i="255"/>
  <c r="L27" i="255"/>
  <c r="K27" i="255"/>
  <c r="J27" i="255"/>
  <c r="I27" i="255"/>
  <c r="H27" i="255"/>
  <c r="G27" i="255"/>
  <c r="F27" i="255"/>
  <c r="E27" i="255"/>
  <c r="S26" i="255"/>
  <c r="R26" i="255"/>
  <c r="Q26" i="255"/>
  <c r="P26" i="255"/>
  <c r="O26" i="255"/>
  <c r="N26" i="255"/>
  <c r="M26" i="255"/>
  <c r="L26" i="255"/>
  <c r="K26" i="255"/>
  <c r="J26" i="255"/>
  <c r="I26" i="255"/>
  <c r="H26" i="255"/>
  <c r="G26" i="255"/>
  <c r="F26" i="255"/>
  <c r="E26" i="255"/>
  <c r="S25" i="255"/>
  <c r="R25" i="255"/>
  <c r="Q25" i="255"/>
  <c r="P25" i="255"/>
  <c r="O25" i="255"/>
  <c r="N25" i="255"/>
  <c r="M25" i="255"/>
  <c r="L25" i="255"/>
  <c r="K25" i="255"/>
  <c r="J25" i="255"/>
  <c r="I25" i="255"/>
  <c r="H25" i="255"/>
  <c r="G25" i="255"/>
  <c r="F25" i="255"/>
  <c r="E25" i="255"/>
  <c r="S24" i="255"/>
  <c r="R24" i="255"/>
  <c r="Q24" i="255"/>
  <c r="P24" i="255"/>
  <c r="O24" i="255"/>
  <c r="N24" i="255"/>
  <c r="M24" i="255"/>
  <c r="L24" i="255"/>
  <c r="K24" i="255"/>
  <c r="J24" i="255"/>
  <c r="I24" i="255"/>
  <c r="H24" i="255"/>
  <c r="G24" i="255"/>
  <c r="F24" i="255"/>
  <c r="E24" i="255"/>
  <c r="S23" i="255"/>
  <c r="R23" i="255"/>
  <c r="Q23" i="255"/>
  <c r="P23" i="255"/>
  <c r="O23" i="255"/>
  <c r="N23" i="255"/>
  <c r="M23" i="255"/>
  <c r="L23" i="255"/>
  <c r="K23" i="255"/>
  <c r="J23" i="255"/>
  <c r="I23" i="255"/>
  <c r="H23" i="255"/>
  <c r="G23" i="255"/>
  <c r="F23" i="255"/>
  <c r="E23" i="255"/>
  <c r="S22" i="255"/>
  <c r="R22" i="255"/>
  <c r="R78" i="255" s="1"/>
  <c r="Q22" i="255"/>
  <c r="P22" i="255"/>
  <c r="O22" i="255"/>
  <c r="N22" i="255"/>
  <c r="N78" i="255" s="1"/>
  <c r="M22" i="255"/>
  <c r="L22" i="255"/>
  <c r="K22" i="255"/>
  <c r="J22" i="255"/>
  <c r="J78" i="255" s="1"/>
  <c r="I22" i="255"/>
  <c r="H22" i="255"/>
  <c r="G22" i="255"/>
  <c r="F22" i="255"/>
  <c r="F78" i="255" s="1"/>
  <c r="E22" i="255"/>
  <c r="B2" i="255"/>
  <c r="B1" i="255"/>
  <c r="E75" i="254"/>
  <c r="H73" i="254"/>
  <c r="H73" i="253" s="1"/>
  <c r="G73" i="254"/>
  <c r="F73" i="254"/>
  <c r="E73" i="254"/>
  <c r="S72" i="254"/>
  <c r="S72" i="253" s="1"/>
  <c r="R72" i="254"/>
  <c r="R73" i="254" s="1"/>
  <c r="R73" i="253" s="1"/>
  <c r="Q72" i="254"/>
  <c r="P72" i="254"/>
  <c r="O72" i="254"/>
  <c r="O72" i="253" s="1"/>
  <c r="N72" i="254"/>
  <c r="N73" i="254" s="1"/>
  <c r="M72" i="254"/>
  <c r="L72" i="254"/>
  <c r="K72" i="254"/>
  <c r="K72" i="253" s="1"/>
  <c r="J72" i="254"/>
  <c r="J73" i="254" s="1"/>
  <c r="I72" i="254"/>
  <c r="I73" i="254" s="1"/>
  <c r="H72" i="254"/>
  <c r="G72" i="254"/>
  <c r="G72" i="253" s="1"/>
  <c r="F72" i="254"/>
  <c r="E72" i="254"/>
  <c r="S71" i="254"/>
  <c r="R71" i="254"/>
  <c r="Q71" i="254"/>
  <c r="P71" i="254"/>
  <c r="O71" i="254"/>
  <c r="N71" i="254"/>
  <c r="M71" i="254"/>
  <c r="L71" i="254"/>
  <c r="K71" i="254"/>
  <c r="J71" i="254"/>
  <c r="I71" i="254"/>
  <c r="H71" i="254"/>
  <c r="G71" i="254"/>
  <c r="F71" i="254"/>
  <c r="E71" i="254"/>
  <c r="S67" i="254"/>
  <c r="R67" i="254"/>
  <c r="Q67" i="254"/>
  <c r="Q67" i="253" s="1"/>
  <c r="P67" i="254"/>
  <c r="O67" i="254"/>
  <c r="N67" i="254"/>
  <c r="M67" i="254"/>
  <c r="M67" i="253" s="1"/>
  <c r="L67" i="254"/>
  <c r="K67" i="254"/>
  <c r="J67" i="254"/>
  <c r="I67" i="254"/>
  <c r="I67" i="253" s="1"/>
  <c r="H67" i="254"/>
  <c r="G67" i="254"/>
  <c r="F67" i="254"/>
  <c r="E67" i="254"/>
  <c r="E67" i="253" s="1"/>
  <c r="S66" i="254"/>
  <c r="R66" i="254"/>
  <c r="Q66" i="254"/>
  <c r="P66" i="254"/>
  <c r="P66" i="253" s="1"/>
  <c r="O66" i="254"/>
  <c r="N66" i="254"/>
  <c r="M66" i="254"/>
  <c r="L66" i="254"/>
  <c r="L66" i="253" s="1"/>
  <c r="K66" i="254"/>
  <c r="J66" i="254"/>
  <c r="I66" i="254"/>
  <c r="H66" i="254"/>
  <c r="H66" i="253" s="1"/>
  <c r="G66" i="254"/>
  <c r="F66" i="254"/>
  <c r="E66" i="254"/>
  <c r="S64" i="254"/>
  <c r="S64" i="253" s="1"/>
  <c r="R64" i="254"/>
  <c r="Q64" i="254"/>
  <c r="P64" i="254"/>
  <c r="O64" i="254"/>
  <c r="O64" i="253" s="1"/>
  <c r="N64" i="254"/>
  <c r="M64" i="254"/>
  <c r="L64" i="254"/>
  <c r="K64" i="254"/>
  <c r="K64" i="253" s="1"/>
  <c r="J64" i="254"/>
  <c r="I64" i="254"/>
  <c r="H64" i="254"/>
  <c r="G64" i="254"/>
  <c r="G64" i="253" s="1"/>
  <c r="F64" i="254"/>
  <c r="E64" i="254"/>
  <c r="S63" i="254"/>
  <c r="R63" i="254"/>
  <c r="R63" i="253" s="1"/>
  <c r="Q63" i="254"/>
  <c r="P63" i="254"/>
  <c r="O63" i="254"/>
  <c r="N63" i="254"/>
  <c r="N63" i="253" s="1"/>
  <c r="M63" i="254"/>
  <c r="L63" i="254"/>
  <c r="K63" i="254"/>
  <c r="J63" i="254"/>
  <c r="J63" i="253" s="1"/>
  <c r="I63" i="254"/>
  <c r="H63" i="254"/>
  <c r="G63" i="254"/>
  <c r="F63" i="254"/>
  <c r="F63" i="253" s="1"/>
  <c r="E63" i="254"/>
  <c r="S62" i="254"/>
  <c r="R62" i="254"/>
  <c r="Q62" i="254"/>
  <c r="Q62" i="253" s="1"/>
  <c r="P62" i="254"/>
  <c r="O62" i="254"/>
  <c r="N62" i="254"/>
  <c r="M62" i="254"/>
  <c r="M62" i="253" s="1"/>
  <c r="L62" i="254"/>
  <c r="K62" i="254"/>
  <c r="J62" i="254"/>
  <c r="I62" i="254"/>
  <c r="I62" i="253" s="1"/>
  <c r="H62" i="254"/>
  <c r="G62" i="254"/>
  <c r="F62" i="254"/>
  <c r="E62" i="254"/>
  <c r="E62" i="253" s="1"/>
  <c r="S61" i="254"/>
  <c r="R61" i="254"/>
  <c r="Q61" i="254"/>
  <c r="P61" i="254"/>
  <c r="O61" i="254"/>
  <c r="N61" i="254"/>
  <c r="M61" i="254"/>
  <c r="L61" i="254"/>
  <c r="K61" i="254"/>
  <c r="J61" i="254"/>
  <c r="I61" i="254"/>
  <c r="H61" i="254"/>
  <c r="H61" i="253" s="1"/>
  <c r="G61" i="254"/>
  <c r="F61" i="254"/>
  <c r="E61" i="254"/>
  <c r="S60" i="254"/>
  <c r="S60" i="253" s="1"/>
  <c r="R60" i="254"/>
  <c r="Q60" i="254"/>
  <c r="P60" i="254"/>
  <c r="O60" i="254"/>
  <c r="O60" i="253" s="1"/>
  <c r="N60" i="254"/>
  <c r="M60" i="254"/>
  <c r="L60" i="254"/>
  <c r="K60" i="254"/>
  <c r="J60" i="254"/>
  <c r="I60" i="254"/>
  <c r="H60" i="254"/>
  <c r="G60" i="254"/>
  <c r="G60" i="253" s="1"/>
  <c r="F60" i="254"/>
  <c r="E60" i="254"/>
  <c r="S59" i="254"/>
  <c r="R59" i="254"/>
  <c r="Q59" i="254"/>
  <c r="P59" i="254"/>
  <c r="O59" i="254"/>
  <c r="N59" i="254"/>
  <c r="M59" i="254"/>
  <c r="L59" i="254"/>
  <c r="K59" i="254"/>
  <c r="J59" i="254"/>
  <c r="I59" i="254"/>
  <c r="H59" i="254"/>
  <c r="G59" i="254"/>
  <c r="F59" i="254"/>
  <c r="E59" i="254"/>
  <c r="S58" i="254"/>
  <c r="R58" i="254"/>
  <c r="Q58" i="254"/>
  <c r="P58" i="254"/>
  <c r="O58" i="254"/>
  <c r="N58" i="254"/>
  <c r="M58" i="254"/>
  <c r="L58" i="254"/>
  <c r="K58" i="254"/>
  <c r="J58" i="254"/>
  <c r="I58" i="254"/>
  <c r="H58" i="254"/>
  <c r="G58" i="254"/>
  <c r="F58" i="254"/>
  <c r="E58" i="254"/>
  <c r="S54" i="254"/>
  <c r="S54" i="253" s="1"/>
  <c r="R54" i="254"/>
  <c r="Q54" i="254"/>
  <c r="P54" i="254"/>
  <c r="P54" i="253" s="1"/>
  <c r="O54" i="254"/>
  <c r="O54" i="253" s="1"/>
  <c r="N54" i="254"/>
  <c r="M54" i="254"/>
  <c r="L54" i="254"/>
  <c r="K54" i="254"/>
  <c r="K54" i="253" s="1"/>
  <c r="J54" i="254"/>
  <c r="I54" i="254"/>
  <c r="H54" i="254"/>
  <c r="G54" i="254"/>
  <c r="G54" i="253" s="1"/>
  <c r="F54" i="254"/>
  <c r="E54" i="254"/>
  <c r="S53" i="254"/>
  <c r="S53" i="253" s="1"/>
  <c r="R53" i="254"/>
  <c r="R53" i="253" s="1"/>
  <c r="Q53" i="254"/>
  <c r="P53" i="254"/>
  <c r="O53" i="254"/>
  <c r="O53" i="253" s="1"/>
  <c r="N53" i="254"/>
  <c r="M53" i="254"/>
  <c r="L53" i="254"/>
  <c r="K53" i="254"/>
  <c r="J53" i="254"/>
  <c r="J53" i="253" s="1"/>
  <c r="I53" i="254"/>
  <c r="H53" i="254"/>
  <c r="G53" i="254"/>
  <c r="G53" i="253" s="1"/>
  <c r="F53" i="254"/>
  <c r="F53" i="253" s="1"/>
  <c r="E53" i="254"/>
  <c r="S52" i="254"/>
  <c r="R52" i="254"/>
  <c r="R52" i="253" s="1"/>
  <c r="Q52" i="254"/>
  <c r="P52" i="254"/>
  <c r="O52" i="254"/>
  <c r="N52" i="254"/>
  <c r="N52" i="253" s="1"/>
  <c r="M52" i="254"/>
  <c r="M52" i="253" s="1"/>
  <c r="L52" i="254"/>
  <c r="K52" i="254"/>
  <c r="J52" i="254"/>
  <c r="I52" i="254"/>
  <c r="H52" i="254"/>
  <c r="G52" i="254"/>
  <c r="F52" i="254"/>
  <c r="E52" i="254"/>
  <c r="E52" i="253" s="1"/>
  <c r="S51" i="254"/>
  <c r="R51" i="254"/>
  <c r="Q51" i="254"/>
  <c r="Q51" i="253" s="1"/>
  <c r="P51" i="254"/>
  <c r="P51" i="253" s="1"/>
  <c r="O51" i="254"/>
  <c r="N51" i="254"/>
  <c r="M51" i="254"/>
  <c r="M51" i="253" s="1"/>
  <c r="L51" i="254"/>
  <c r="L51" i="253" s="1"/>
  <c r="K51" i="254"/>
  <c r="J51" i="254"/>
  <c r="I51" i="254"/>
  <c r="H51" i="254"/>
  <c r="H51" i="253" s="1"/>
  <c r="G51" i="254"/>
  <c r="F51" i="254"/>
  <c r="E51" i="254"/>
  <c r="E51" i="253" s="1"/>
  <c r="S50" i="254"/>
  <c r="S50" i="253" s="1"/>
  <c r="R50" i="254"/>
  <c r="Q50" i="254"/>
  <c r="P50" i="254"/>
  <c r="P50" i="253" s="1"/>
  <c r="O50" i="254"/>
  <c r="O50" i="253" s="1"/>
  <c r="N50" i="254"/>
  <c r="M50" i="254"/>
  <c r="L50" i="254"/>
  <c r="L50" i="253" s="1"/>
  <c r="K50" i="254"/>
  <c r="K50" i="253" s="1"/>
  <c r="J50" i="254"/>
  <c r="I50" i="254"/>
  <c r="H50" i="254"/>
  <c r="G50" i="254"/>
  <c r="G50" i="253" s="1"/>
  <c r="F50" i="254"/>
  <c r="E50" i="254"/>
  <c r="S49" i="254"/>
  <c r="S49" i="253" s="1"/>
  <c r="R49" i="254"/>
  <c r="Q49" i="254"/>
  <c r="P49" i="254"/>
  <c r="O49" i="254"/>
  <c r="O49" i="253" s="1"/>
  <c r="N49" i="254"/>
  <c r="N49" i="253" s="1"/>
  <c r="M49" i="254"/>
  <c r="L49" i="254"/>
  <c r="K49" i="254"/>
  <c r="K49" i="253" s="1"/>
  <c r="J49" i="254"/>
  <c r="I49" i="254"/>
  <c r="H49" i="254"/>
  <c r="G49" i="254"/>
  <c r="F49" i="254"/>
  <c r="F49" i="253" s="1"/>
  <c r="E49" i="254"/>
  <c r="S48" i="254"/>
  <c r="R48" i="254"/>
  <c r="R48" i="253" s="1"/>
  <c r="Q48" i="254"/>
  <c r="Q48" i="253" s="1"/>
  <c r="P48" i="254"/>
  <c r="O48" i="254"/>
  <c r="N48" i="254"/>
  <c r="M48" i="254"/>
  <c r="M48" i="253" s="1"/>
  <c r="L48" i="254"/>
  <c r="K48" i="254"/>
  <c r="J48" i="254"/>
  <c r="J48" i="253" s="1"/>
  <c r="I48" i="254"/>
  <c r="H48" i="254"/>
  <c r="G48" i="254"/>
  <c r="F48" i="254"/>
  <c r="E48" i="254"/>
  <c r="E48" i="253" s="1"/>
  <c r="S47" i="254"/>
  <c r="R47" i="254"/>
  <c r="Q47" i="254"/>
  <c r="Q47" i="253" s="1"/>
  <c r="P47" i="254"/>
  <c r="P47" i="253" s="1"/>
  <c r="O47" i="254"/>
  <c r="N47" i="254"/>
  <c r="M47" i="254"/>
  <c r="M47" i="253" s="1"/>
  <c r="L47" i="254"/>
  <c r="L47" i="253" s="1"/>
  <c r="K47" i="254"/>
  <c r="J47" i="254"/>
  <c r="I47" i="254"/>
  <c r="I47" i="253" s="1"/>
  <c r="H47" i="254"/>
  <c r="H47" i="253" s="1"/>
  <c r="G47" i="254"/>
  <c r="F47" i="254"/>
  <c r="E47" i="254"/>
  <c r="S46" i="254"/>
  <c r="S46" i="253" s="1"/>
  <c r="R46" i="254"/>
  <c r="Q46" i="254"/>
  <c r="P46" i="254"/>
  <c r="P46" i="253" s="1"/>
  <c r="O46" i="254"/>
  <c r="O46" i="253" s="1"/>
  <c r="N46" i="254"/>
  <c r="M46" i="254"/>
  <c r="L46" i="254"/>
  <c r="L46" i="253" s="1"/>
  <c r="K46" i="254"/>
  <c r="K46" i="253" s="1"/>
  <c r="J46" i="254"/>
  <c r="I46" i="254"/>
  <c r="H46" i="254"/>
  <c r="H46" i="253" s="1"/>
  <c r="G46" i="254"/>
  <c r="F46" i="254"/>
  <c r="E46" i="254"/>
  <c r="S45" i="254"/>
  <c r="R45" i="254"/>
  <c r="R45" i="253" s="1"/>
  <c r="Q45" i="254"/>
  <c r="P45" i="254"/>
  <c r="O45" i="254"/>
  <c r="O45" i="253" s="1"/>
  <c r="N45" i="254"/>
  <c r="N45" i="253" s="1"/>
  <c r="M45" i="254"/>
  <c r="L45" i="254"/>
  <c r="K45" i="254"/>
  <c r="K45" i="253" s="1"/>
  <c r="J45" i="254"/>
  <c r="I45" i="254"/>
  <c r="H45" i="254"/>
  <c r="G45" i="254"/>
  <c r="G45" i="253" s="1"/>
  <c r="F45" i="254"/>
  <c r="F45" i="253" s="1"/>
  <c r="E45" i="254"/>
  <c r="S44" i="254"/>
  <c r="R44" i="254"/>
  <c r="Q44" i="254"/>
  <c r="Q44" i="253" s="1"/>
  <c r="P44" i="254"/>
  <c r="O44" i="254"/>
  <c r="N44" i="254"/>
  <c r="N44" i="253" s="1"/>
  <c r="M44" i="254"/>
  <c r="M44" i="253" s="1"/>
  <c r="L44" i="254"/>
  <c r="K44" i="254"/>
  <c r="J44" i="254"/>
  <c r="J44" i="253" s="1"/>
  <c r="I44" i="254"/>
  <c r="H44" i="254"/>
  <c r="G44" i="254"/>
  <c r="F44" i="254"/>
  <c r="F44" i="253" s="1"/>
  <c r="E44" i="254"/>
  <c r="E44" i="253" s="1"/>
  <c r="S43" i="254"/>
  <c r="R43" i="254"/>
  <c r="Q43" i="254"/>
  <c r="P43" i="254"/>
  <c r="O43" i="254"/>
  <c r="N43" i="254"/>
  <c r="M43" i="254"/>
  <c r="M43" i="253" s="1"/>
  <c r="L43" i="254"/>
  <c r="L43" i="253" s="1"/>
  <c r="K43" i="254"/>
  <c r="J43" i="254"/>
  <c r="I43" i="254"/>
  <c r="I43" i="253" s="1"/>
  <c r="H43" i="254"/>
  <c r="H43" i="253" s="1"/>
  <c r="G43" i="254"/>
  <c r="F43" i="254"/>
  <c r="E43" i="254"/>
  <c r="E43" i="253" s="1"/>
  <c r="S42" i="254"/>
  <c r="R42" i="254"/>
  <c r="Q42" i="254"/>
  <c r="P42" i="254"/>
  <c r="O42" i="254"/>
  <c r="N42" i="254"/>
  <c r="M42" i="254"/>
  <c r="L42" i="254"/>
  <c r="L42" i="253" s="1"/>
  <c r="K42" i="254"/>
  <c r="K42" i="253" s="1"/>
  <c r="J42" i="254"/>
  <c r="I42" i="254"/>
  <c r="H42" i="254"/>
  <c r="H42" i="253" s="1"/>
  <c r="G42" i="254"/>
  <c r="F42" i="254"/>
  <c r="E42" i="254"/>
  <c r="S41" i="254"/>
  <c r="S41" i="253" s="1"/>
  <c r="R41" i="254"/>
  <c r="Q41" i="254"/>
  <c r="P41" i="254"/>
  <c r="O41" i="254"/>
  <c r="N41" i="254"/>
  <c r="N41" i="253" s="1"/>
  <c r="M41" i="254"/>
  <c r="L41" i="254"/>
  <c r="K41" i="254"/>
  <c r="K41" i="253" s="1"/>
  <c r="J41" i="254"/>
  <c r="I41" i="254"/>
  <c r="H41" i="254"/>
  <c r="G41" i="254"/>
  <c r="G41" i="253" s="1"/>
  <c r="F41" i="254"/>
  <c r="F41" i="253" s="1"/>
  <c r="E41" i="254"/>
  <c r="S40" i="254"/>
  <c r="R40" i="254"/>
  <c r="R40" i="253" s="1"/>
  <c r="Q40" i="254"/>
  <c r="Q40" i="253" s="1"/>
  <c r="P40" i="254"/>
  <c r="O40" i="254"/>
  <c r="N40" i="254"/>
  <c r="M40" i="254"/>
  <c r="L40" i="254"/>
  <c r="K40" i="254"/>
  <c r="J40" i="254"/>
  <c r="J40" i="253" s="1"/>
  <c r="I40" i="254"/>
  <c r="I40" i="253" s="1"/>
  <c r="H40" i="254"/>
  <c r="G40" i="254"/>
  <c r="F40" i="254"/>
  <c r="F40" i="253" s="1"/>
  <c r="E40" i="254"/>
  <c r="S39" i="254"/>
  <c r="R39" i="254"/>
  <c r="Q39" i="254"/>
  <c r="P39" i="254"/>
  <c r="O39" i="254"/>
  <c r="N39" i="254"/>
  <c r="M39" i="254"/>
  <c r="L39" i="254"/>
  <c r="K39" i="254"/>
  <c r="J39" i="254"/>
  <c r="I39" i="254"/>
  <c r="H39" i="254"/>
  <c r="G39" i="254"/>
  <c r="F39" i="254"/>
  <c r="E39" i="254"/>
  <c r="S37" i="254"/>
  <c r="R37" i="254"/>
  <c r="Q37" i="254"/>
  <c r="P37" i="254"/>
  <c r="O37" i="254"/>
  <c r="O37" i="253" s="1"/>
  <c r="N37" i="254"/>
  <c r="M37" i="254"/>
  <c r="L37" i="254"/>
  <c r="L37" i="253" s="1"/>
  <c r="K37" i="254"/>
  <c r="K37" i="253" s="1"/>
  <c r="J37" i="254"/>
  <c r="I37" i="254"/>
  <c r="H37" i="254"/>
  <c r="G37" i="254"/>
  <c r="F37" i="254"/>
  <c r="E37" i="254"/>
  <c r="S36" i="254"/>
  <c r="S36" i="253" s="1"/>
  <c r="R36" i="254"/>
  <c r="Q36" i="254"/>
  <c r="P36" i="254"/>
  <c r="O36" i="254"/>
  <c r="N36" i="254"/>
  <c r="N36" i="253" s="1"/>
  <c r="M36" i="254"/>
  <c r="L36" i="254"/>
  <c r="K36" i="254"/>
  <c r="K36" i="253" s="1"/>
  <c r="J36" i="254"/>
  <c r="J36" i="253" s="1"/>
  <c r="I36" i="254"/>
  <c r="H36" i="254"/>
  <c r="G36" i="254"/>
  <c r="G36" i="253" s="1"/>
  <c r="F36" i="254"/>
  <c r="E36" i="254"/>
  <c r="S35" i="254"/>
  <c r="R35" i="254"/>
  <c r="Q35" i="254"/>
  <c r="P35" i="254"/>
  <c r="O35" i="254"/>
  <c r="N35" i="254"/>
  <c r="N35" i="253" s="1"/>
  <c r="M35" i="254"/>
  <c r="M35" i="253" s="1"/>
  <c r="L35" i="254"/>
  <c r="K35" i="254"/>
  <c r="J35" i="254"/>
  <c r="I35" i="254"/>
  <c r="I35" i="253" s="1"/>
  <c r="H35" i="254"/>
  <c r="G35" i="254"/>
  <c r="F35" i="254"/>
  <c r="F35" i="253" s="1"/>
  <c r="E35" i="254"/>
  <c r="S34" i="254"/>
  <c r="R34" i="254"/>
  <c r="Q34" i="254"/>
  <c r="P34" i="254"/>
  <c r="O34" i="254"/>
  <c r="N34" i="254"/>
  <c r="M34" i="254"/>
  <c r="M34" i="253" s="1"/>
  <c r="L34" i="254"/>
  <c r="L34" i="253" s="1"/>
  <c r="K34" i="254"/>
  <c r="J34" i="254"/>
  <c r="I34" i="254"/>
  <c r="I34" i="253" s="1"/>
  <c r="H34" i="254"/>
  <c r="G34" i="254"/>
  <c r="F34" i="254"/>
  <c r="E34" i="254"/>
  <c r="S33" i="254"/>
  <c r="S33" i="253" s="1"/>
  <c r="R33" i="254"/>
  <c r="Q33" i="254"/>
  <c r="P33" i="254"/>
  <c r="P33" i="253" s="1"/>
  <c r="O33" i="254"/>
  <c r="N33" i="254"/>
  <c r="M33" i="254"/>
  <c r="L33" i="254"/>
  <c r="K33" i="254"/>
  <c r="K33" i="253" s="1"/>
  <c r="J33" i="254"/>
  <c r="I33" i="254"/>
  <c r="H33" i="254"/>
  <c r="H33" i="253" s="1"/>
  <c r="G33" i="254"/>
  <c r="G33" i="253" s="1"/>
  <c r="F33" i="254"/>
  <c r="E33" i="254"/>
  <c r="S32" i="254"/>
  <c r="R32" i="254"/>
  <c r="R32" i="253" s="1"/>
  <c r="Q32" i="254"/>
  <c r="P32" i="254"/>
  <c r="O32" i="254"/>
  <c r="O32" i="253" s="1"/>
  <c r="N32" i="254"/>
  <c r="N32" i="253" s="1"/>
  <c r="M32" i="254"/>
  <c r="L32" i="254"/>
  <c r="K32" i="254"/>
  <c r="J32" i="254"/>
  <c r="J32" i="253" s="1"/>
  <c r="I32" i="254"/>
  <c r="H32" i="254"/>
  <c r="G32" i="254"/>
  <c r="G32" i="253" s="1"/>
  <c r="F32" i="254"/>
  <c r="F32" i="253" s="1"/>
  <c r="E32" i="254"/>
  <c r="S31" i="254"/>
  <c r="R31" i="254"/>
  <c r="R31" i="253" s="1"/>
  <c r="Q31" i="254"/>
  <c r="P31" i="254"/>
  <c r="O31" i="254"/>
  <c r="N31" i="254"/>
  <c r="M31" i="254"/>
  <c r="L31" i="254"/>
  <c r="K31" i="254"/>
  <c r="J31" i="254"/>
  <c r="J31" i="253" s="1"/>
  <c r="I31" i="254"/>
  <c r="I31" i="253" s="1"/>
  <c r="H31" i="254"/>
  <c r="G31" i="254"/>
  <c r="F31" i="254"/>
  <c r="E31" i="254"/>
  <c r="E31" i="253" s="1"/>
  <c r="S30" i="254"/>
  <c r="R30" i="254"/>
  <c r="Q30" i="254"/>
  <c r="Q30" i="253" s="1"/>
  <c r="P30" i="254"/>
  <c r="P30" i="253" s="1"/>
  <c r="O30" i="254"/>
  <c r="N30" i="254"/>
  <c r="M30" i="254"/>
  <c r="L30" i="254"/>
  <c r="L30" i="253" s="1"/>
  <c r="K30" i="254"/>
  <c r="J30" i="254"/>
  <c r="I30" i="254"/>
  <c r="I30" i="253" s="1"/>
  <c r="H30" i="254"/>
  <c r="H30" i="253" s="1"/>
  <c r="G30" i="254"/>
  <c r="F30" i="254"/>
  <c r="E30" i="254"/>
  <c r="E30" i="253" s="1"/>
  <c r="S29" i="254"/>
  <c r="S29" i="253" s="1"/>
  <c r="R29" i="254"/>
  <c r="Q29" i="254"/>
  <c r="P29" i="254"/>
  <c r="O29" i="254"/>
  <c r="O29" i="253" s="1"/>
  <c r="N29" i="254"/>
  <c r="M29" i="254"/>
  <c r="L29" i="254"/>
  <c r="L29" i="253" s="1"/>
  <c r="K29" i="254"/>
  <c r="K29" i="253" s="1"/>
  <c r="J29" i="254"/>
  <c r="I29" i="254"/>
  <c r="H29" i="254"/>
  <c r="G29" i="254"/>
  <c r="G29" i="253" s="1"/>
  <c r="F29" i="254"/>
  <c r="E29" i="254"/>
  <c r="S28" i="254"/>
  <c r="S28" i="253" s="1"/>
  <c r="R28" i="254"/>
  <c r="R28" i="253" s="1"/>
  <c r="Q28" i="254"/>
  <c r="P28" i="254"/>
  <c r="O28" i="254"/>
  <c r="N28" i="254"/>
  <c r="N28" i="253" s="1"/>
  <c r="M28" i="254"/>
  <c r="L28" i="254"/>
  <c r="K28" i="254"/>
  <c r="K28" i="253" s="1"/>
  <c r="J28" i="254"/>
  <c r="J28" i="253" s="1"/>
  <c r="I28" i="254"/>
  <c r="H28" i="254"/>
  <c r="G28" i="254"/>
  <c r="F28" i="254"/>
  <c r="F28" i="253" s="1"/>
  <c r="E28" i="254"/>
  <c r="S27" i="254"/>
  <c r="R27" i="254"/>
  <c r="R27" i="253" s="1"/>
  <c r="Q27" i="254"/>
  <c r="Q27" i="253" s="1"/>
  <c r="P27" i="254"/>
  <c r="O27" i="254"/>
  <c r="N27" i="254"/>
  <c r="N27" i="253" s="1"/>
  <c r="M27" i="254"/>
  <c r="M27" i="253" s="1"/>
  <c r="L27" i="254"/>
  <c r="K27" i="254"/>
  <c r="J27" i="254"/>
  <c r="I27" i="254"/>
  <c r="I27" i="253" s="1"/>
  <c r="H27" i="254"/>
  <c r="G27" i="254"/>
  <c r="F27" i="254"/>
  <c r="F27" i="253" s="1"/>
  <c r="E27" i="254"/>
  <c r="E27" i="253" s="1"/>
  <c r="S26" i="254"/>
  <c r="R26" i="254"/>
  <c r="Q26" i="254"/>
  <c r="P26" i="254"/>
  <c r="P26" i="253" s="1"/>
  <c r="O26" i="254"/>
  <c r="N26" i="254"/>
  <c r="M26" i="254"/>
  <c r="M26" i="253" s="1"/>
  <c r="L26" i="254"/>
  <c r="L26" i="253" s="1"/>
  <c r="K26" i="254"/>
  <c r="J26" i="254"/>
  <c r="I26" i="254"/>
  <c r="H26" i="254"/>
  <c r="H26" i="253" s="1"/>
  <c r="G26" i="254"/>
  <c r="F26" i="254"/>
  <c r="E26" i="254"/>
  <c r="E26" i="253" s="1"/>
  <c r="S25" i="254"/>
  <c r="S25" i="253" s="1"/>
  <c r="R25" i="254"/>
  <c r="Q25" i="254"/>
  <c r="P25" i="254"/>
  <c r="P25" i="253" s="1"/>
  <c r="O25" i="254"/>
  <c r="O25" i="253" s="1"/>
  <c r="N25" i="254"/>
  <c r="M25" i="254"/>
  <c r="L25" i="254"/>
  <c r="K25" i="254"/>
  <c r="K25" i="253" s="1"/>
  <c r="J25" i="254"/>
  <c r="I25" i="254"/>
  <c r="H25" i="254"/>
  <c r="H25" i="253" s="1"/>
  <c r="G25" i="254"/>
  <c r="G25" i="253" s="1"/>
  <c r="F25" i="254"/>
  <c r="E25" i="254"/>
  <c r="S24" i="254"/>
  <c r="R24" i="254"/>
  <c r="R24" i="253" s="1"/>
  <c r="Q24" i="254"/>
  <c r="P24" i="254"/>
  <c r="O24" i="254"/>
  <c r="O24" i="253" s="1"/>
  <c r="N24" i="254"/>
  <c r="M24" i="254"/>
  <c r="L24" i="254"/>
  <c r="K24" i="254"/>
  <c r="J24" i="254"/>
  <c r="J24" i="253" s="1"/>
  <c r="I24" i="254"/>
  <c r="H24" i="254"/>
  <c r="G24" i="254"/>
  <c r="G24" i="253" s="1"/>
  <c r="F24" i="254"/>
  <c r="F24" i="253" s="1"/>
  <c r="E24" i="254"/>
  <c r="S23" i="254"/>
  <c r="R23" i="254"/>
  <c r="Q23" i="254"/>
  <c r="Q23" i="253" s="1"/>
  <c r="P23" i="254"/>
  <c r="O23" i="254"/>
  <c r="N23" i="254"/>
  <c r="N23" i="253" s="1"/>
  <c r="M23" i="254"/>
  <c r="M23" i="253" s="1"/>
  <c r="L23" i="254"/>
  <c r="K23" i="254"/>
  <c r="J23" i="254"/>
  <c r="J23" i="253" s="1"/>
  <c r="I23" i="254"/>
  <c r="I23" i="253" s="1"/>
  <c r="H23" i="254"/>
  <c r="G23" i="254"/>
  <c r="F23" i="254"/>
  <c r="E23" i="254"/>
  <c r="E23" i="253" s="1"/>
  <c r="S22" i="254"/>
  <c r="R22" i="254"/>
  <c r="Q22" i="254"/>
  <c r="P22" i="254"/>
  <c r="O22" i="254"/>
  <c r="N22" i="254"/>
  <c r="M22" i="254"/>
  <c r="L22" i="254"/>
  <c r="K22" i="254"/>
  <c r="J22" i="254"/>
  <c r="I22" i="254"/>
  <c r="H22" i="254"/>
  <c r="G22" i="254"/>
  <c r="F22" i="254"/>
  <c r="E22" i="254"/>
  <c r="B2" i="254"/>
  <c r="B1" i="254"/>
  <c r="E75" i="253"/>
  <c r="S71" i="253"/>
  <c r="R71" i="253"/>
  <c r="Q71" i="253"/>
  <c r="P71" i="253"/>
  <c r="O71" i="253"/>
  <c r="N71" i="253"/>
  <c r="M71" i="253"/>
  <c r="L71" i="253"/>
  <c r="K71" i="253"/>
  <c r="J71" i="253"/>
  <c r="I71" i="253"/>
  <c r="H71" i="253"/>
  <c r="G71" i="253"/>
  <c r="F71" i="253"/>
  <c r="E71" i="253"/>
  <c r="S65" i="253"/>
  <c r="R65" i="253"/>
  <c r="Q65" i="253"/>
  <c r="P65" i="253"/>
  <c r="O65" i="253"/>
  <c r="N65" i="253"/>
  <c r="M65" i="253"/>
  <c r="L65" i="253"/>
  <c r="K65" i="253"/>
  <c r="J65" i="253"/>
  <c r="I65" i="253"/>
  <c r="H65" i="253"/>
  <c r="G65" i="253"/>
  <c r="F65" i="253"/>
  <c r="E65" i="253"/>
  <c r="H60" i="253"/>
  <c r="S58" i="253"/>
  <c r="R58" i="253"/>
  <c r="Q58" i="253"/>
  <c r="P58" i="253"/>
  <c r="O58" i="253"/>
  <c r="N58" i="253"/>
  <c r="M58" i="253"/>
  <c r="L58" i="253"/>
  <c r="K58" i="253"/>
  <c r="J58" i="253"/>
  <c r="I58" i="253"/>
  <c r="H58" i="253"/>
  <c r="G58" i="253"/>
  <c r="F58" i="253"/>
  <c r="E58" i="253"/>
  <c r="N53" i="253"/>
  <c r="Q52" i="253"/>
  <c r="I52" i="253"/>
  <c r="R49" i="253"/>
  <c r="J49" i="253"/>
  <c r="N48" i="253"/>
  <c r="I48" i="253"/>
  <c r="F47" i="253"/>
  <c r="G46" i="253"/>
  <c r="J45" i="253"/>
  <c r="S44" i="253"/>
  <c r="I44" i="253"/>
  <c r="P43" i="253"/>
  <c r="S42" i="253"/>
  <c r="O42" i="253"/>
  <c r="G42" i="253"/>
  <c r="R41" i="253"/>
  <c r="J41" i="253"/>
  <c r="H41" i="253"/>
  <c r="M40" i="253"/>
  <c r="E40" i="253"/>
  <c r="S39" i="253"/>
  <c r="R39" i="253"/>
  <c r="Q39" i="253"/>
  <c r="P39" i="253"/>
  <c r="O39" i="253"/>
  <c r="N39" i="253"/>
  <c r="M39" i="253"/>
  <c r="L39" i="253"/>
  <c r="K39" i="253"/>
  <c r="J39" i="253"/>
  <c r="I39" i="253"/>
  <c r="H39" i="253"/>
  <c r="G39" i="253"/>
  <c r="F39" i="253"/>
  <c r="E39" i="253"/>
  <c r="S37" i="253"/>
  <c r="G37" i="253"/>
  <c r="R36" i="253"/>
  <c r="F36" i="253"/>
  <c r="Q35" i="253"/>
  <c r="E35" i="253"/>
  <c r="P34" i="253"/>
  <c r="H34" i="253"/>
  <c r="O33" i="253"/>
  <c r="Q31" i="253"/>
  <c r="M31" i="253"/>
  <c r="N24" i="253"/>
  <c r="S22" i="253"/>
  <c r="R22" i="253"/>
  <c r="Q22" i="253"/>
  <c r="P22" i="253"/>
  <c r="O22" i="253"/>
  <c r="N22" i="253"/>
  <c r="M22" i="253"/>
  <c r="L22" i="253"/>
  <c r="K22" i="253"/>
  <c r="J22" i="253"/>
  <c r="I22" i="253"/>
  <c r="H22" i="253"/>
  <c r="G22" i="253"/>
  <c r="F22" i="253"/>
  <c r="E22" i="253"/>
  <c r="B2" i="253"/>
  <c r="B1" i="253"/>
  <c r="R54" i="190"/>
  <c r="Q54" i="190"/>
  <c r="P54" i="190"/>
  <c r="O54" i="190"/>
  <c r="N54" i="190"/>
  <c r="M54" i="190"/>
  <c r="L54" i="190"/>
  <c r="K54" i="190"/>
  <c r="J54" i="190"/>
  <c r="I54" i="190"/>
  <c r="H54" i="190"/>
  <c r="G54" i="190"/>
  <c r="F54" i="190"/>
  <c r="E54" i="190"/>
  <c r="D54" i="190"/>
  <c r="R53" i="190"/>
  <c r="Q53" i="190"/>
  <c r="P53" i="190"/>
  <c r="O53" i="190"/>
  <c r="N53" i="190"/>
  <c r="M53" i="190"/>
  <c r="L53" i="190"/>
  <c r="K53" i="190"/>
  <c r="J53" i="190"/>
  <c r="I53" i="190"/>
  <c r="H53" i="190"/>
  <c r="G53" i="190"/>
  <c r="F53" i="190"/>
  <c r="E53" i="190"/>
  <c r="D53" i="190"/>
  <c r="R51" i="190"/>
  <c r="Q51" i="190"/>
  <c r="R50" i="190" s="1"/>
  <c r="P51" i="190"/>
  <c r="Q50" i="190" s="1"/>
  <c r="O51" i="190"/>
  <c r="N51" i="190"/>
  <c r="N52" i="190" s="1"/>
  <c r="M51" i="190"/>
  <c r="L51" i="190"/>
  <c r="M50" i="190" s="1"/>
  <c r="K51" i="190"/>
  <c r="L50" i="190" s="1"/>
  <c r="J51" i="190"/>
  <c r="K50" i="190" s="1"/>
  <c r="I51" i="190"/>
  <c r="J50" i="190" s="1"/>
  <c r="H51" i="190"/>
  <c r="G51" i="190"/>
  <c r="H50" i="190" s="1"/>
  <c r="F51" i="190"/>
  <c r="G50" i="190" s="1"/>
  <c r="E51" i="190"/>
  <c r="F50" i="190" s="1"/>
  <c r="D51" i="190"/>
  <c r="E50" i="190" s="1"/>
  <c r="P50" i="190"/>
  <c r="O50" i="190"/>
  <c r="I50" i="190"/>
  <c r="D50" i="190"/>
  <c r="B49" i="190"/>
  <c r="B48" i="190"/>
  <c r="R45" i="190"/>
  <c r="Q45" i="190"/>
  <c r="P45" i="190"/>
  <c r="O45" i="190"/>
  <c r="N45" i="190"/>
  <c r="M45" i="190"/>
  <c r="L45" i="190"/>
  <c r="K45" i="190"/>
  <c r="J45" i="190"/>
  <c r="I45" i="190"/>
  <c r="H45" i="190"/>
  <c r="G45" i="190"/>
  <c r="F45" i="190"/>
  <c r="E45" i="190"/>
  <c r="D45" i="190"/>
  <c r="R44" i="190"/>
  <c r="Q44" i="190"/>
  <c r="P44" i="190"/>
  <c r="O44" i="190"/>
  <c r="N44" i="190"/>
  <c r="M44" i="190"/>
  <c r="L44" i="190"/>
  <c r="K44" i="190"/>
  <c r="J44" i="190"/>
  <c r="I44" i="190"/>
  <c r="H44" i="190"/>
  <c r="G44" i="190"/>
  <c r="F44" i="190"/>
  <c r="E44" i="190"/>
  <c r="D44" i="190"/>
  <c r="R42" i="190"/>
  <c r="Q42" i="190"/>
  <c r="R41" i="190" s="1"/>
  <c r="P42" i="190"/>
  <c r="Q41" i="190" s="1"/>
  <c r="O42" i="190"/>
  <c r="N42" i="190"/>
  <c r="N43" i="190" s="1"/>
  <c r="M42" i="190"/>
  <c r="L42" i="190"/>
  <c r="M41" i="190" s="1"/>
  <c r="K42" i="190"/>
  <c r="L41" i="190" s="1"/>
  <c r="J42" i="190"/>
  <c r="K41" i="190" s="1"/>
  <c r="I42" i="190"/>
  <c r="J41" i="190" s="1"/>
  <c r="H42" i="190"/>
  <c r="G42" i="190"/>
  <c r="F42" i="190"/>
  <c r="G41" i="190" s="1"/>
  <c r="E42" i="190"/>
  <c r="F41" i="190" s="1"/>
  <c r="D42" i="190"/>
  <c r="E41" i="190" s="1"/>
  <c r="P41" i="190"/>
  <c r="I41" i="190"/>
  <c r="H41" i="190"/>
  <c r="D41" i="190"/>
  <c r="B40" i="190"/>
  <c r="B39" i="190"/>
  <c r="R36" i="190"/>
  <c r="Q36" i="190"/>
  <c r="P36" i="190"/>
  <c r="O36" i="190"/>
  <c r="N36" i="190"/>
  <c r="M36" i="190"/>
  <c r="L36" i="190"/>
  <c r="K36" i="190"/>
  <c r="J36" i="190"/>
  <c r="I36" i="190"/>
  <c r="H36" i="190"/>
  <c r="G36" i="190"/>
  <c r="F36" i="190"/>
  <c r="E36" i="190"/>
  <c r="D36" i="190"/>
  <c r="R35" i="190"/>
  <c r="Q35" i="190"/>
  <c r="P35" i="190"/>
  <c r="O35" i="190"/>
  <c r="N35" i="190"/>
  <c r="M35" i="190"/>
  <c r="L35" i="190"/>
  <c r="K35" i="190"/>
  <c r="J35" i="190"/>
  <c r="I35" i="190"/>
  <c r="H35" i="190"/>
  <c r="G35" i="190"/>
  <c r="F35" i="190"/>
  <c r="E35" i="190"/>
  <c r="D35" i="190"/>
  <c r="R33" i="190"/>
  <c r="Q33" i="190"/>
  <c r="R32" i="190" s="1"/>
  <c r="P33" i="190"/>
  <c r="Q32" i="190" s="1"/>
  <c r="O33" i="190"/>
  <c r="N33" i="190"/>
  <c r="M33" i="190"/>
  <c r="L33" i="190"/>
  <c r="M32" i="190" s="1"/>
  <c r="K33" i="190"/>
  <c r="L32" i="190" s="1"/>
  <c r="J33" i="190"/>
  <c r="K32" i="190" s="1"/>
  <c r="I33" i="190"/>
  <c r="J32" i="190" s="1"/>
  <c r="H33" i="190"/>
  <c r="G33" i="190"/>
  <c r="H32" i="190" s="1"/>
  <c r="F33" i="190"/>
  <c r="G32" i="190" s="1"/>
  <c r="E33" i="190"/>
  <c r="F32" i="190" s="1"/>
  <c r="D33" i="190"/>
  <c r="E32" i="190" s="1"/>
  <c r="P32" i="190"/>
  <c r="O32" i="190"/>
  <c r="N32" i="190"/>
  <c r="I32" i="190"/>
  <c r="D32" i="190"/>
  <c r="B31" i="190"/>
  <c r="R30" i="190"/>
  <c r="Q30" i="190"/>
  <c r="P30" i="190"/>
  <c r="O30" i="190"/>
  <c r="N30" i="190"/>
  <c r="M30" i="190"/>
  <c r="L30" i="190"/>
  <c r="K30" i="190"/>
  <c r="J30" i="190"/>
  <c r="I30" i="190"/>
  <c r="H30" i="190"/>
  <c r="G30" i="190"/>
  <c r="F30" i="190"/>
  <c r="E30" i="190"/>
  <c r="D30" i="190"/>
  <c r="R29" i="190"/>
  <c r="Q29" i="190"/>
  <c r="P29" i="190"/>
  <c r="O29" i="190"/>
  <c r="N29" i="190"/>
  <c r="M29" i="190"/>
  <c r="L29" i="190"/>
  <c r="K29" i="190"/>
  <c r="J29" i="190"/>
  <c r="I29" i="190"/>
  <c r="H29" i="190"/>
  <c r="G29" i="190"/>
  <c r="F29" i="190"/>
  <c r="E29" i="190"/>
  <c r="D29" i="190"/>
  <c r="R27" i="190"/>
  <c r="Q27" i="190"/>
  <c r="R26" i="190" s="1"/>
  <c r="P27" i="190"/>
  <c r="Q26" i="190" s="1"/>
  <c r="O27" i="190"/>
  <c r="N27" i="190"/>
  <c r="M27" i="190"/>
  <c r="L27" i="190"/>
  <c r="M26" i="190" s="1"/>
  <c r="K27" i="190"/>
  <c r="L26" i="190" s="1"/>
  <c r="J27" i="190"/>
  <c r="K26" i="190" s="1"/>
  <c r="I27" i="190"/>
  <c r="J26" i="190" s="1"/>
  <c r="H27" i="190"/>
  <c r="G27" i="190"/>
  <c r="H26" i="190" s="1"/>
  <c r="F27" i="190"/>
  <c r="G26" i="190" s="1"/>
  <c r="E27" i="190"/>
  <c r="F26" i="190" s="1"/>
  <c r="D27" i="190"/>
  <c r="E26" i="190" s="1"/>
  <c r="P26" i="190"/>
  <c r="O26" i="190"/>
  <c r="N26" i="190"/>
  <c r="I26" i="190"/>
  <c r="D26" i="190"/>
  <c r="B25" i="190"/>
  <c r="B24" i="190"/>
  <c r="C80" i="233"/>
  <c r="C77" i="233"/>
  <c r="C74" i="233"/>
  <c r="C71" i="233"/>
  <c r="E70" i="233"/>
  <c r="C64" i="233"/>
  <c r="C61" i="233"/>
  <c r="C58" i="233"/>
  <c r="C55" i="233"/>
  <c r="C52" i="233"/>
  <c r="E51" i="233"/>
  <c r="I43" i="233"/>
  <c r="I46" i="233" s="1"/>
  <c r="H43" i="233"/>
  <c r="G43" i="233"/>
  <c r="F43" i="233"/>
  <c r="F46" i="233" s="1"/>
  <c r="E43" i="233"/>
  <c r="E46" i="233" s="1"/>
  <c r="E42" i="233"/>
  <c r="E35" i="233"/>
  <c r="E21" i="233" s="1"/>
  <c r="D80" i="233" s="1"/>
  <c r="E26" i="233"/>
  <c r="D21" i="233" s="1"/>
  <c r="G75" i="255" l="1"/>
  <c r="O75" i="255"/>
  <c r="J75" i="255"/>
  <c r="N75" i="255"/>
  <c r="I52" i="190"/>
  <c r="E52" i="190"/>
  <c r="M52" i="190"/>
  <c r="Q52" i="190"/>
  <c r="N60" i="253"/>
  <c r="P67" i="253"/>
  <c r="O41" i="190"/>
  <c r="G74" i="256"/>
  <c r="S74" i="256"/>
  <c r="I34" i="190"/>
  <c r="H43" i="190"/>
  <c r="P43" i="190"/>
  <c r="L43" i="190"/>
  <c r="O52" i="190"/>
  <c r="G52" i="190"/>
  <c r="K52" i="190"/>
  <c r="P27" i="253"/>
  <c r="G34" i="253"/>
  <c r="G59" i="253"/>
  <c r="S59" i="253"/>
  <c r="E61" i="253"/>
  <c r="I61" i="253"/>
  <c r="F62" i="253"/>
  <c r="J62" i="253"/>
  <c r="G63" i="253"/>
  <c r="K63" i="253"/>
  <c r="H64" i="253"/>
  <c r="L64" i="253"/>
  <c r="G40" i="253"/>
  <c r="O40" i="253"/>
  <c r="O55" i="253" s="1"/>
  <c r="P41" i="253"/>
  <c r="I42" i="253"/>
  <c r="Q42" i="253"/>
  <c r="J43" i="253"/>
  <c r="R43" i="253"/>
  <c r="K44" i="253"/>
  <c r="L45" i="253"/>
  <c r="M46" i="253"/>
  <c r="N47" i="253"/>
  <c r="G48" i="253"/>
  <c r="O48" i="253"/>
  <c r="H49" i="253"/>
  <c r="P49" i="253"/>
  <c r="I50" i="253"/>
  <c r="J51" i="253"/>
  <c r="G52" i="253"/>
  <c r="K52" i="253"/>
  <c r="H53" i="253"/>
  <c r="L53" i="253"/>
  <c r="I54" i="253"/>
  <c r="M54" i="253"/>
  <c r="E73" i="253"/>
  <c r="H59" i="253"/>
  <c r="I72" i="253"/>
  <c r="P38" i="256"/>
  <c r="L69" i="256"/>
  <c r="M74" i="256"/>
  <c r="D28" i="190"/>
  <c r="O28" i="190"/>
  <c r="G28" i="190"/>
  <c r="K28" i="190"/>
  <c r="H34" i="190"/>
  <c r="L34" i="190"/>
  <c r="D43" i="190"/>
  <c r="S40" i="253"/>
  <c r="E42" i="253"/>
  <c r="E55" i="253" s="1"/>
  <c r="F43" i="253"/>
  <c r="G44" i="253"/>
  <c r="H45" i="253"/>
  <c r="I46" i="253"/>
  <c r="J47" i="253"/>
  <c r="K48" i="253"/>
  <c r="L49" i="253"/>
  <c r="M50" i="253"/>
  <c r="S52" i="253"/>
  <c r="H72" i="253"/>
  <c r="M55" i="255"/>
  <c r="R60" i="253"/>
  <c r="P62" i="253"/>
  <c r="R75" i="255"/>
  <c r="L38" i="254"/>
  <c r="M38" i="254"/>
  <c r="Q38" i="254"/>
  <c r="N38" i="254"/>
  <c r="S38" i="254"/>
  <c r="E32" i="253"/>
  <c r="E41" i="253"/>
  <c r="I41" i="253"/>
  <c r="M41" i="253"/>
  <c r="Q41" i="253"/>
  <c r="F42" i="253"/>
  <c r="N42" i="253"/>
  <c r="G43" i="253"/>
  <c r="K43" i="253"/>
  <c r="O43" i="253"/>
  <c r="S43" i="253"/>
  <c r="H44" i="253"/>
  <c r="L44" i="253"/>
  <c r="P44" i="253"/>
  <c r="E45" i="253"/>
  <c r="I45" i="253"/>
  <c r="M45" i="253"/>
  <c r="Q45" i="253"/>
  <c r="F46" i="253"/>
  <c r="J46" i="253"/>
  <c r="N46" i="253"/>
  <c r="N55" i="253" s="1"/>
  <c r="R46" i="253"/>
  <c r="G47" i="253"/>
  <c r="K47" i="253"/>
  <c r="O47" i="253"/>
  <c r="S47" i="253"/>
  <c r="H48" i="253"/>
  <c r="L48" i="253"/>
  <c r="P48" i="253"/>
  <c r="E49" i="253"/>
  <c r="I49" i="253"/>
  <c r="M49" i="253"/>
  <c r="Q49" i="253"/>
  <c r="F50" i="253"/>
  <c r="J50" i="253"/>
  <c r="N50" i="253"/>
  <c r="R50" i="253"/>
  <c r="G51" i="253"/>
  <c r="K51" i="253"/>
  <c r="O51" i="253"/>
  <c r="S51" i="253"/>
  <c r="H52" i="253"/>
  <c r="L52" i="253"/>
  <c r="P52" i="253"/>
  <c r="E53" i="253"/>
  <c r="I53" i="253"/>
  <c r="M53" i="253"/>
  <c r="Q53" i="253"/>
  <c r="F54" i="253"/>
  <c r="J54" i="253"/>
  <c r="N54" i="253"/>
  <c r="R54" i="253"/>
  <c r="I60" i="253"/>
  <c r="K62" i="253"/>
  <c r="L63" i="253"/>
  <c r="M64" i="253"/>
  <c r="F66" i="253"/>
  <c r="G67" i="253"/>
  <c r="E72" i="253"/>
  <c r="I73" i="253"/>
  <c r="F73" i="253"/>
  <c r="J78" i="256"/>
  <c r="N78" i="256"/>
  <c r="R78" i="256"/>
  <c r="D52" i="190"/>
  <c r="I78" i="254"/>
  <c r="M78" i="254"/>
  <c r="Q78" i="254"/>
  <c r="D71" i="233"/>
  <c r="E71" i="233" s="1"/>
  <c r="E72" i="233" s="1"/>
  <c r="F74" i="254"/>
  <c r="F23" i="253"/>
  <c r="R23" i="253"/>
  <c r="K24" i="253"/>
  <c r="S24" i="253"/>
  <c r="L25" i="253"/>
  <c r="I26" i="253"/>
  <c r="Q26" i="253"/>
  <c r="J27" i="253"/>
  <c r="G28" i="253"/>
  <c r="O28" i="253"/>
  <c r="H29" i="253"/>
  <c r="P29" i="253"/>
  <c r="M30" i="253"/>
  <c r="J74" i="254"/>
  <c r="J73" i="253"/>
  <c r="F31" i="253"/>
  <c r="N31" i="253"/>
  <c r="K32" i="253"/>
  <c r="S32" i="253"/>
  <c r="L33" i="253"/>
  <c r="E34" i="253"/>
  <c r="Q34" i="253"/>
  <c r="J35" i="253"/>
  <c r="R35" i="253"/>
  <c r="O36" i="253"/>
  <c r="H37" i="253"/>
  <c r="P37" i="253"/>
  <c r="N40" i="253"/>
  <c r="O41" i="253"/>
  <c r="P42" i="253"/>
  <c r="Q43" i="253"/>
  <c r="R44" i="253"/>
  <c r="S45" i="253"/>
  <c r="E47" i="253"/>
  <c r="F48" i="253"/>
  <c r="G49" i="253"/>
  <c r="H50" i="253"/>
  <c r="I51" i="253"/>
  <c r="F52" i="253"/>
  <c r="J52" i="253"/>
  <c r="K53" i="253"/>
  <c r="H54" i="253"/>
  <c r="L54" i="253"/>
  <c r="L23" i="253"/>
  <c r="J38" i="256"/>
  <c r="N25" i="253"/>
  <c r="R29" i="253"/>
  <c r="I36" i="253"/>
  <c r="I68" i="256"/>
  <c r="M69" i="256"/>
  <c r="J69" i="256"/>
  <c r="R69" i="256"/>
  <c r="O69" i="256"/>
  <c r="H46" i="233"/>
  <c r="G46" i="233"/>
  <c r="N28" i="190"/>
  <c r="F28" i="190"/>
  <c r="J28" i="190"/>
  <c r="R28" i="190"/>
  <c r="E34" i="190"/>
  <c r="M34" i="190"/>
  <c r="Q34" i="190"/>
  <c r="O43" i="190"/>
  <c r="G43" i="190"/>
  <c r="K43" i="190"/>
  <c r="O55" i="254"/>
  <c r="F69" i="255"/>
  <c r="N69" i="255"/>
  <c r="K68" i="255"/>
  <c r="F74" i="256"/>
  <c r="H75" i="256" s="1"/>
  <c r="N74" i="256"/>
  <c r="K74" i="256"/>
  <c r="H28" i="190"/>
  <c r="P28" i="190"/>
  <c r="L28" i="190"/>
  <c r="O34" i="190"/>
  <c r="G34" i="190"/>
  <c r="K34" i="190"/>
  <c r="N34" i="190"/>
  <c r="I43" i="190"/>
  <c r="P52" i="190"/>
  <c r="H52" i="190"/>
  <c r="L52" i="190"/>
  <c r="S78" i="253"/>
  <c r="F60" i="253"/>
  <c r="J60" i="253"/>
  <c r="G61" i="253"/>
  <c r="K61" i="253"/>
  <c r="O61" i="253"/>
  <c r="S61" i="253"/>
  <c r="H62" i="253"/>
  <c r="L62" i="253"/>
  <c r="E63" i="253"/>
  <c r="I63" i="253"/>
  <c r="M63" i="253"/>
  <c r="Q63" i="253"/>
  <c r="F64" i="253"/>
  <c r="J64" i="253"/>
  <c r="N64" i="253"/>
  <c r="R64" i="253"/>
  <c r="G66" i="253"/>
  <c r="K66" i="253"/>
  <c r="O66" i="253"/>
  <c r="S66" i="253"/>
  <c r="H67" i="253"/>
  <c r="L67" i="253"/>
  <c r="L59" i="253"/>
  <c r="J61" i="253"/>
  <c r="N61" i="253"/>
  <c r="P63" i="253"/>
  <c r="J66" i="253"/>
  <c r="L78" i="255"/>
  <c r="S55" i="256"/>
  <c r="L41" i="253"/>
  <c r="M42" i="253"/>
  <c r="M55" i="253" s="1"/>
  <c r="N43" i="253"/>
  <c r="O44" i="253"/>
  <c r="P45" i="253"/>
  <c r="Q46" i="253"/>
  <c r="R47" i="253"/>
  <c r="S48" i="253"/>
  <c r="E50" i="253"/>
  <c r="F51" i="253"/>
  <c r="R51" i="253"/>
  <c r="E54" i="253"/>
  <c r="D52" i="233"/>
  <c r="E52" i="233" s="1"/>
  <c r="D64" i="233"/>
  <c r="E64" i="233" s="1"/>
  <c r="E65" i="233" s="1"/>
  <c r="D58" i="233"/>
  <c r="E58" i="233" s="1"/>
  <c r="F58" i="233" s="1"/>
  <c r="D61" i="233"/>
  <c r="D55" i="233"/>
  <c r="E55" i="233" s="1"/>
  <c r="E56" i="233" s="1"/>
  <c r="I28" i="190"/>
  <c r="E80" i="233"/>
  <c r="E81" i="233" s="1"/>
  <c r="D74" i="233"/>
  <c r="E74" i="233" s="1"/>
  <c r="F74" i="233" s="1"/>
  <c r="J43" i="190"/>
  <c r="J52" i="190"/>
  <c r="H78" i="253"/>
  <c r="P38" i="254"/>
  <c r="P23" i="253"/>
  <c r="J25" i="253"/>
  <c r="R38" i="254"/>
  <c r="R25" i="253"/>
  <c r="G26" i="253"/>
  <c r="O26" i="253"/>
  <c r="H27" i="253"/>
  <c r="L27" i="253"/>
  <c r="E28" i="253"/>
  <c r="I28" i="253"/>
  <c r="M28" i="253"/>
  <c r="Q28" i="253"/>
  <c r="F29" i="253"/>
  <c r="J29" i="253"/>
  <c r="N29" i="253"/>
  <c r="G30" i="253"/>
  <c r="K30" i="253"/>
  <c r="O30" i="253"/>
  <c r="S30" i="253"/>
  <c r="H31" i="253"/>
  <c r="L31" i="253"/>
  <c r="P31" i="253"/>
  <c r="I32" i="253"/>
  <c r="M32" i="253"/>
  <c r="Q32" i="253"/>
  <c r="F33" i="253"/>
  <c r="J33" i="253"/>
  <c r="N33" i="253"/>
  <c r="R33" i="253"/>
  <c r="K34" i="253"/>
  <c r="O34" i="253"/>
  <c r="S34" i="253"/>
  <c r="H35" i="253"/>
  <c r="L35" i="253"/>
  <c r="P35" i="253"/>
  <c r="E36" i="253"/>
  <c r="M36" i="253"/>
  <c r="Q36" i="253"/>
  <c r="D77" i="233"/>
  <c r="E77" i="233" s="1"/>
  <c r="E78" i="233" s="1"/>
  <c r="F34" i="190"/>
  <c r="J34" i="190"/>
  <c r="R34" i="190"/>
  <c r="F43" i="190"/>
  <c r="R43" i="190"/>
  <c r="F52" i="190"/>
  <c r="K55" i="256"/>
  <c r="K40" i="253"/>
  <c r="F78" i="254"/>
  <c r="R78" i="254"/>
  <c r="N51" i="253"/>
  <c r="O52" i="253"/>
  <c r="P53" i="253"/>
  <c r="Q54" i="253"/>
  <c r="L69" i="255"/>
  <c r="J55" i="256"/>
  <c r="J56" i="256" s="1"/>
  <c r="E69" i="256"/>
  <c r="M68" i="256"/>
  <c r="E28" i="190"/>
  <c r="M28" i="190"/>
  <c r="Q28" i="190"/>
  <c r="D34" i="190"/>
  <c r="P34" i="190"/>
  <c r="E43" i="190"/>
  <c r="M43" i="190"/>
  <c r="Q43" i="190"/>
  <c r="R52" i="190"/>
  <c r="N78" i="253"/>
  <c r="R78" i="253"/>
  <c r="G68" i="255"/>
  <c r="E38" i="256"/>
  <c r="I38" i="256"/>
  <c r="K73" i="254"/>
  <c r="K73" i="253" s="1"/>
  <c r="K74" i="253" s="1"/>
  <c r="O73" i="254"/>
  <c r="O73" i="253" s="1"/>
  <c r="O74" i="253" s="1"/>
  <c r="S73" i="254"/>
  <c r="S73" i="253" s="1"/>
  <c r="S74" i="253" s="1"/>
  <c r="E78" i="255"/>
  <c r="M78" i="255"/>
  <c r="H75" i="255"/>
  <c r="I75" i="255"/>
  <c r="R38" i="256"/>
  <c r="G78" i="256"/>
  <c r="K78" i="256"/>
  <c r="O78" i="256"/>
  <c r="S78" i="256"/>
  <c r="G62" i="253"/>
  <c r="H63" i="253"/>
  <c r="E64" i="253"/>
  <c r="I64" i="253"/>
  <c r="Q64" i="253"/>
  <c r="N66" i="253"/>
  <c r="R66" i="253"/>
  <c r="K67" i="253"/>
  <c r="O67" i="253"/>
  <c r="S67" i="253"/>
  <c r="F37" i="253"/>
  <c r="J37" i="253"/>
  <c r="N37" i="253"/>
  <c r="R37" i="253"/>
  <c r="S78" i="254"/>
  <c r="H74" i="253"/>
  <c r="H24" i="253"/>
  <c r="L24" i="253"/>
  <c r="P24" i="253"/>
  <c r="E25" i="253"/>
  <c r="I25" i="253"/>
  <c r="M25" i="253"/>
  <c r="Q25" i="253"/>
  <c r="F26" i="253"/>
  <c r="J26" i="253"/>
  <c r="N26" i="253"/>
  <c r="G27" i="253"/>
  <c r="K27" i="253"/>
  <c r="O27" i="253"/>
  <c r="S27" i="253"/>
  <c r="H28" i="253"/>
  <c r="L28" i="253"/>
  <c r="P28" i="253"/>
  <c r="E29" i="253"/>
  <c r="I29" i="253"/>
  <c r="M29" i="253"/>
  <c r="Q29" i="253"/>
  <c r="F30" i="253"/>
  <c r="J30" i="253"/>
  <c r="N30" i="253"/>
  <c r="R30" i="253"/>
  <c r="G31" i="253"/>
  <c r="K31" i="253"/>
  <c r="O31" i="253"/>
  <c r="S31" i="253"/>
  <c r="H32" i="253"/>
  <c r="L32" i="253"/>
  <c r="P32" i="253"/>
  <c r="E33" i="253"/>
  <c r="I33" i="253"/>
  <c r="M33" i="253"/>
  <c r="Q33" i="253"/>
  <c r="F34" i="253"/>
  <c r="J34" i="253"/>
  <c r="N34" i="253"/>
  <c r="R34" i="253"/>
  <c r="G35" i="253"/>
  <c r="K35" i="253"/>
  <c r="O35" i="253"/>
  <c r="S35" i="253"/>
  <c r="H36" i="253"/>
  <c r="L36" i="253"/>
  <c r="P36" i="253"/>
  <c r="E37" i="253"/>
  <c r="I37" i="253"/>
  <c r="M37" i="253"/>
  <c r="Q37" i="253"/>
  <c r="F68" i="255"/>
  <c r="R69" i="255"/>
  <c r="F75" i="255"/>
  <c r="S75" i="255"/>
  <c r="M38" i="256"/>
  <c r="Q38" i="256"/>
  <c r="F38" i="256"/>
  <c r="N38" i="256"/>
  <c r="H38" i="256"/>
  <c r="M55" i="256"/>
  <c r="F78" i="256"/>
  <c r="O74" i="256"/>
  <c r="H74" i="256"/>
  <c r="I75" i="256" s="1"/>
  <c r="L74" i="256"/>
  <c r="P74" i="256"/>
  <c r="G78" i="255"/>
  <c r="K78" i="255"/>
  <c r="S78" i="255"/>
  <c r="H55" i="255"/>
  <c r="L55" i="255"/>
  <c r="P55" i="255"/>
  <c r="E55" i="255"/>
  <c r="I55" i="255"/>
  <c r="I78" i="255"/>
  <c r="F72" i="253"/>
  <c r="J72" i="253"/>
  <c r="N72" i="253"/>
  <c r="R72" i="253"/>
  <c r="R74" i="253" s="1"/>
  <c r="G73" i="253"/>
  <c r="H78" i="255"/>
  <c r="P78" i="255"/>
  <c r="G69" i="255"/>
  <c r="M61" i="253"/>
  <c r="Q61" i="253"/>
  <c r="N62" i="253"/>
  <c r="R62" i="253"/>
  <c r="O63" i="253"/>
  <c r="S63" i="253"/>
  <c r="P64" i="253"/>
  <c r="K75" i="255"/>
  <c r="Q78" i="255"/>
  <c r="I78" i="256"/>
  <c r="F55" i="256"/>
  <c r="N55" i="256"/>
  <c r="R55" i="256"/>
  <c r="G55" i="256"/>
  <c r="O55" i="256"/>
  <c r="E55" i="256"/>
  <c r="I55" i="256"/>
  <c r="Q55" i="256"/>
  <c r="J74" i="256"/>
  <c r="L75" i="256" s="1"/>
  <c r="R74" i="256"/>
  <c r="J78" i="253"/>
  <c r="F78" i="253"/>
  <c r="I74" i="253"/>
  <c r="G23" i="253"/>
  <c r="G38" i="255"/>
  <c r="K38" i="255"/>
  <c r="K23" i="253"/>
  <c r="O23" i="253"/>
  <c r="O38" i="255"/>
  <c r="S38" i="255"/>
  <c r="S23" i="253"/>
  <c r="R26" i="253"/>
  <c r="R38" i="255"/>
  <c r="G78" i="253"/>
  <c r="K78" i="253"/>
  <c r="O78" i="253"/>
  <c r="H38" i="254"/>
  <c r="H23" i="253"/>
  <c r="E38" i="254"/>
  <c r="E24" i="253"/>
  <c r="I38" i="254"/>
  <c r="I24" i="253"/>
  <c r="F38" i="254"/>
  <c r="F25" i="253"/>
  <c r="K38" i="254"/>
  <c r="K26" i="253"/>
  <c r="E69" i="254"/>
  <c r="E59" i="253"/>
  <c r="I69" i="254"/>
  <c r="I68" i="254"/>
  <c r="I59" i="253"/>
  <c r="M69" i="254"/>
  <c r="M68" i="254"/>
  <c r="M59" i="253"/>
  <c r="Q69" i="254"/>
  <c r="Q68" i="254"/>
  <c r="Q59" i="253"/>
  <c r="E68" i="254"/>
  <c r="Q24" i="253"/>
  <c r="S26" i="253"/>
  <c r="H40" i="253"/>
  <c r="H55" i="254"/>
  <c r="L40" i="253"/>
  <c r="L55" i="254"/>
  <c r="P55" i="254"/>
  <c r="P40" i="253"/>
  <c r="J42" i="253"/>
  <c r="J55" i="253" s="1"/>
  <c r="J55" i="254"/>
  <c r="R42" i="253"/>
  <c r="R55" i="254"/>
  <c r="R56" i="254" s="1"/>
  <c r="H69" i="254"/>
  <c r="M24" i="253"/>
  <c r="E78" i="253"/>
  <c r="I78" i="253"/>
  <c r="M78" i="253"/>
  <c r="Q78" i="253"/>
  <c r="H38" i="255"/>
  <c r="N55" i="254"/>
  <c r="N56" i="254" s="1"/>
  <c r="F69" i="254"/>
  <c r="F59" i="253"/>
  <c r="J59" i="253"/>
  <c r="J69" i="254"/>
  <c r="J68" i="254"/>
  <c r="N59" i="253"/>
  <c r="N68" i="254"/>
  <c r="N69" i="254"/>
  <c r="R59" i="253"/>
  <c r="R68" i="254"/>
  <c r="K60" i="253"/>
  <c r="K68" i="254"/>
  <c r="L61" i="253"/>
  <c r="L69" i="254"/>
  <c r="P61" i="253"/>
  <c r="P69" i="254"/>
  <c r="F68" i="254"/>
  <c r="K69" i="254"/>
  <c r="N74" i="254"/>
  <c r="N73" i="253"/>
  <c r="J38" i="255"/>
  <c r="N38" i="255"/>
  <c r="L78" i="253"/>
  <c r="P78" i="253"/>
  <c r="E74" i="253"/>
  <c r="F75" i="253" s="1"/>
  <c r="R69" i="254"/>
  <c r="G78" i="254"/>
  <c r="O78" i="254"/>
  <c r="L73" i="254"/>
  <c r="L73" i="253" s="1"/>
  <c r="L72" i="253"/>
  <c r="P73" i="254"/>
  <c r="P73" i="253" s="1"/>
  <c r="H74" i="254"/>
  <c r="K78" i="254"/>
  <c r="H69" i="256"/>
  <c r="H68" i="256"/>
  <c r="P69" i="256"/>
  <c r="P68" i="256"/>
  <c r="P59" i="253"/>
  <c r="E68" i="256"/>
  <c r="E60" i="253"/>
  <c r="Q69" i="256"/>
  <c r="Q60" i="253"/>
  <c r="Q68" i="256"/>
  <c r="F68" i="256"/>
  <c r="F61" i="253"/>
  <c r="R68" i="256"/>
  <c r="R61" i="253"/>
  <c r="S62" i="253"/>
  <c r="S69" i="256"/>
  <c r="I69" i="256"/>
  <c r="M60" i="253"/>
  <c r="O62" i="253"/>
  <c r="P72" i="253"/>
  <c r="G38" i="254"/>
  <c r="G55" i="254"/>
  <c r="K55" i="254"/>
  <c r="S55" i="254"/>
  <c r="S56" i="254" s="1"/>
  <c r="S69" i="254"/>
  <c r="H78" i="254"/>
  <c r="L78" i="254"/>
  <c r="P78" i="254"/>
  <c r="E74" i="254"/>
  <c r="G75" i="254" s="1"/>
  <c r="I74" i="254"/>
  <c r="M73" i="254"/>
  <c r="M73" i="253" s="1"/>
  <c r="M72" i="253"/>
  <c r="Q73" i="254"/>
  <c r="Q73" i="253" s="1"/>
  <c r="Q72" i="253"/>
  <c r="O55" i="255"/>
  <c r="K69" i="255"/>
  <c r="K59" i="253"/>
  <c r="O69" i="255"/>
  <c r="O68" i="255"/>
  <c r="O59" i="253"/>
  <c r="S68" i="255"/>
  <c r="S69" i="255"/>
  <c r="H68" i="255"/>
  <c r="H69" i="255"/>
  <c r="L68" i="255"/>
  <c r="L60" i="253"/>
  <c r="P68" i="255"/>
  <c r="P69" i="255"/>
  <c r="P60" i="253"/>
  <c r="R68" i="255"/>
  <c r="L68" i="256"/>
  <c r="J38" i="254"/>
  <c r="J56" i="254" s="1"/>
  <c r="J77" i="254" s="1"/>
  <c r="E55" i="254"/>
  <c r="I55" i="254"/>
  <c r="M55" i="254"/>
  <c r="Q55" i="254"/>
  <c r="Q56" i="254" s="1"/>
  <c r="F55" i="254"/>
  <c r="N78" i="254"/>
  <c r="G69" i="254"/>
  <c r="L38" i="255"/>
  <c r="L56" i="255" s="1"/>
  <c r="P38" i="255"/>
  <c r="F55" i="255"/>
  <c r="J55" i="255"/>
  <c r="N55" i="255"/>
  <c r="R55" i="255"/>
  <c r="G55" i="255"/>
  <c r="K55" i="255"/>
  <c r="S55" i="255"/>
  <c r="E69" i="255"/>
  <c r="I69" i="255"/>
  <c r="I68" i="255"/>
  <c r="M69" i="255"/>
  <c r="Q69" i="255"/>
  <c r="Q68" i="255"/>
  <c r="J69" i="255"/>
  <c r="J68" i="255"/>
  <c r="N68" i="255"/>
  <c r="E68" i="255"/>
  <c r="M68" i="255"/>
  <c r="L75" i="255"/>
  <c r="M75" i="255"/>
  <c r="P75" i="255"/>
  <c r="O78" i="255"/>
  <c r="Q75" i="255"/>
  <c r="M75" i="256"/>
  <c r="L78" i="256"/>
  <c r="N75" i="256"/>
  <c r="E74" i="256"/>
  <c r="F75" i="256" s="1"/>
  <c r="I74" i="256"/>
  <c r="Q74" i="256"/>
  <c r="H78" i="256"/>
  <c r="P78" i="256"/>
  <c r="O38" i="254"/>
  <c r="E78" i="256"/>
  <c r="M78" i="256"/>
  <c r="N69" i="256"/>
  <c r="J78" i="254"/>
  <c r="O69" i="254"/>
  <c r="S68" i="254"/>
  <c r="E66" i="253"/>
  <c r="I66" i="253"/>
  <c r="M66" i="253"/>
  <c r="Q66" i="253"/>
  <c r="F67" i="253"/>
  <c r="J67" i="253"/>
  <c r="N67" i="253"/>
  <c r="R67" i="253"/>
  <c r="G68" i="254"/>
  <c r="O68" i="254"/>
  <c r="E38" i="255"/>
  <c r="I38" i="255"/>
  <c r="M38" i="255"/>
  <c r="M56" i="255" s="1"/>
  <c r="Q38" i="255"/>
  <c r="F38" i="255"/>
  <c r="Q55" i="255"/>
  <c r="L38" i="256"/>
  <c r="Q78" i="256"/>
  <c r="F69" i="256"/>
  <c r="J68" i="256"/>
  <c r="G68" i="256"/>
  <c r="K68" i="256"/>
  <c r="K69" i="256"/>
  <c r="O68" i="256"/>
  <c r="S68" i="256"/>
  <c r="N68" i="256"/>
  <c r="G69" i="256"/>
  <c r="H68" i="254"/>
  <c r="L68" i="254"/>
  <c r="P68" i="254"/>
  <c r="G74" i="254"/>
  <c r="H75" i="254" s="1"/>
  <c r="R74" i="254"/>
  <c r="E78" i="254"/>
  <c r="G38" i="256"/>
  <c r="K38" i="256"/>
  <c r="K56" i="256" s="1"/>
  <c r="O38" i="256"/>
  <c r="S38" i="256"/>
  <c r="S56" i="256" s="1"/>
  <c r="H55" i="256"/>
  <c r="L55" i="256"/>
  <c r="P55" i="256"/>
  <c r="P56" i="256" s="1"/>
  <c r="F71" i="233"/>
  <c r="E59" i="233"/>
  <c r="E75" i="233"/>
  <c r="F80" i="233"/>
  <c r="E61" i="233"/>
  <c r="L77" i="255" l="1"/>
  <c r="O56" i="256"/>
  <c r="O77" i="256" s="1"/>
  <c r="P75" i="256"/>
  <c r="J77" i="256"/>
  <c r="K55" i="253"/>
  <c r="G55" i="253"/>
  <c r="Q77" i="254"/>
  <c r="S55" i="253"/>
  <c r="O75" i="256"/>
  <c r="P77" i="256"/>
  <c r="F38" i="253"/>
  <c r="H69" i="253"/>
  <c r="F55" i="253"/>
  <c r="S77" i="254"/>
  <c r="P55" i="253"/>
  <c r="N38" i="253"/>
  <c r="N56" i="253" s="1"/>
  <c r="F64" i="233"/>
  <c r="R75" i="256"/>
  <c r="R55" i="253"/>
  <c r="P56" i="254"/>
  <c r="P77" i="254" s="1"/>
  <c r="J74" i="253"/>
  <c r="Q56" i="256"/>
  <c r="H68" i="253"/>
  <c r="Q55" i="253"/>
  <c r="N56" i="256"/>
  <c r="M56" i="254"/>
  <c r="M77" i="254" s="1"/>
  <c r="J46" i="233"/>
  <c r="I55" i="253"/>
  <c r="R38" i="253"/>
  <c r="F75" i="254"/>
  <c r="O56" i="254"/>
  <c r="O77" i="254" s="1"/>
  <c r="K75" i="256"/>
  <c r="K75" i="254"/>
  <c r="N74" i="253"/>
  <c r="L56" i="254"/>
  <c r="L77" i="254" s="1"/>
  <c r="F74" i="253"/>
  <c r="G68" i="253"/>
  <c r="E38" i="253"/>
  <c r="E56" i="253" s="1"/>
  <c r="F77" i="233"/>
  <c r="F78" i="233" s="1"/>
  <c r="G56" i="256"/>
  <c r="G77" i="256" s="1"/>
  <c r="E56" i="255"/>
  <c r="E77" i="255" s="1"/>
  <c r="G75" i="256"/>
  <c r="Q74" i="254"/>
  <c r="S75" i="254" s="1"/>
  <c r="H55" i="253"/>
  <c r="I38" i="253"/>
  <c r="F56" i="256"/>
  <c r="F77" i="256" s="1"/>
  <c r="L38" i="253"/>
  <c r="L75" i="253"/>
  <c r="N77" i="254"/>
  <c r="M38" i="253"/>
  <c r="M56" i="253" s="1"/>
  <c r="H38" i="253"/>
  <c r="K75" i="253"/>
  <c r="E56" i="256"/>
  <c r="E77" i="256" s="1"/>
  <c r="J38" i="253"/>
  <c r="J56" i="253" s="1"/>
  <c r="L56" i="256"/>
  <c r="L77" i="256" s="1"/>
  <c r="M77" i="255"/>
  <c r="Q75" i="256"/>
  <c r="J75" i="256"/>
  <c r="L69" i="253"/>
  <c r="S69" i="253"/>
  <c r="J75" i="254"/>
  <c r="L55" i="253"/>
  <c r="H56" i="256"/>
  <c r="H77" i="256" s="1"/>
  <c r="M56" i="256"/>
  <c r="M77" i="256" s="1"/>
  <c r="K74" i="254"/>
  <c r="L75" i="254" s="1"/>
  <c r="L74" i="253"/>
  <c r="M75" i="253" s="1"/>
  <c r="I75" i="254"/>
  <c r="N56" i="255"/>
  <c r="N77" i="255" s="1"/>
  <c r="P75" i="253"/>
  <c r="G74" i="253"/>
  <c r="G69" i="253"/>
  <c r="F55" i="233"/>
  <c r="G55" i="233" s="1"/>
  <c r="P56" i="255"/>
  <c r="P77" i="255" s="1"/>
  <c r="M74" i="253"/>
  <c r="O75" i="253" s="1"/>
  <c r="L74" i="254"/>
  <c r="M75" i="254" s="1"/>
  <c r="J56" i="255"/>
  <c r="J77" i="255" s="1"/>
  <c r="L68" i="253"/>
  <c r="S56" i="255"/>
  <c r="S77" i="255" s="1"/>
  <c r="K56" i="255"/>
  <c r="K77" i="255" s="1"/>
  <c r="R56" i="256"/>
  <c r="R77" i="256" s="1"/>
  <c r="O74" i="254"/>
  <c r="I56" i="256"/>
  <c r="I77" i="256" s="1"/>
  <c r="R77" i="254"/>
  <c r="P38" i="253"/>
  <c r="K77" i="256"/>
  <c r="I56" i="255"/>
  <c r="I77" i="255" s="1"/>
  <c r="M74" i="254"/>
  <c r="O75" i="254" s="1"/>
  <c r="G75" i="253"/>
  <c r="H56" i="255"/>
  <c r="H77" i="255" s="1"/>
  <c r="Q38" i="253"/>
  <c r="S68" i="253"/>
  <c r="O38" i="253"/>
  <c r="O56" i="253" s="1"/>
  <c r="G38" i="253"/>
  <c r="G56" i="253" s="1"/>
  <c r="S74" i="254"/>
  <c r="F52" i="233"/>
  <c r="E53" i="233"/>
  <c r="P69" i="253"/>
  <c r="P68" i="253"/>
  <c r="J68" i="253"/>
  <c r="J69" i="253"/>
  <c r="I68" i="253"/>
  <c r="I69" i="253"/>
  <c r="N77" i="256"/>
  <c r="N68" i="253"/>
  <c r="N69" i="253"/>
  <c r="F69" i="253"/>
  <c r="F68" i="253"/>
  <c r="M69" i="253"/>
  <c r="M68" i="253"/>
  <c r="I56" i="254"/>
  <c r="I77" i="254" s="1"/>
  <c r="R56" i="255"/>
  <c r="R77" i="255" s="1"/>
  <c r="O56" i="255"/>
  <c r="O77" i="255" s="1"/>
  <c r="G56" i="255"/>
  <c r="G77" i="255" s="1"/>
  <c r="F56" i="255"/>
  <c r="F77" i="255" s="1"/>
  <c r="K68" i="253"/>
  <c r="K69" i="253"/>
  <c r="Q74" i="253"/>
  <c r="S75" i="253" s="1"/>
  <c r="G56" i="254"/>
  <c r="G77" i="254" s="1"/>
  <c r="J75" i="253"/>
  <c r="R68" i="253"/>
  <c r="R69" i="253"/>
  <c r="S75" i="256"/>
  <c r="Q69" i="253"/>
  <c r="Q68" i="253"/>
  <c r="K56" i="254"/>
  <c r="K77" i="254" s="1"/>
  <c r="F56" i="254"/>
  <c r="F77" i="254" s="1"/>
  <c r="S77" i="256"/>
  <c r="Q56" i="255"/>
  <c r="Q77" i="255" s="1"/>
  <c r="Q77" i="256"/>
  <c r="O68" i="253"/>
  <c r="O69" i="253"/>
  <c r="P74" i="253"/>
  <c r="Q75" i="253" s="1"/>
  <c r="P74" i="254"/>
  <c r="E68" i="253"/>
  <c r="E69" i="253"/>
  <c r="E77" i="253" s="1"/>
  <c r="E56" i="254"/>
  <c r="E77" i="254" s="1"/>
  <c r="H56" i="254"/>
  <c r="H77" i="254" s="1"/>
  <c r="S38" i="253"/>
  <c r="K38" i="253"/>
  <c r="K56" i="253" s="1"/>
  <c r="F81" i="233"/>
  <c r="G80" i="233"/>
  <c r="E62" i="233"/>
  <c r="F61" i="233"/>
  <c r="F72" i="233"/>
  <c r="G71" i="233"/>
  <c r="F65" i="233"/>
  <c r="G64" i="233"/>
  <c r="F75" i="233"/>
  <c r="G74" i="233"/>
  <c r="G58" i="233"/>
  <c r="F59" i="233"/>
  <c r="F56" i="253" l="1"/>
  <c r="L56" i="253"/>
  <c r="H75" i="253"/>
  <c r="G77" i="233"/>
  <c r="G78" i="233" s="1"/>
  <c r="S56" i="253"/>
  <c r="F77" i="253"/>
  <c r="P56" i="253"/>
  <c r="H56" i="253"/>
  <c r="H77" i="253" s="1"/>
  <c r="S77" i="253"/>
  <c r="Q56" i="253"/>
  <c r="Q77" i="253" s="1"/>
  <c r="I75" i="253"/>
  <c r="J77" i="253"/>
  <c r="O77" i="253"/>
  <c r="L77" i="253"/>
  <c r="R75" i="254"/>
  <c r="I56" i="253"/>
  <c r="I77" i="253" s="1"/>
  <c r="R56" i="253"/>
  <c r="R77" i="253" s="1"/>
  <c r="M77" i="253"/>
  <c r="P77" i="253"/>
  <c r="Q75" i="254"/>
  <c r="N75" i="253"/>
  <c r="N75" i="254"/>
  <c r="F56" i="233"/>
  <c r="N77" i="253"/>
  <c r="P75" i="254"/>
  <c r="F53" i="233"/>
  <c r="G52" i="233"/>
  <c r="R75" i="253"/>
  <c r="G77" i="253"/>
  <c r="K77" i="253"/>
  <c r="G59" i="233"/>
  <c r="H58" i="233"/>
  <c r="H74" i="233"/>
  <c r="G75" i="233"/>
  <c r="G72" i="233"/>
  <c r="H71" i="233"/>
  <c r="F62" i="233"/>
  <c r="G61" i="233"/>
  <c r="G56" i="233"/>
  <c r="H55" i="233"/>
  <c r="G81" i="233"/>
  <c r="H80" i="233"/>
  <c r="G65" i="233"/>
  <c r="H64" i="233"/>
  <c r="H77" i="233" l="1"/>
  <c r="H52" i="233"/>
  <c r="G53" i="233"/>
  <c r="H78" i="233"/>
  <c r="I77" i="233"/>
  <c r="I78" i="233" s="1"/>
  <c r="H81" i="233"/>
  <c r="I80" i="233"/>
  <c r="I81" i="233" s="1"/>
  <c r="H59" i="233"/>
  <c r="I58" i="233"/>
  <c r="H75" i="233"/>
  <c r="I74" i="233"/>
  <c r="I75" i="233" s="1"/>
  <c r="G62" i="233"/>
  <c r="H61" i="233"/>
  <c r="H65" i="233"/>
  <c r="I64" i="233"/>
  <c r="H56" i="233"/>
  <c r="I55" i="233"/>
  <c r="H72" i="233"/>
  <c r="I71" i="233"/>
  <c r="K78" i="233" l="1"/>
  <c r="L78" i="233" s="1"/>
  <c r="K75" i="233"/>
  <c r="L75" i="233" s="1"/>
  <c r="J78" i="233"/>
  <c r="J75" i="233"/>
  <c r="I52" i="233"/>
  <c r="H53" i="233"/>
  <c r="H62" i="233"/>
  <c r="I61" i="233"/>
  <c r="I72" i="233"/>
  <c r="K72" i="233" s="1"/>
  <c r="L72" i="233"/>
  <c r="L56" i="233"/>
  <c r="I56" i="233"/>
  <c r="K56" i="233" s="1"/>
  <c r="I65" i="233"/>
  <c r="L65" i="233"/>
  <c r="J81" i="233"/>
  <c r="K81" i="233"/>
  <c r="L81" i="233" s="1"/>
  <c r="J72" i="233"/>
  <c r="I59" i="233"/>
  <c r="J59" i="233" s="1"/>
  <c r="L59" i="233"/>
  <c r="I53" i="233" l="1"/>
  <c r="J53" i="233" s="1"/>
  <c r="L53" i="233"/>
  <c r="K59" i="233"/>
  <c r="I62" i="233"/>
  <c r="L62" i="233"/>
  <c r="K65" i="233"/>
  <c r="J65" i="233"/>
  <c r="J56" i="233"/>
  <c r="K53" i="233" l="1"/>
  <c r="K62" i="233"/>
  <c r="J62" i="233"/>
  <c r="Q54" i="243" l="1"/>
  <c r="P54" i="243"/>
  <c r="O54" i="243"/>
  <c r="N54" i="243"/>
  <c r="M54" i="243"/>
  <c r="L54" i="243"/>
  <c r="K54" i="243"/>
  <c r="J54" i="243"/>
  <c r="I54" i="243"/>
  <c r="H54" i="243"/>
  <c r="G54" i="243"/>
  <c r="F54" i="243"/>
  <c r="E54" i="243"/>
  <c r="D54" i="243"/>
  <c r="C54" i="243"/>
  <c r="Q28" i="220" l="1"/>
  <c r="P28" i="220"/>
  <c r="O28" i="220"/>
  <c r="N28" i="220"/>
  <c r="M28" i="220"/>
  <c r="L28" i="220"/>
  <c r="G55" i="218" l="1"/>
  <c r="F55" i="218"/>
  <c r="E55" i="218"/>
  <c r="D55" i="218"/>
  <c r="C55" i="218"/>
  <c r="Q55" i="218"/>
  <c r="P55" i="218"/>
  <c r="O55" i="218"/>
  <c r="N55" i="218"/>
  <c r="M55" i="218"/>
  <c r="L55" i="218"/>
  <c r="K55" i="218"/>
  <c r="J55" i="218"/>
  <c r="I55" i="218"/>
  <c r="H55" i="218"/>
  <c r="G55" i="243"/>
  <c r="F55" i="243"/>
  <c r="E55" i="243"/>
  <c r="D55" i="243"/>
  <c r="C55" i="243"/>
  <c r="H55" i="243"/>
  <c r="I55" i="243"/>
  <c r="J55" i="243"/>
  <c r="T82" i="223" l="1"/>
  <c r="S82" i="223"/>
  <c r="T81" i="223"/>
  <c r="S81" i="223"/>
  <c r="T79" i="223"/>
  <c r="S79" i="223"/>
  <c r="T78" i="223"/>
  <c r="S78" i="223"/>
  <c r="T77" i="223"/>
  <c r="S77" i="223"/>
  <c r="T76" i="223"/>
  <c r="S76" i="223"/>
  <c r="T75" i="223"/>
  <c r="S75" i="223"/>
  <c r="O83" i="223"/>
  <c r="O82" i="223"/>
  <c r="O81" i="223"/>
  <c r="O79" i="223"/>
  <c r="O78" i="223"/>
  <c r="O77" i="223"/>
  <c r="O76" i="223"/>
  <c r="O75" i="223"/>
  <c r="W82" i="223"/>
  <c r="V82" i="223"/>
  <c r="U82" i="223"/>
  <c r="W81" i="223"/>
  <c r="V81" i="223"/>
  <c r="U81" i="223"/>
  <c r="W79" i="223"/>
  <c r="V79" i="223"/>
  <c r="U79" i="223"/>
  <c r="W78" i="223"/>
  <c r="V78" i="223"/>
  <c r="U78" i="223"/>
  <c r="W77" i="223"/>
  <c r="V77" i="223"/>
  <c r="U77" i="223"/>
  <c r="W76" i="223"/>
  <c r="V76" i="223"/>
  <c r="U76" i="223"/>
  <c r="W75" i="223"/>
  <c r="V75" i="223"/>
  <c r="U75" i="223"/>
  <c r="Q83" i="223"/>
  <c r="P83" i="223"/>
  <c r="R82" i="223"/>
  <c r="Q82" i="223"/>
  <c r="P82" i="223"/>
  <c r="R81" i="223"/>
  <c r="Q81" i="223"/>
  <c r="P81" i="223"/>
  <c r="R79" i="223"/>
  <c r="Q79" i="223"/>
  <c r="P79" i="223"/>
  <c r="R78" i="223"/>
  <c r="Q78" i="223"/>
  <c r="P78" i="223"/>
  <c r="R77" i="223"/>
  <c r="Q77" i="223"/>
  <c r="P77" i="223"/>
  <c r="R76" i="223"/>
  <c r="P76" i="223"/>
  <c r="R75" i="223"/>
  <c r="Q75" i="223"/>
  <c r="P75" i="223"/>
  <c r="W120" i="223"/>
  <c r="V120" i="223"/>
  <c r="U120" i="223"/>
  <c r="T120" i="223"/>
  <c r="R120" i="223"/>
  <c r="Q120" i="223"/>
  <c r="P120" i="223"/>
  <c r="O120" i="223"/>
  <c r="J26" i="246" l="1"/>
  <c r="I26" i="246"/>
  <c r="H26" i="246"/>
  <c r="G26" i="246"/>
  <c r="F26" i="246"/>
  <c r="H46" i="243" l="1"/>
  <c r="H45" i="243"/>
  <c r="H44" i="243"/>
  <c r="H43" i="243"/>
  <c r="H42" i="243"/>
  <c r="H41" i="243"/>
  <c r="H40" i="243"/>
  <c r="H39" i="243"/>
  <c r="H23" i="243" l="1"/>
  <c r="I23" i="243"/>
  <c r="J23" i="243"/>
  <c r="K23" i="243"/>
  <c r="L23" i="243"/>
  <c r="M23" i="243"/>
  <c r="N23" i="243"/>
  <c r="O23" i="243"/>
  <c r="P23" i="243"/>
  <c r="Q23" i="243"/>
  <c r="H24" i="243"/>
  <c r="I24" i="243"/>
  <c r="J24" i="243"/>
  <c r="K24" i="243"/>
  <c r="L24" i="243"/>
  <c r="M24" i="243"/>
  <c r="N24" i="243"/>
  <c r="O24" i="243"/>
  <c r="P24" i="243"/>
  <c r="Q24" i="243"/>
  <c r="H25" i="243"/>
  <c r="I25" i="243"/>
  <c r="J25" i="243"/>
  <c r="K25" i="243"/>
  <c r="L25" i="243"/>
  <c r="M25" i="243"/>
  <c r="N25" i="243"/>
  <c r="O25" i="243"/>
  <c r="P25" i="243"/>
  <c r="Q25" i="243"/>
  <c r="H26" i="243"/>
  <c r="I26" i="243"/>
  <c r="J26" i="243"/>
  <c r="K26" i="243"/>
  <c r="L26" i="243"/>
  <c r="M26" i="243"/>
  <c r="N26" i="243"/>
  <c r="O26" i="243"/>
  <c r="P26" i="243"/>
  <c r="Q26" i="243"/>
  <c r="H27" i="243"/>
  <c r="I27" i="243"/>
  <c r="J27" i="243"/>
  <c r="K27" i="243"/>
  <c r="L27" i="243"/>
  <c r="M27" i="243"/>
  <c r="N27" i="243"/>
  <c r="O27" i="243"/>
  <c r="P27" i="243"/>
  <c r="Q27" i="243"/>
  <c r="H28" i="243"/>
  <c r="I28" i="243"/>
  <c r="J28" i="243"/>
  <c r="K28" i="243"/>
  <c r="L28" i="243"/>
  <c r="M28" i="243"/>
  <c r="N28" i="243"/>
  <c r="O28" i="243"/>
  <c r="P28" i="243"/>
  <c r="Q28" i="243"/>
  <c r="H29" i="243"/>
  <c r="I29" i="243"/>
  <c r="J29" i="243"/>
  <c r="K29" i="243"/>
  <c r="L29" i="243"/>
  <c r="M29" i="243"/>
  <c r="N29" i="243"/>
  <c r="O29" i="243"/>
  <c r="P29" i="243"/>
  <c r="Q29" i="243"/>
  <c r="H30" i="243"/>
  <c r="I30" i="243"/>
  <c r="J30" i="243"/>
  <c r="K30" i="243"/>
  <c r="L30" i="243"/>
  <c r="M30" i="243"/>
  <c r="N30" i="243"/>
  <c r="O30" i="243"/>
  <c r="P30" i="243"/>
  <c r="Q30" i="243"/>
  <c r="H31" i="243"/>
  <c r="I31" i="243"/>
  <c r="J31" i="243"/>
  <c r="K31" i="243"/>
  <c r="L31" i="243"/>
  <c r="M31" i="243"/>
  <c r="N31" i="243"/>
  <c r="O31" i="243"/>
  <c r="P31" i="243"/>
  <c r="Q31" i="243"/>
  <c r="H32" i="243"/>
  <c r="I32" i="243"/>
  <c r="J32" i="243"/>
  <c r="K32" i="243"/>
  <c r="L32" i="243"/>
  <c r="M32" i="243"/>
  <c r="N32" i="243"/>
  <c r="O32" i="243"/>
  <c r="P32" i="243"/>
  <c r="Q32" i="243"/>
  <c r="H33" i="243"/>
  <c r="I33" i="243"/>
  <c r="J33" i="243"/>
  <c r="K33" i="243"/>
  <c r="L33" i="243"/>
  <c r="M33" i="243"/>
  <c r="N33" i="243"/>
  <c r="O33" i="243"/>
  <c r="P33" i="243"/>
  <c r="Q33" i="243"/>
  <c r="H34" i="243"/>
  <c r="I34" i="243"/>
  <c r="J34" i="243"/>
  <c r="K34" i="243"/>
  <c r="L34" i="243"/>
  <c r="M34" i="243"/>
  <c r="N34" i="243"/>
  <c r="O34" i="243"/>
  <c r="P34" i="243"/>
  <c r="Q34" i="243"/>
  <c r="H35" i="243"/>
  <c r="I35" i="243"/>
  <c r="J35" i="243"/>
  <c r="K35" i="243"/>
  <c r="L35" i="243"/>
  <c r="M35" i="243"/>
  <c r="N35" i="243"/>
  <c r="O35" i="243"/>
  <c r="P35" i="243"/>
  <c r="Q35" i="243"/>
  <c r="H36" i="243"/>
  <c r="I36" i="243"/>
  <c r="J36" i="243"/>
  <c r="K36" i="243"/>
  <c r="L36" i="243"/>
  <c r="M36" i="243"/>
  <c r="N36" i="243"/>
  <c r="O36" i="243"/>
  <c r="P36" i="243"/>
  <c r="Q36" i="243"/>
  <c r="C66" i="217"/>
  <c r="C58" i="217"/>
  <c r="C50" i="217"/>
  <c r="H56" i="201"/>
  <c r="H57" i="201"/>
  <c r="H58" i="201"/>
  <c r="H59" i="201"/>
  <c r="H60" i="201"/>
  <c r="H61" i="201"/>
  <c r="H62" i="201"/>
  <c r="H63" i="201"/>
  <c r="H64" i="201"/>
  <c r="H65" i="201"/>
  <c r="G56" i="201"/>
  <c r="G57" i="201"/>
  <c r="G58" i="201"/>
  <c r="G59" i="201"/>
  <c r="G60" i="201"/>
  <c r="G61" i="201"/>
  <c r="G62" i="201"/>
  <c r="G63" i="201"/>
  <c r="G64" i="201"/>
  <c r="G65" i="201"/>
  <c r="F56" i="201"/>
  <c r="F57" i="201"/>
  <c r="F58" i="201"/>
  <c r="F59" i="201"/>
  <c r="F60" i="201"/>
  <c r="F61" i="201"/>
  <c r="F62" i="201"/>
  <c r="F63" i="201"/>
  <c r="F64" i="201"/>
  <c r="F65" i="201"/>
  <c r="E65" i="201"/>
  <c r="E64" i="201"/>
  <c r="E63" i="201"/>
  <c r="E62" i="201"/>
  <c r="E61" i="201"/>
  <c r="E60" i="201"/>
  <c r="E59" i="201"/>
  <c r="E58" i="201"/>
  <c r="E57" i="201"/>
  <c r="E56" i="201"/>
  <c r="F66" i="201"/>
  <c r="E66" i="201"/>
  <c r="H66" i="201" l="1"/>
  <c r="G66" i="201"/>
  <c r="D66" i="201"/>
  <c r="C66" i="201"/>
  <c r="D65" i="201"/>
  <c r="C65" i="201"/>
  <c r="D64" i="201"/>
  <c r="C64" i="201"/>
  <c r="D63" i="201"/>
  <c r="C63" i="201"/>
  <c r="D62" i="201"/>
  <c r="C62" i="201"/>
  <c r="D61" i="201"/>
  <c r="C61" i="201"/>
  <c r="D60" i="201"/>
  <c r="C60" i="201"/>
  <c r="D59" i="201"/>
  <c r="C59" i="201"/>
  <c r="D58" i="201"/>
  <c r="C58" i="201"/>
  <c r="D57" i="201"/>
  <c r="C57" i="201"/>
  <c r="D56" i="201"/>
  <c r="C56" i="201"/>
  <c r="J56" i="201"/>
  <c r="K56" i="201"/>
  <c r="L56" i="201"/>
  <c r="M56" i="201"/>
  <c r="N56" i="201"/>
  <c r="O56" i="201"/>
  <c r="P56" i="201"/>
  <c r="Q56" i="201"/>
  <c r="J57" i="201"/>
  <c r="K57" i="201"/>
  <c r="L57" i="201"/>
  <c r="M57" i="201"/>
  <c r="N57" i="201"/>
  <c r="O57" i="201"/>
  <c r="P57" i="201"/>
  <c r="Q57" i="201"/>
  <c r="J58" i="201"/>
  <c r="K58" i="201"/>
  <c r="L58" i="201"/>
  <c r="M58" i="201"/>
  <c r="N58" i="201"/>
  <c r="O58" i="201"/>
  <c r="P58" i="201"/>
  <c r="Q58" i="201"/>
  <c r="J59" i="201"/>
  <c r="K59" i="201"/>
  <c r="L59" i="201"/>
  <c r="M59" i="201"/>
  <c r="N59" i="201"/>
  <c r="O59" i="201"/>
  <c r="P59" i="201"/>
  <c r="Q59" i="201"/>
  <c r="J60" i="201"/>
  <c r="K60" i="201"/>
  <c r="L60" i="201"/>
  <c r="M60" i="201"/>
  <c r="N60" i="201"/>
  <c r="O60" i="201"/>
  <c r="P60" i="201"/>
  <c r="Q60" i="201"/>
  <c r="J61" i="201"/>
  <c r="K61" i="201"/>
  <c r="L61" i="201"/>
  <c r="M61" i="201"/>
  <c r="N61" i="201"/>
  <c r="O61" i="201"/>
  <c r="P61" i="201"/>
  <c r="Q61" i="201"/>
  <c r="J62" i="201"/>
  <c r="K62" i="201"/>
  <c r="L62" i="201"/>
  <c r="M62" i="201"/>
  <c r="N62" i="201"/>
  <c r="O62" i="201"/>
  <c r="P62" i="201"/>
  <c r="Q62" i="201"/>
  <c r="J63" i="201"/>
  <c r="K63" i="201"/>
  <c r="L63" i="201"/>
  <c r="M63" i="201"/>
  <c r="N63" i="201"/>
  <c r="O63" i="201"/>
  <c r="P63" i="201"/>
  <c r="Q63" i="201"/>
  <c r="J64" i="201"/>
  <c r="K64" i="201"/>
  <c r="L64" i="201"/>
  <c r="M64" i="201"/>
  <c r="N64" i="201"/>
  <c r="O64" i="201"/>
  <c r="P64" i="201"/>
  <c r="Q64" i="201"/>
  <c r="J65" i="201"/>
  <c r="K65" i="201"/>
  <c r="L65" i="201"/>
  <c r="M65" i="201"/>
  <c r="N65" i="201"/>
  <c r="O65" i="201"/>
  <c r="P65" i="201"/>
  <c r="Q65" i="201"/>
  <c r="J66" i="201"/>
  <c r="K66" i="201"/>
  <c r="L66" i="201"/>
  <c r="M66" i="201"/>
  <c r="N66" i="201"/>
  <c r="O66" i="201"/>
  <c r="P66" i="201"/>
  <c r="Q66" i="201"/>
  <c r="I57" i="201"/>
  <c r="I58" i="201"/>
  <c r="I59" i="201"/>
  <c r="I60" i="201"/>
  <c r="I61" i="201"/>
  <c r="I62" i="201"/>
  <c r="I63" i="201"/>
  <c r="I64" i="201"/>
  <c r="I65" i="201"/>
  <c r="I66" i="201"/>
  <c r="I56" i="201"/>
  <c r="N120" i="223" l="1"/>
  <c r="M120" i="223"/>
  <c r="L120" i="223"/>
  <c r="K120" i="223"/>
  <c r="F45" i="221" l="1"/>
  <c r="F44" i="221"/>
  <c r="Q53" i="243"/>
  <c r="P53" i="243"/>
  <c r="O53" i="243"/>
  <c r="N53" i="243"/>
  <c r="M53" i="243"/>
  <c r="Q52" i="243"/>
  <c r="P52" i="243"/>
  <c r="O52" i="243"/>
  <c r="N52" i="243"/>
  <c r="M52" i="243"/>
  <c r="Q51" i="243"/>
  <c r="P51" i="243"/>
  <c r="O51" i="243"/>
  <c r="N51" i="243"/>
  <c r="M51" i="243"/>
  <c r="Q50" i="243"/>
  <c r="P50" i="243"/>
  <c r="O50" i="243"/>
  <c r="N50" i="243"/>
  <c r="M50" i="243"/>
  <c r="L53" i="243"/>
  <c r="K53" i="243"/>
  <c r="J53" i="243"/>
  <c r="I53" i="243"/>
  <c r="H53" i="243"/>
  <c r="L52" i="243"/>
  <c r="K52" i="243"/>
  <c r="J52" i="243"/>
  <c r="I52" i="243"/>
  <c r="H52" i="243"/>
  <c r="L51" i="243"/>
  <c r="K51" i="243"/>
  <c r="J51" i="243"/>
  <c r="I51" i="243"/>
  <c r="H51" i="243"/>
  <c r="L50" i="243"/>
  <c r="K50" i="243"/>
  <c r="K55" i="243" s="1"/>
  <c r="J50" i="243"/>
  <c r="I50" i="243"/>
  <c r="H50" i="243"/>
  <c r="D50" i="243"/>
  <c r="E50" i="243"/>
  <c r="F50" i="243"/>
  <c r="G50" i="243"/>
  <c r="D51" i="243"/>
  <c r="E51" i="243"/>
  <c r="F51" i="243"/>
  <c r="G51" i="243"/>
  <c r="D52" i="243"/>
  <c r="E52" i="243"/>
  <c r="F52" i="243"/>
  <c r="G52" i="243"/>
  <c r="D53" i="243"/>
  <c r="E53" i="243"/>
  <c r="F53" i="243"/>
  <c r="G53" i="243"/>
  <c r="C51" i="243"/>
  <c r="C52" i="243"/>
  <c r="C53" i="243"/>
  <c r="C50" i="243"/>
  <c r="I40" i="243"/>
  <c r="J40" i="243"/>
  <c r="K40" i="243"/>
  <c r="L40" i="243"/>
  <c r="M40" i="243"/>
  <c r="N40" i="243"/>
  <c r="O40" i="243"/>
  <c r="P40" i="243"/>
  <c r="Q40" i="243"/>
  <c r="I41" i="243"/>
  <c r="J41" i="243"/>
  <c r="K41" i="243"/>
  <c r="L41" i="243"/>
  <c r="M41" i="243"/>
  <c r="N41" i="243"/>
  <c r="O41" i="243"/>
  <c r="P41" i="243"/>
  <c r="Q41" i="243"/>
  <c r="I42" i="243"/>
  <c r="J42" i="243"/>
  <c r="K42" i="243"/>
  <c r="L42" i="243"/>
  <c r="M42" i="243"/>
  <c r="N42" i="243"/>
  <c r="O42" i="243"/>
  <c r="P42" i="243"/>
  <c r="Q42" i="243"/>
  <c r="I43" i="243"/>
  <c r="J43" i="243"/>
  <c r="K43" i="243"/>
  <c r="L43" i="243"/>
  <c r="M43" i="243"/>
  <c r="N43" i="243"/>
  <c r="O43" i="243"/>
  <c r="P43" i="243"/>
  <c r="Q43" i="243"/>
  <c r="I44" i="243"/>
  <c r="J44" i="243"/>
  <c r="K44" i="243"/>
  <c r="L44" i="243"/>
  <c r="M44" i="243"/>
  <c r="N44" i="243"/>
  <c r="O44" i="243"/>
  <c r="P44" i="243"/>
  <c r="Q44" i="243"/>
  <c r="I45" i="243"/>
  <c r="J45" i="243"/>
  <c r="K45" i="243"/>
  <c r="L45" i="243"/>
  <c r="M45" i="243"/>
  <c r="N45" i="243"/>
  <c r="O45" i="243"/>
  <c r="P45" i="243"/>
  <c r="Q45" i="243"/>
  <c r="I46" i="243"/>
  <c r="J46" i="243"/>
  <c r="K46" i="243"/>
  <c r="L46" i="243"/>
  <c r="M46" i="243"/>
  <c r="N46" i="243"/>
  <c r="O46" i="243"/>
  <c r="P46" i="243"/>
  <c r="Q46" i="243"/>
  <c r="Q39" i="243"/>
  <c r="P39" i="243"/>
  <c r="O39" i="243"/>
  <c r="N39" i="243"/>
  <c r="M39" i="243"/>
  <c r="L39" i="243"/>
  <c r="K39" i="243"/>
  <c r="J39" i="243"/>
  <c r="I39" i="243"/>
  <c r="N55" i="243" l="1"/>
  <c r="P55" i="243"/>
  <c r="O55" i="243"/>
  <c r="L55" i="243"/>
  <c r="M55" i="243"/>
  <c r="Q55" i="243"/>
  <c r="P198" i="239"/>
  <c r="O198" i="239"/>
  <c r="N198" i="239"/>
  <c r="M198" i="239"/>
  <c r="L198" i="239"/>
  <c r="K198" i="239"/>
  <c r="J198" i="239"/>
  <c r="I198" i="239"/>
  <c r="H198" i="239"/>
  <c r="G198" i="239"/>
  <c r="P196" i="239"/>
  <c r="O196" i="239"/>
  <c r="N196" i="239"/>
  <c r="M196" i="239"/>
  <c r="L196" i="239"/>
  <c r="K196" i="239"/>
  <c r="J196" i="239"/>
  <c r="I196" i="239"/>
  <c r="H196" i="239"/>
  <c r="G196" i="239"/>
  <c r="P195" i="239"/>
  <c r="O195" i="239"/>
  <c r="N195" i="239"/>
  <c r="M195" i="239"/>
  <c r="L195" i="239"/>
  <c r="K195" i="239"/>
  <c r="J195" i="239"/>
  <c r="I195" i="239"/>
  <c r="H195" i="239"/>
  <c r="G195" i="239"/>
  <c r="K194" i="239"/>
  <c r="J194" i="239"/>
  <c r="I194" i="239"/>
  <c r="H194" i="239"/>
  <c r="G194" i="239"/>
  <c r="K193" i="239"/>
  <c r="J193" i="239"/>
  <c r="G193" i="239"/>
  <c r="P191" i="239"/>
  <c r="P193" i="239" s="1"/>
  <c r="M191" i="239"/>
  <c r="M193" i="239" s="1"/>
  <c r="L191" i="239"/>
  <c r="L193" i="239" s="1"/>
  <c r="K191" i="239"/>
  <c r="J191" i="239"/>
  <c r="I191" i="239"/>
  <c r="I193" i="239" s="1"/>
  <c r="H191" i="239"/>
  <c r="H193" i="239" s="1"/>
  <c r="G191" i="239"/>
  <c r="P188" i="239"/>
  <c r="O188" i="239"/>
  <c r="O191" i="239" s="1"/>
  <c r="O193" i="239" s="1"/>
  <c r="N188" i="239"/>
  <c r="N191" i="239" s="1"/>
  <c r="N193" i="239" s="1"/>
  <c r="M188" i="239"/>
  <c r="L188" i="239"/>
  <c r="K183" i="239"/>
  <c r="H183" i="239"/>
  <c r="G183" i="239"/>
  <c r="N181" i="239"/>
  <c r="N183" i="239" s="1"/>
  <c r="M181" i="239"/>
  <c r="M183" i="239" s="1"/>
  <c r="K181" i="239"/>
  <c r="J181" i="239"/>
  <c r="J183" i="239" s="1"/>
  <c r="I181" i="239"/>
  <c r="I183" i="239" s="1"/>
  <c r="H181" i="239"/>
  <c r="G181" i="239"/>
  <c r="P178" i="239"/>
  <c r="P181" i="239" s="1"/>
  <c r="P183" i="239" s="1"/>
  <c r="O178" i="239"/>
  <c r="O181" i="239" s="1"/>
  <c r="O183" i="239" s="1"/>
  <c r="N178" i="239"/>
  <c r="M178" i="239"/>
  <c r="L178" i="239"/>
  <c r="L181" i="239" s="1"/>
  <c r="L183" i="239" s="1"/>
  <c r="I173" i="239"/>
  <c r="H173" i="239"/>
  <c r="O171" i="239"/>
  <c r="O173" i="239" s="1"/>
  <c r="N171" i="239"/>
  <c r="N173" i="239" s="1"/>
  <c r="K171" i="239"/>
  <c r="K173" i="239" s="1"/>
  <c r="J171" i="239"/>
  <c r="J173" i="239" s="1"/>
  <c r="I171" i="239"/>
  <c r="H171" i="239"/>
  <c r="G171" i="239"/>
  <c r="G173" i="239" s="1"/>
  <c r="P168" i="239"/>
  <c r="P171" i="239" s="1"/>
  <c r="P173" i="239" s="1"/>
  <c r="O168" i="239"/>
  <c r="N168" i="239"/>
  <c r="M168" i="239"/>
  <c r="M171" i="239" s="1"/>
  <c r="M173" i="239" s="1"/>
  <c r="L168" i="239"/>
  <c r="L171" i="239" s="1"/>
  <c r="L173" i="239" s="1"/>
  <c r="J163" i="239"/>
  <c r="I163" i="239"/>
  <c r="P161" i="239"/>
  <c r="P163" i="239" s="1"/>
  <c r="O161" i="239"/>
  <c r="O163" i="239" s="1"/>
  <c r="L161" i="239"/>
  <c r="L163" i="239" s="1"/>
  <c r="K161" i="239"/>
  <c r="K163" i="239" s="1"/>
  <c r="J161" i="239"/>
  <c r="I161" i="239"/>
  <c r="H161" i="239"/>
  <c r="H163" i="239" s="1"/>
  <c r="G161" i="239"/>
  <c r="G163" i="239" s="1"/>
  <c r="P158" i="239"/>
  <c r="O158" i="239"/>
  <c r="N158" i="239"/>
  <c r="N161" i="239" s="1"/>
  <c r="N163" i="239" s="1"/>
  <c r="M158" i="239"/>
  <c r="M161" i="239" s="1"/>
  <c r="M163" i="239" s="1"/>
  <c r="L158" i="239"/>
  <c r="K153" i="239"/>
  <c r="J153" i="239"/>
  <c r="G153" i="239"/>
  <c r="P151" i="239"/>
  <c r="P153" i="239" s="1"/>
  <c r="M151" i="239"/>
  <c r="M153" i="239" s="1"/>
  <c r="L151" i="239"/>
  <c r="L153" i="239" s="1"/>
  <c r="K151" i="239"/>
  <c r="J151" i="239"/>
  <c r="I151" i="239"/>
  <c r="I153" i="239" s="1"/>
  <c r="H151" i="239"/>
  <c r="H153" i="239" s="1"/>
  <c r="G151" i="239"/>
  <c r="P148" i="239"/>
  <c r="O148" i="239"/>
  <c r="O151" i="239" s="1"/>
  <c r="O153" i="239" s="1"/>
  <c r="N148" i="239"/>
  <c r="N151" i="239" s="1"/>
  <c r="N153" i="239" s="1"/>
  <c r="M148" i="239"/>
  <c r="L148" i="239"/>
  <c r="K143" i="239"/>
  <c r="H143" i="239"/>
  <c r="G143" i="239"/>
  <c r="N141" i="239"/>
  <c r="N143" i="239" s="1"/>
  <c r="M141" i="239"/>
  <c r="M143" i="239" s="1"/>
  <c r="K141" i="239"/>
  <c r="J141" i="239"/>
  <c r="J143" i="239" s="1"/>
  <c r="I141" i="239"/>
  <c r="I143" i="239" s="1"/>
  <c r="H141" i="239"/>
  <c r="G141" i="239"/>
  <c r="P138" i="239"/>
  <c r="P141" i="239" s="1"/>
  <c r="P143" i="239" s="1"/>
  <c r="O138" i="239"/>
  <c r="O141" i="239" s="1"/>
  <c r="O143" i="239" s="1"/>
  <c r="N138" i="239"/>
  <c r="M138" i="239"/>
  <c r="L138" i="239"/>
  <c r="L141" i="239" s="1"/>
  <c r="L143" i="239" s="1"/>
  <c r="I133" i="239"/>
  <c r="H133" i="239"/>
  <c r="O131" i="239"/>
  <c r="O133" i="239" s="1"/>
  <c r="N131" i="239"/>
  <c r="N133" i="239" s="1"/>
  <c r="K131" i="239"/>
  <c r="K133" i="239" s="1"/>
  <c r="J131" i="239"/>
  <c r="J133" i="239" s="1"/>
  <c r="I131" i="239"/>
  <c r="H131" i="239"/>
  <c r="G131" i="239"/>
  <c r="G133" i="239" s="1"/>
  <c r="P128" i="239"/>
  <c r="P131" i="239" s="1"/>
  <c r="P133" i="239" s="1"/>
  <c r="O128" i="239"/>
  <c r="N128" i="239"/>
  <c r="M128" i="239"/>
  <c r="M131" i="239" s="1"/>
  <c r="M133" i="239" s="1"/>
  <c r="L128" i="239"/>
  <c r="L131" i="239" s="1"/>
  <c r="L133" i="239" s="1"/>
  <c r="J123" i="239"/>
  <c r="I123" i="239"/>
  <c r="P121" i="239"/>
  <c r="P197" i="239" s="1"/>
  <c r="O121" i="239"/>
  <c r="O123" i="239" s="1"/>
  <c r="L121" i="239"/>
  <c r="K121" i="239"/>
  <c r="K123" i="239" s="1"/>
  <c r="J121" i="239"/>
  <c r="I121" i="239"/>
  <c r="I197" i="239" s="1"/>
  <c r="H121" i="239"/>
  <c r="H197" i="239" s="1"/>
  <c r="G121" i="239"/>
  <c r="G123" i="239" s="1"/>
  <c r="P118" i="239"/>
  <c r="O118" i="239"/>
  <c r="O194" i="239" s="1"/>
  <c r="N118" i="239"/>
  <c r="N194" i="239" s="1"/>
  <c r="M118" i="239"/>
  <c r="M121" i="239" s="1"/>
  <c r="L118" i="239"/>
  <c r="AG105" i="239"/>
  <c r="AF105" i="239"/>
  <c r="AE105" i="239"/>
  <c r="AD105" i="239"/>
  <c r="AC105" i="239"/>
  <c r="AB105" i="239"/>
  <c r="AA105" i="239"/>
  <c r="Z105" i="239"/>
  <c r="U105" i="239"/>
  <c r="T105" i="239"/>
  <c r="S105" i="239"/>
  <c r="R105" i="239"/>
  <c r="Q105" i="239"/>
  <c r="P105" i="239"/>
  <c r="O105" i="239"/>
  <c r="N105" i="239"/>
  <c r="M105" i="239"/>
  <c r="L105" i="239"/>
  <c r="K105" i="239"/>
  <c r="J105" i="239"/>
  <c r="I105" i="239"/>
  <c r="H105" i="239"/>
  <c r="G105" i="239"/>
  <c r="AG103" i="239"/>
  <c r="AF103" i="239"/>
  <c r="AE103" i="239"/>
  <c r="AD103" i="239"/>
  <c r="AC103" i="239"/>
  <c r="AB103" i="239"/>
  <c r="AA103" i="239"/>
  <c r="Z103" i="239"/>
  <c r="U103" i="239"/>
  <c r="T103" i="239"/>
  <c r="S103" i="239"/>
  <c r="R103" i="239"/>
  <c r="Q103" i="239"/>
  <c r="P103" i="239"/>
  <c r="O103" i="239"/>
  <c r="N103" i="239"/>
  <c r="M103" i="239"/>
  <c r="L103" i="239"/>
  <c r="K103" i="239"/>
  <c r="J103" i="239"/>
  <c r="I103" i="239"/>
  <c r="H103" i="239"/>
  <c r="G103" i="239"/>
  <c r="AG102" i="239"/>
  <c r="AF102" i="239"/>
  <c r="AE102" i="239"/>
  <c r="AD102" i="239"/>
  <c r="AC102" i="239"/>
  <c r="AB102" i="239"/>
  <c r="AA102" i="239"/>
  <c r="Z102" i="239"/>
  <c r="U102" i="239"/>
  <c r="T102" i="239"/>
  <c r="S102" i="239"/>
  <c r="R102" i="239"/>
  <c r="Q102" i="239"/>
  <c r="P102" i="239"/>
  <c r="L34" i="210" s="1"/>
  <c r="N102" i="239"/>
  <c r="M102" i="239"/>
  <c r="L102" i="239"/>
  <c r="K102" i="239"/>
  <c r="J102" i="239"/>
  <c r="I102" i="239"/>
  <c r="H102" i="239"/>
  <c r="G102" i="239"/>
  <c r="AE101" i="239"/>
  <c r="AD101" i="239"/>
  <c r="AC101" i="239"/>
  <c r="AB101" i="239"/>
  <c r="AA101" i="239"/>
  <c r="Z101" i="239"/>
  <c r="K101" i="239"/>
  <c r="J101" i="239"/>
  <c r="I101" i="239"/>
  <c r="H101" i="239"/>
  <c r="G101" i="239"/>
  <c r="AG100" i="239"/>
  <c r="AF100" i="239"/>
  <c r="AD100" i="239"/>
  <c r="AC100" i="239"/>
  <c r="AB100" i="239"/>
  <c r="Z100" i="239"/>
  <c r="U100" i="239"/>
  <c r="T100" i="239"/>
  <c r="R100" i="239"/>
  <c r="Q100" i="239"/>
  <c r="P100" i="239"/>
  <c r="N100" i="239"/>
  <c r="M100" i="239"/>
  <c r="L100" i="239"/>
  <c r="AG98" i="239"/>
  <c r="AF98" i="239"/>
  <c r="AE98" i="239"/>
  <c r="AE100" i="239" s="1"/>
  <c r="AD98" i="239"/>
  <c r="AC98" i="239"/>
  <c r="AB98" i="239"/>
  <c r="AA98" i="239"/>
  <c r="AA100" i="239" s="1"/>
  <c r="Z98" i="239"/>
  <c r="U98" i="239"/>
  <c r="T98" i="239"/>
  <c r="S98" i="239"/>
  <c r="S100" i="239" s="1"/>
  <c r="R98" i="239"/>
  <c r="Q98" i="239"/>
  <c r="P98" i="239"/>
  <c r="O98" i="239"/>
  <c r="O100" i="239" s="1"/>
  <c r="N98" i="239"/>
  <c r="M98" i="239"/>
  <c r="L98" i="239"/>
  <c r="AG95" i="239"/>
  <c r="AF95" i="239"/>
  <c r="U95" i="239"/>
  <c r="T95" i="239"/>
  <c r="S95" i="239"/>
  <c r="R95" i="239"/>
  <c r="Q95" i="239"/>
  <c r="P95" i="239"/>
  <c r="O95" i="239"/>
  <c r="N95" i="239"/>
  <c r="M95" i="239"/>
  <c r="L95" i="239"/>
  <c r="T90" i="239"/>
  <c r="S90" i="239"/>
  <c r="R90" i="239"/>
  <c r="P90" i="239"/>
  <c r="O90" i="239"/>
  <c r="N90" i="239"/>
  <c r="L90" i="239"/>
  <c r="U88" i="239"/>
  <c r="U90" i="239" s="1"/>
  <c r="T88" i="239"/>
  <c r="S88" i="239"/>
  <c r="R88" i="239"/>
  <c r="Q88" i="239"/>
  <c r="Q90" i="239" s="1"/>
  <c r="P88" i="239"/>
  <c r="O88" i="239"/>
  <c r="N88" i="239"/>
  <c r="M88" i="239"/>
  <c r="M90" i="239" s="1"/>
  <c r="L88" i="239"/>
  <c r="U85" i="239"/>
  <c r="T85" i="239"/>
  <c r="S85" i="239"/>
  <c r="R85" i="239"/>
  <c r="Q85" i="239"/>
  <c r="P85" i="239"/>
  <c r="O85" i="239"/>
  <c r="N85" i="239"/>
  <c r="M85" i="239"/>
  <c r="L85" i="239"/>
  <c r="T80" i="239"/>
  <c r="S80" i="239"/>
  <c r="R80" i="239"/>
  <c r="N80" i="239"/>
  <c r="L80" i="239"/>
  <c r="U78" i="239"/>
  <c r="U80" i="239" s="1"/>
  <c r="T78" i="239"/>
  <c r="S78" i="239"/>
  <c r="R78" i="239"/>
  <c r="Q78" i="239"/>
  <c r="Q80" i="239" s="1"/>
  <c r="P78" i="239"/>
  <c r="P80" i="239" s="1"/>
  <c r="O78" i="239"/>
  <c r="O80" i="239" s="1"/>
  <c r="N78" i="239"/>
  <c r="M78" i="239"/>
  <c r="M80" i="239" s="1"/>
  <c r="L78" i="239"/>
  <c r="U75" i="239"/>
  <c r="T75" i="239"/>
  <c r="S75" i="239"/>
  <c r="R75" i="239"/>
  <c r="Q75" i="239"/>
  <c r="P75" i="239"/>
  <c r="O75" i="239"/>
  <c r="N75" i="239"/>
  <c r="M75" i="239"/>
  <c r="L75" i="239"/>
  <c r="M73" i="239"/>
  <c r="AG70" i="239"/>
  <c r="AF70" i="239"/>
  <c r="AE70" i="239"/>
  <c r="AC70" i="239"/>
  <c r="AB70" i="239"/>
  <c r="AA70" i="239"/>
  <c r="U70" i="239"/>
  <c r="T70" i="239"/>
  <c r="S70" i="239"/>
  <c r="Q70" i="239"/>
  <c r="O70" i="239"/>
  <c r="M70" i="239"/>
  <c r="L70" i="239"/>
  <c r="AG68" i="239"/>
  <c r="AF68" i="239"/>
  <c r="AE68" i="239"/>
  <c r="AD68" i="239"/>
  <c r="AD70" i="239" s="1"/>
  <c r="AC68" i="239"/>
  <c r="AB68" i="239"/>
  <c r="AA68" i="239"/>
  <c r="Z68" i="239"/>
  <c r="Z70" i="239" s="1"/>
  <c r="U68" i="239"/>
  <c r="T68" i="239"/>
  <c r="S68" i="239"/>
  <c r="R68" i="239"/>
  <c r="R70" i="239" s="1"/>
  <c r="Q68" i="239"/>
  <c r="P68" i="239"/>
  <c r="P70" i="239" s="1"/>
  <c r="O68" i="239"/>
  <c r="N68" i="239"/>
  <c r="N70" i="239" s="1"/>
  <c r="M68" i="239"/>
  <c r="L68" i="239"/>
  <c r="AG65" i="239"/>
  <c r="AG101" i="239" s="1"/>
  <c r="AF65" i="239"/>
  <c r="U65" i="239"/>
  <c r="T65" i="239"/>
  <c r="S65" i="239"/>
  <c r="R65" i="239"/>
  <c r="Q65" i="239"/>
  <c r="P65" i="239"/>
  <c r="O65" i="239"/>
  <c r="N65" i="239"/>
  <c r="M65" i="239"/>
  <c r="L65" i="239"/>
  <c r="AG60" i="239"/>
  <c r="AE60" i="239"/>
  <c r="AD60" i="239"/>
  <c r="AC60" i="239"/>
  <c r="AA60" i="239"/>
  <c r="Z60" i="239"/>
  <c r="U60" i="239"/>
  <c r="S60" i="239"/>
  <c r="R60" i="239"/>
  <c r="Q60" i="239"/>
  <c r="O60" i="239"/>
  <c r="N60" i="239"/>
  <c r="M60" i="239"/>
  <c r="AG58" i="239"/>
  <c r="AF58" i="239"/>
  <c r="AF60" i="239" s="1"/>
  <c r="AE58" i="239"/>
  <c r="AD58" i="239"/>
  <c r="AC58" i="239"/>
  <c r="AB58" i="239"/>
  <c r="AB60" i="239" s="1"/>
  <c r="AA58" i="239"/>
  <c r="Z58" i="239"/>
  <c r="U58" i="239"/>
  <c r="T58" i="239"/>
  <c r="T60" i="239" s="1"/>
  <c r="S58" i="239"/>
  <c r="R58" i="239"/>
  <c r="Q58" i="239"/>
  <c r="P58" i="239"/>
  <c r="P60" i="239" s="1"/>
  <c r="O58" i="239"/>
  <c r="N58" i="239"/>
  <c r="M58" i="239"/>
  <c r="L58" i="239"/>
  <c r="L60" i="239" s="1"/>
  <c r="AG55" i="239"/>
  <c r="AF55" i="239"/>
  <c r="U55" i="239"/>
  <c r="U101" i="239" s="1"/>
  <c r="T55" i="239"/>
  <c r="S55" i="239"/>
  <c r="R55" i="239"/>
  <c r="Q55" i="239"/>
  <c r="Q101" i="239" s="1"/>
  <c r="P55" i="239"/>
  <c r="O55" i="239"/>
  <c r="N55" i="239"/>
  <c r="M55" i="239"/>
  <c r="M101" i="239" s="1"/>
  <c r="AF50" i="239"/>
  <c r="AE50" i="239"/>
  <c r="AD50" i="239"/>
  <c r="AB50" i="239"/>
  <c r="AA50" i="239"/>
  <c r="Z50" i="239"/>
  <c r="T50" i="239"/>
  <c r="S50" i="239"/>
  <c r="R50" i="239"/>
  <c r="N50" i="239"/>
  <c r="L50" i="239"/>
  <c r="AG48" i="239"/>
  <c r="AG50" i="239" s="1"/>
  <c r="AF48" i="239"/>
  <c r="AE48" i="239"/>
  <c r="AD48" i="239"/>
  <c r="AC48" i="239"/>
  <c r="AC50" i="239" s="1"/>
  <c r="AB48" i="239"/>
  <c r="AA48" i="239"/>
  <c r="Z48" i="239"/>
  <c r="U48" i="239"/>
  <c r="U50" i="239" s="1"/>
  <c r="T48" i="239"/>
  <c r="S48" i="239"/>
  <c r="R48" i="239"/>
  <c r="Q48" i="239"/>
  <c r="Q50" i="239" s="1"/>
  <c r="P48" i="239"/>
  <c r="P50" i="239" s="1"/>
  <c r="O48" i="239"/>
  <c r="O50" i="239" s="1"/>
  <c r="N48" i="239"/>
  <c r="M48" i="239"/>
  <c r="M50" i="239" s="1"/>
  <c r="L48" i="239"/>
  <c r="AG45" i="239"/>
  <c r="AF45" i="239"/>
  <c r="U45" i="239"/>
  <c r="T45" i="239"/>
  <c r="S45" i="239"/>
  <c r="R45" i="239"/>
  <c r="Q45" i="239"/>
  <c r="P45" i="239"/>
  <c r="O45" i="239"/>
  <c r="N45" i="239"/>
  <c r="M45" i="239"/>
  <c r="L45" i="239"/>
  <c r="AG40" i="239"/>
  <c r="AF40" i="239"/>
  <c r="AD40" i="239"/>
  <c r="AC40" i="239"/>
  <c r="AB40" i="239"/>
  <c r="Z40" i="239"/>
  <c r="U40" i="239"/>
  <c r="T40" i="239"/>
  <c r="R40" i="239"/>
  <c r="Q40" i="239"/>
  <c r="N40" i="239"/>
  <c r="M40" i="239"/>
  <c r="L40" i="239"/>
  <c r="AG38" i="239"/>
  <c r="AF38" i="239"/>
  <c r="AE38" i="239"/>
  <c r="AE40" i="239" s="1"/>
  <c r="AD38" i="239"/>
  <c r="AC38" i="239"/>
  <c r="AB38" i="239"/>
  <c r="AA38" i="239"/>
  <c r="AA40" i="239" s="1"/>
  <c r="Z38" i="239"/>
  <c r="U38" i="239"/>
  <c r="T38" i="239"/>
  <c r="S38" i="239"/>
  <c r="S40" i="239" s="1"/>
  <c r="R38" i="239"/>
  <c r="Q38" i="239"/>
  <c r="P38" i="239"/>
  <c r="P40" i="239" s="1"/>
  <c r="O38" i="239"/>
  <c r="O40" i="239" s="1"/>
  <c r="N38" i="239"/>
  <c r="M38" i="239"/>
  <c r="L38" i="239"/>
  <c r="AG35" i="239"/>
  <c r="AF35" i="239"/>
  <c r="U35" i="239"/>
  <c r="T35" i="239"/>
  <c r="S35" i="239"/>
  <c r="R35" i="239"/>
  <c r="Q35" i="239"/>
  <c r="P35" i="239"/>
  <c r="O35" i="239"/>
  <c r="N35" i="239"/>
  <c r="M35" i="239"/>
  <c r="L35" i="239"/>
  <c r="AF30" i="239"/>
  <c r="AF106" i="239" s="1"/>
  <c r="AE30" i="239"/>
  <c r="AD30" i="239"/>
  <c r="AD106" i="239" s="1"/>
  <c r="AB30" i="239"/>
  <c r="AB106" i="239" s="1"/>
  <c r="AA30" i="239"/>
  <c r="Z30" i="239"/>
  <c r="Z106" i="239" s="1"/>
  <c r="T30" i="239"/>
  <c r="T106" i="239" s="1"/>
  <c r="S30" i="239"/>
  <c r="R30" i="239"/>
  <c r="P30" i="239"/>
  <c r="O30" i="239"/>
  <c r="N30" i="239"/>
  <c r="L30" i="239"/>
  <c r="L106" i="239" s="1"/>
  <c r="J106" i="239"/>
  <c r="H106" i="239"/>
  <c r="AG28" i="239"/>
  <c r="AG30" i="239" s="1"/>
  <c r="AG106" i="239" s="1"/>
  <c r="AF28" i="239"/>
  <c r="AE28" i="239"/>
  <c r="AE104" i="239" s="1"/>
  <c r="AD28" i="239"/>
  <c r="AD104" i="239" s="1"/>
  <c r="AC28" i="239"/>
  <c r="AC30" i="239" s="1"/>
  <c r="AC106" i="239" s="1"/>
  <c r="AB28" i="239"/>
  <c r="AA28" i="239"/>
  <c r="AA104" i="239" s="1"/>
  <c r="Z28" i="239"/>
  <c r="Z104" i="239" s="1"/>
  <c r="U28" i="239"/>
  <c r="U30" i="239" s="1"/>
  <c r="U106" i="239" s="1"/>
  <c r="T28" i="239"/>
  <c r="S28" i="239"/>
  <c r="S104" i="239" s="1"/>
  <c r="R28" i="239"/>
  <c r="R104" i="239" s="1"/>
  <c r="Q28" i="239"/>
  <c r="Q30" i="239" s="1"/>
  <c r="Q106" i="239" s="1"/>
  <c r="P28" i="239"/>
  <c r="O28" i="239"/>
  <c r="N28" i="239"/>
  <c r="N104" i="239" s="1"/>
  <c r="M28" i="239"/>
  <c r="M30" i="239" s="1"/>
  <c r="M106" i="239" s="1"/>
  <c r="L28" i="239"/>
  <c r="K104" i="239"/>
  <c r="J104" i="239"/>
  <c r="I106" i="239"/>
  <c r="G104" i="239"/>
  <c r="AG25" i="239"/>
  <c r="AF25" i="239"/>
  <c r="AF101" i="239" s="1"/>
  <c r="U25" i="239"/>
  <c r="T25" i="239"/>
  <c r="T101" i="239" s="1"/>
  <c r="S25" i="239"/>
  <c r="S101" i="239" s="1"/>
  <c r="R25" i="239"/>
  <c r="R101" i="239" s="1"/>
  <c r="Q25" i="239"/>
  <c r="P25" i="239"/>
  <c r="O25" i="239"/>
  <c r="N25" i="239"/>
  <c r="N101" i="239" s="1"/>
  <c r="M25" i="239"/>
  <c r="L25" i="239"/>
  <c r="L101" i="239" s="1"/>
  <c r="P106" i="239" l="1"/>
  <c r="P101" i="239"/>
  <c r="O101" i="239"/>
  <c r="G199" i="239"/>
  <c r="I199" i="239"/>
  <c r="O199" i="239"/>
  <c r="J199" i="239"/>
  <c r="M197" i="239"/>
  <c r="M123" i="239"/>
  <c r="M199" i="239" s="1"/>
  <c r="K199" i="239"/>
  <c r="L197" i="239"/>
  <c r="L194" i="239"/>
  <c r="P194" i="239"/>
  <c r="J197" i="239"/>
  <c r="M194" i="239"/>
  <c r="G197" i="239"/>
  <c r="K197" i="239"/>
  <c r="O197" i="239"/>
  <c r="N121" i="239"/>
  <c r="H123" i="239"/>
  <c r="H199" i="239" s="1"/>
  <c r="L123" i="239"/>
  <c r="L199" i="239" s="1"/>
  <c r="P123" i="239"/>
  <c r="P199" i="239" s="1"/>
  <c r="K106" i="239"/>
  <c r="AE106" i="239"/>
  <c r="G106" i="239"/>
  <c r="R106" i="239"/>
  <c r="AA106" i="239"/>
  <c r="N106" i="239"/>
  <c r="S106" i="239"/>
  <c r="H104" i="239"/>
  <c r="P104" i="239"/>
  <c r="AB104" i="239"/>
  <c r="I104" i="239"/>
  <c r="Q104" i="239"/>
  <c r="U104" i="239"/>
  <c r="AC104" i="239"/>
  <c r="AG104" i="239"/>
  <c r="L104" i="239"/>
  <c r="T104" i="239"/>
  <c r="AF104" i="239"/>
  <c r="M104" i="239"/>
  <c r="N123" i="239" l="1"/>
  <c r="N199" i="239" s="1"/>
  <c r="N197" i="239"/>
  <c r="N37" i="218" l="1"/>
  <c r="E22" i="223" l="1"/>
  <c r="E24" i="223" s="1"/>
  <c r="C22" i="223"/>
  <c r="C24" i="223" s="1"/>
  <c r="C18" i="223"/>
  <c r="C72" i="217" l="1"/>
  <c r="D66" i="217" s="1"/>
  <c r="D72" i="217" s="1"/>
  <c r="E66" i="217" s="1"/>
  <c r="E72" i="217" s="1"/>
  <c r="F66" i="217" s="1"/>
  <c r="F72" i="217" s="1"/>
  <c r="G66" i="217" s="1"/>
  <c r="G72" i="217" s="1"/>
  <c r="C64" i="217"/>
  <c r="D58" i="217" s="1"/>
  <c r="D64" i="217" s="1"/>
  <c r="E58" i="217" s="1"/>
  <c r="E64" i="217" s="1"/>
  <c r="F58" i="217" s="1"/>
  <c r="F64" i="217" s="1"/>
  <c r="G58" i="217" s="1"/>
  <c r="G64" i="217" s="1"/>
  <c r="C56" i="217"/>
  <c r="D50" i="217" s="1"/>
  <c r="D56" i="217" s="1"/>
  <c r="E50" i="217" s="1"/>
  <c r="E56" i="217" s="1"/>
  <c r="F50" i="217" s="1"/>
  <c r="F56" i="217" s="1"/>
  <c r="G50" i="217" s="1"/>
  <c r="G56" i="217" s="1"/>
  <c r="E9" i="235" l="1"/>
  <c r="E8" i="187"/>
  <c r="B9" i="242"/>
  <c r="B9" i="228" l="1"/>
  <c r="C26" i="228" l="1"/>
  <c r="I26" i="228"/>
  <c r="H26" i="228"/>
  <c r="G26" i="228"/>
  <c r="F26" i="228"/>
  <c r="E26" i="228"/>
  <c r="D26" i="228"/>
  <c r="I62" i="228"/>
  <c r="H62" i="228"/>
  <c r="G62" i="228"/>
  <c r="F62" i="228"/>
  <c r="E62" i="228"/>
  <c r="I46" i="228"/>
  <c r="H46" i="228"/>
  <c r="G46" i="228"/>
  <c r="F46" i="228"/>
  <c r="E46" i="228"/>
  <c r="B10" i="94" l="1"/>
  <c r="B9" i="94"/>
  <c r="Q48" i="221" l="1"/>
  <c r="P48" i="221"/>
  <c r="O48" i="221"/>
  <c r="N48" i="221"/>
  <c r="M48" i="221"/>
  <c r="L48" i="221"/>
  <c r="K48" i="221"/>
  <c r="J48" i="221"/>
  <c r="I48" i="221"/>
  <c r="H48" i="221"/>
  <c r="G48" i="221"/>
  <c r="F48" i="221"/>
  <c r="E48" i="221"/>
  <c r="D48" i="221"/>
  <c r="C48" i="221"/>
  <c r="Q47" i="221"/>
  <c r="P47" i="221"/>
  <c r="O47" i="221"/>
  <c r="N47" i="221"/>
  <c r="M47" i="221"/>
  <c r="L47" i="221"/>
  <c r="K47" i="221"/>
  <c r="J47" i="221"/>
  <c r="I47" i="221"/>
  <c r="H47" i="221"/>
  <c r="G47" i="221"/>
  <c r="F47" i="221"/>
  <c r="E47" i="221"/>
  <c r="D47" i="221"/>
  <c r="C47" i="221"/>
  <c r="Q46" i="221"/>
  <c r="P46" i="221"/>
  <c r="O46" i="221"/>
  <c r="N46" i="221"/>
  <c r="M46" i="221"/>
  <c r="L46" i="221"/>
  <c r="K46" i="221"/>
  <c r="J46" i="221"/>
  <c r="I46" i="221"/>
  <c r="H46" i="221"/>
  <c r="G46" i="221"/>
  <c r="F46" i="221"/>
  <c r="E46" i="221"/>
  <c r="D46" i="221"/>
  <c r="C46" i="221"/>
  <c r="Q45" i="221"/>
  <c r="P45" i="221"/>
  <c r="O45" i="221"/>
  <c r="N45" i="221"/>
  <c r="M45" i="221"/>
  <c r="L45" i="221"/>
  <c r="K45" i="221"/>
  <c r="J45" i="221"/>
  <c r="I45" i="221"/>
  <c r="H45" i="221"/>
  <c r="G45" i="221"/>
  <c r="E45" i="221"/>
  <c r="D45" i="221"/>
  <c r="C45" i="221"/>
  <c r="Q44" i="221"/>
  <c r="P44" i="221"/>
  <c r="O44" i="221"/>
  <c r="N44" i="221"/>
  <c r="M44" i="221"/>
  <c r="L44" i="221"/>
  <c r="K44" i="221"/>
  <c r="J44" i="221"/>
  <c r="I44" i="221"/>
  <c r="H44" i="221"/>
  <c r="G44" i="221"/>
  <c r="E44" i="221"/>
  <c r="D44" i="221"/>
  <c r="C44" i="221"/>
  <c r="C23" i="221"/>
  <c r="C48" i="246" l="1"/>
  <c r="L97" i="243" l="1"/>
  <c r="K97" i="243"/>
  <c r="J97" i="243"/>
  <c r="I97" i="243"/>
  <c r="H97" i="243"/>
  <c r="G97" i="243"/>
  <c r="F97" i="243"/>
  <c r="E97" i="243"/>
  <c r="D97" i="243"/>
  <c r="C97" i="243"/>
  <c r="L90" i="243"/>
  <c r="K90" i="243"/>
  <c r="J90" i="243"/>
  <c r="I90" i="243"/>
  <c r="H90" i="243"/>
  <c r="G90" i="243"/>
  <c r="F90" i="243"/>
  <c r="E90" i="243"/>
  <c r="D90" i="243"/>
  <c r="C90" i="243"/>
  <c r="L80" i="243"/>
  <c r="K80" i="243"/>
  <c r="J80" i="243"/>
  <c r="J91" i="243" s="1"/>
  <c r="J98" i="243" s="1"/>
  <c r="I80" i="243"/>
  <c r="I91" i="243" s="1"/>
  <c r="I98" i="243" s="1"/>
  <c r="H80" i="243"/>
  <c r="G80" i="243"/>
  <c r="F80" i="243"/>
  <c r="F91" i="243" s="1"/>
  <c r="F98" i="243" s="1"/>
  <c r="E80" i="243"/>
  <c r="E91" i="243" s="1"/>
  <c r="E98" i="243" s="1"/>
  <c r="D80" i="243"/>
  <c r="C80" i="243"/>
  <c r="AB55" i="243"/>
  <c r="AB56" i="243" s="1"/>
  <c r="AA55" i="243"/>
  <c r="AA56" i="243" s="1"/>
  <c r="Z55" i="243"/>
  <c r="Z56" i="243" s="1"/>
  <c r="Y55" i="243"/>
  <c r="Y56" i="243" s="1"/>
  <c r="X55" i="243"/>
  <c r="X56" i="243" s="1"/>
  <c r="W55" i="243"/>
  <c r="W56" i="243" s="1"/>
  <c r="V55" i="243"/>
  <c r="V56" i="243" s="1"/>
  <c r="U55" i="243"/>
  <c r="U56" i="243" s="1"/>
  <c r="AB48" i="243"/>
  <c r="AA48" i="243"/>
  <c r="Z48" i="243"/>
  <c r="Y48" i="243"/>
  <c r="X48" i="243"/>
  <c r="W48" i="243"/>
  <c r="V48" i="243"/>
  <c r="U48" i="243"/>
  <c r="Q47" i="243"/>
  <c r="P47" i="243"/>
  <c r="O47" i="243"/>
  <c r="N47" i="243"/>
  <c r="M47" i="243"/>
  <c r="L47" i="243"/>
  <c r="K47" i="243"/>
  <c r="J47" i="243"/>
  <c r="I47" i="243"/>
  <c r="H47" i="243"/>
  <c r="G47" i="243"/>
  <c r="F47" i="243"/>
  <c r="E47" i="243"/>
  <c r="D47" i="243"/>
  <c r="C47" i="243"/>
  <c r="Q37" i="243"/>
  <c r="P37" i="243"/>
  <c r="O37" i="243"/>
  <c r="N37" i="243"/>
  <c r="M37" i="243"/>
  <c r="L37" i="243"/>
  <c r="K37" i="243"/>
  <c r="J37" i="243"/>
  <c r="I37" i="243"/>
  <c r="H37" i="243"/>
  <c r="G37" i="243"/>
  <c r="F37" i="243"/>
  <c r="E37" i="243"/>
  <c r="E48" i="243" s="1"/>
  <c r="D37" i="243"/>
  <c r="C37" i="243"/>
  <c r="L97" i="218"/>
  <c r="K97" i="218"/>
  <c r="J97" i="218"/>
  <c r="I97" i="218"/>
  <c r="H97" i="218"/>
  <c r="G97" i="218"/>
  <c r="F97" i="218"/>
  <c r="E97" i="218"/>
  <c r="D97" i="218"/>
  <c r="C97" i="218"/>
  <c r="L90" i="218"/>
  <c r="K90" i="218"/>
  <c r="J90" i="218"/>
  <c r="I90" i="218"/>
  <c r="H90" i="218"/>
  <c r="G90" i="218"/>
  <c r="F90" i="218"/>
  <c r="E90" i="218"/>
  <c r="D90" i="218"/>
  <c r="C90" i="218"/>
  <c r="L80" i="218"/>
  <c r="L91" i="218" s="1"/>
  <c r="L98" i="218" s="1"/>
  <c r="K80" i="218"/>
  <c r="J80" i="218"/>
  <c r="I80" i="218"/>
  <c r="I91" i="218" s="1"/>
  <c r="I98" i="218" s="1"/>
  <c r="H80" i="218"/>
  <c r="H91" i="218" s="1"/>
  <c r="H98" i="218" s="1"/>
  <c r="G80" i="218"/>
  <c r="F80" i="218"/>
  <c r="E80" i="218"/>
  <c r="E91" i="218" s="1"/>
  <c r="E98" i="218" s="1"/>
  <c r="D80" i="218"/>
  <c r="D91" i="218" s="1"/>
  <c r="D98" i="218" s="1"/>
  <c r="C80" i="218"/>
  <c r="C47" i="218"/>
  <c r="Q47" i="218"/>
  <c r="P47" i="218"/>
  <c r="O47" i="218"/>
  <c r="N47" i="218"/>
  <c r="M47" i="218"/>
  <c r="L47" i="218"/>
  <c r="K47" i="218"/>
  <c r="J47" i="218"/>
  <c r="I47" i="218"/>
  <c r="H47" i="218"/>
  <c r="E47" i="218"/>
  <c r="D47" i="218"/>
  <c r="G47" i="218"/>
  <c r="F47" i="218"/>
  <c r="Q37" i="218"/>
  <c r="P37" i="218"/>
  <c r="O37" i="218"/>
  <c r="M37" i="218"/>
  <c r="L37" i="218"/>
  <c r="K37" i="218"/>
  <c r="J37" i="218"/>
  <c r="I37" i="218"/>
  <c r="I48" i="218" s="1"/>
  <c r="I56" i="218" s="1"/>
  <c r="I29" i="220" s="1"/>
  <c r="H37" i="218"/>
  <c r="H48" i="218" s="1"/>
  <c r="E37" i="218"/>
  <c r="F37" i="218"/>
  <c r="F48" i="218" s="1"/>
  <c r="D37" i="218"/>
  <c r="G37" i="218"/>
  <c r="C37" i="218"/>
  <c r="P48" i="218" l="1"/>
  <c r="L48" i="218"/>
  <c r="Q48" i="218"/>
  <c r="M48" i="218"/>
  <c r="I48" i="243"/>
  <c r="I56" i="243" s="1"/>
  <c r="M48" i="243"/>
  <c r="M56" i="243" s="1"/>
  <c r="G48" i="218"/>
  <c r="G56" i="218" s="1"/>
  <c r="G24" i="220" s="1"/>
  <c r="G48" i="243"/>
  <c r="G56" i="243" s="1"/>
  <c r="O48" i="243"/>
  <c r="O56" i="243" s="1"/>
  <c r="F56" i="218"/>
  <c r="F24" i="220" s="1"/>
  <c r="J48" i="218"/>
  <c r="N48" i="218"/>
  <c r="F91" i="218"/>
  <c r="F98" i="218" s="1"/>
  <c r="J91" i="218"/>
  <c r="J98" i="218" s="1"/>
  <c r="C91" i="243"/>
  <c r="C98" i="243" s="1"/>
  <c r="G91" i="243"/>
  <c r="G98" i="243" s="1"/>
  <c r="K91" i="243"/>
  <c r="K98" i="243" s="1"/>
  <c r="C48" i="243"/>
  <c r="C56" i="243" s="1"/>
  <c r="K48" i="243"/>
  <c r="K56" i="243" s="1"/>
  <c r="C48" i="218"/>
  <c r="C56" i="218" s="1"/>
  <c r="C24" i="220" s="1"/>
  <c r="E48" i="218"/>
  <c r="E56" i="218" s="1"/>
  <c r="E24" i="220" s="1"/>
  <c r="K48" i="218"/>
  <c r="O48" i="218"/>
  <c r="C91" i="218"/>
  <c r="C98" i="218" s="1"/>
  <c r="G91" i="218"/>
  <c r="G98" i="218" s="1"/>
  <c r="K91" i="218"/>
  <c r="K98" i="218" s="1"/>
  <c r="E56" i="243"/>
  <c r="D91" i="243"/>
  <c r="D98" i="243" s="1"/>
  <c r="H91" i="243"/>
  <c r="H98" i="243" s="1"/>
  <c r="L91" i="243"/>
  <c r="L98" i="243" s="1"/>
  <c r="Q48" i="243"/>
  <c r="Q56" i="243" s="1"/>
  <c r="D48" i="218"/>
  <c r="D56" i="218" s="1"/>
  <c r="D24" i="220" s="1"/>
  <c r="D48" i="243"/>
  <c r="D56" i="243" s="1"/>
  <c r="F48" i="243"/>
  <c r="F56" i="243" s="1"/>
  <c r="H48" i="243"/>
  <c r="H56" i="243" s="1"/>
  <c r="J48" i="243"/>
  <c r="J56" i="243" s="1"/>
  <c r="L48" i="243"/>
  <c r="L56" i="243" s="1"/>
  <c r="N48" i="243"/>
  <c r="N56" i="243" s="1"/>
  <c r="P48" i="243"/>
  <c r="P56" i="243" s="1"/>
  <c r="M25" i="217" l="1"/>
  <c r="L25" i="217"/>
  <c r="K25" i="217"/>
  <c r="M24" i="217"/>
  <c r="M30" i="217" s="1"/>
  <c r="L24" i="217"/>
  <c r="L30" i="217" s="1"/>
  <c r="K24" i="217"/>
  <c r="M23" i="217"/>
  <c r="L23" i="217"/>
  <c r="L29" i="217" s="1"/>
  <c r="K23" i="217"/>
  <c r="K29" i="217" s="1"/>
  <c r="M22" i="217"/>
  <c r="L22" i="217"/>
  <c r="K22" i="217"/>
  <c r="K30" i="217" s="1"/>
  <c r="M21" i="217"/>
  <c r="M27" i="217" s="1"/>
  <c r="L21" i="217"/>
  <c r="K21" i="217"/>
  <c r="K20" i="217"/>
  <c r="G25" i="217"/>
  <c r="E25" i="217"/>
  <c r="D25" i="217"/>
  <c r="G24" i="217"/>
  <c r="E24" i="217"/>
  <c r="D24" i="217"/>
  <c r="G23" i="217"/>
  <c r="E23" i="217"/>
  <c r="D23" i="217"/>
  <c r="G22" i="217"/>
  <c r="E22" i="217"/>
  <c r="D22" i="217"/>
  <c r="G21" i="217"/>
  <c r="E21" i="217"/>
  <c r="D21" i="217"/>
  <c r="C25" i="217"/>
  <c r="C24" i="217"/>
  <c r="C23" i="217"/>
  <c r="C22" i="217"/>
  <c r="C20" i="217"/>
  <c r="C21" i="217"/>
  <c r="B41" i="217"/>
  <c r="B40" i="217"/>
  <c r="B39" i="217"/>
  <c r="B38" i="217"/>
  <c r="B37" i="217"/>
  <c r="B36" i="217"/>
  <c r="B35" i="217"/>
  <c r="B34" i="217"/>
  <c r="B33" i="217"/>
  <c r="B32" i="217"/>
  <c r="B82" i="201"/>
  <c r="B81" i="201"/>
  <c r="B80" i="201"/>
  <c r="B79" i="201"/>
  <c r="B78" i="201"/>
  <c r="B77" i="201"/>
  <c r="B76" i="201"/>
  <c r="B75" i="201"/>
  <c r="B74" i="201"/>
  <c r="B73" i="201"/>
  <c r="B48" i="201"/>
  <c r="B47" i="201"/>
  <c r="B46" i="201"/>
  <c r="B45" i="201"/>
  <c r="B44" i="201"/>
  <c r="B43" i="201"/>
  <c r="B42" i="201"/>
  <c r="B41" i="201"/>
  <c r="B40" i="201"/>
  <c r="B39" i="201"/>
  <c r="C30" i="217" l="1"/>
  <c r="G30" i="217"/>
  <c r="F27" i="217"/>
  <c r="F30" i="217"/>
  <c r="E30" i="217"/>
  <c r="D30" i="217"/>
  <c r="E27" i="217"/>
  <c r="D27" i="217"/>
  <c r="C29" i="217"/>
  <c r="G27" i="217"/>
  <c r="F29" i="217"/>
  <c r="C27" i="217"/>
  <c r="D29" i="217"/>
  <c r="K27" i="217"/>
  <c r="M29" i="217"/>
  <c r="G29" i="217"/>
  <c r="E29" i="217"/>
  <c r="L27" i="217"/>
  <c r="C2" i="246"/>
  <c r="C1" i="246"/>
  <c r="B2" i="224"/>
  <c r="B1" i="224"/>
  <c r="B2" i="222"/>
  <c r="B1" i="222"/>
  <c r="B2" i="232"/>
  <c r="B1" i="232"/>
  <c r="B2" i="231"/>
  <c r="B1" i="231"/>
  <c r="B2" i="230"/>
  <c r="B1" i="230"/>
  <c r="B2" i="234"/>
  <c r="B1" i="234"/>
  <c r="B2" i="190"/>
  <c r="B1" i="190"/>
  <c r="B2" i="245"/>
  <c r="B1" i="245"/>
  <c r="B2" i="221"/>
  <c r="B1" i="221"/>
  <c r="B2" i="220"/>
  <c r="B1" i="220"/>
  <c r="B2" i="228"/>
  <c r="B1" i="228"/>
  <c r="B2" i="243"/>
  <c r="B1" i="243"/>
  <c r="B2" i="218"/>
  <c r="B1" i="218"/>
  <c r="B2" i="94"/>
  <c r="B1" i="94"/>
  <c r="C2" i="233"/>
  <c r="C1" i="233"/>
  <c r="B2" i="217"/>
  <c r="B1" i="217"/>
  <c r="B2" i="201"/>
  <c r="B1" i="201"/>
  <c r="B2" i="223"/>
  <c r="B1" i="223"/>
  <c r="B2" i="210"/>
  <c r="B1" i="210"/>
  <c r="E2" i="239"/>
  <c r="E1" i="239"/>
  <c r="E2" i="235"/>
  <c r="E1" i="235"/>
  <c r="B2" i="206"/>
  <c r="B1" i="206"/>
  <c r="E2" i="238"/>
  <c r="E1" i="238"/>
  <c r="E2" i="187"/>
  <c r="E1" i="187"/>
  <c r="E2" i="205"/>
  <c r="E1" i="205"/>
  <c r="B2" i="242"/>
  <c r="B1" i="242"/>
  <c r="B2" i="237"/>
  <c r="B1" i="237"/>
  <c r="C2" i="216"/>
  <c r="C1" i="216"/>
  <c r="I66" i="248"/>
  <c r="C82" i="247"/>
  <c r="C81" i="247"/>
  <c r="C77" i="247"/>
  <c r="C78" i="247" s="1"/>
  <c r="C74" i="247"/>
  <c r="C75" i="247" s="1"/>
  <c r="C71" i="247"/>
  <c r="C70" i="247"/>
  <c r="C69" i="247"/>
  <c r="C66" i="247"/>
  <c r="C64" i="247"/>
  <c r="C62" i="247"/>
  <c r="C58" i="247"/>
  <c r="C56" i="247"/>
  <c r="C55" i="247"/>
  <c r="C15" i="247"/>
  <c r="B2" i="247"/>
  <c r="B1" i="247"/>
  <c r="C73" i="247"/>
  <c r="K66" i="248" l="1"/>
  <c r="K67" i="248" s="1"/>
  <c r="K68" i="248" s="1"/>
  <c r="K69" i="248" s="1"/>
  <c r="K70" i="248" s="1"/>
  <c r="K71" i="248" s="1"/>
  <c r="K72" i="248" s="1"/>
  <c r="K73" i="248" s="1"/>
  <c r="K74" i="248" s="1"/>
  <c r="K75" i="248" s="1"/>
  <c r="K76" i="248" s="1"/>
  <c r="K77" i="248" s="1"/>
  <c r="K78" i="248" s="1"/>
  <c r="K79" i="248" s="1"/>
  <c r="K80" i="248" s="1"/>
  <c r="I67" i="248"/>
  <c r="B28" i="223"/>
  <c r="B12" i="223"/>
  <c r="C80" i="247" l="1"/>
  <c r="E54" i="248" s="1"/>
  <c r="C79" i="247"/>
  <c r="C38" i="247" s="1"/>
  <c r="D35" i="247"/>
  <c r="I68" i="248"/>
  <c r="D416" i="206" l="1"/>
  <c r="I258" i="206"/>
  <c r="I67" i="206"/>
  <c r="I170" i="206"/>
  <c r="I118" i="206"/>
  <c r="L133" i="235"/>
  <c r="L20" i="235"/>
  <c r="I50" i="206"/>
  <c r="I23" i="206"/>
  <c r="L19" i="238"/>
  <c r="AC108" i="187"/>
  <c r="L108" i="187"/>
  <c r="AC21" i="187"/>
  <c r="Y239" i="242"/>
  <c r="L19" i="205"/>
  <c r="D385" i="206"/>
  <c r="H239" i="242"/>
  <c r="H59" i="242"/>
  <c r="Y21" i="242"/>
  <c r="H21" i="242"/>
  <c r="L69" i="205"/>
  <c r="L189" i="238"/>
  <c r="L21" i="187"/>
  <c r="D429" i="206"/>
  <c r="Y59" i="242"/>
  <c r="H83" i="222"/>
  <c r="Z19" i="211"/>
  <c r="H19" i="211"/>
  <c r="J17" i="254"/>
  <c r="J17" i="256"/>
  <c r="J17" i="255"/>
  <c r="J17" i="253"/>
  <c r="C63" i="247"/>
  <c r="G41" i="247"/>
  <c r="F41" i="247" s="1"/>
  <c r="E41" i="247" s="1"/>
  <c r="D41" i="247" s="1"/>
  <c r="C41" i="247" s="1"/>
  <c r="I19" i="190"/>
  <c r="L113" i="239"/>
  <c r="F70" i="233"/>
  <c r="F51" i="233"/>
  <c r="F42" i="233"/>
  <c r="G46" i="248"/>
  <c r="D38" i="247"/>
  <c r="I69" i="248"/>
  <c r="E35" i="247"/>
  <c r="B292" i="206" l="1"/>
  <c r="L168" i="206"/>
  <c r="D116" i="206"/>
  <c r="W106" i="187"/>
  <c r="O18" i="235"/>
  <c r="L256" i="206"/>
  <c r="L65" i="206"/>
  <c r="O17" i="205"/>
  <c r="Y237" i="242"/>
  <c r="Y57" i="242"/>
  <c r="AC19" i="187"/>
  <c r="G67" i="205"/>
  <c r="S237" i="242"/>
  <c r="R17" i="238"/>
  <c r="O106" i="187"/>
  <c r="W19" i="187"/>
  <c r="K237" i="242"/>
  <c r="K57" i="242"/>
  <c r="G131" i="235"/>
  <c r="L48" i="206"/>
  <c r="G187" i="238"/>
  <c r="O19" i="187"/>
  <c r="R17" i="205"/>
  <c r="AC106" i="187"/>
  <c r="S57" i="242"/>
  <c r="U17" i="211"/>
  <c r="K17" i="211"/>
  <c r="M20" i="235"/>
  <c r="G385" i="206"/>
  <c r="J50" i="206"/>
  <c r="M19" i="238"/>
  <c r="M108" i="187"/>
  <c r="M133" i="235"/>
  <c r="G429" i="206"/>
  <c r="J118" i="206"/>
  <c r="M69" i="205"/>
  <c r="M19" i="205"/>
  <c r="Z59" i="242"/>
  <c r="I59" i="242"/>
  <c r="Z21" i="242"/>
  <c r="J170" i="206"/>
  <c r="J67" i="206"/>
  <c r="M189" i="238"/>
  <c r="M21" i="187"/>
  <c r="I239" i="242"/>
  <c r="I21" i="242"/>
  <c r="G416" i="206"/>
  <c r="J258" i="206"/>
  <c r="J23" i="206"/>
  <c r="AD108" i="187"/>
  <c r="AD21" i="187"/>
  <c r="Z239" i="242"/>
  <c r="I83" i="222"/>
  <c r="AA19" i="211"/>
  <c r="I19" i="211"/>
  <c r="G133" i="235" a="1"/>
  <c r="G189" i="238" a="1"/>
  <c r="D50" i="206" a="1"/>
  <c r="G108" i="187" a="1"/>
  <c r="G21" i="187" a="1"/>
  <c r="G69" i="205" a="1"/>
  <c r="S239" i="242" a="1"/>
  <c r="D118" i="206" a="1"/>
  <c r="C21" i="242" a="1"/>
  <c r="G20" i="235" a="1"/>
  <c r="D258" i="206" a="1"/>
  <c r="G19" i="205" a="1"/>
  <c r="S59" i="242" a="1"/>
  <c r="C59" i="242" a="1"/>
  <c r="D170" i="206" a="1"/>
  <c r="D67" i="206" a="1"/>
  <c r="G19" i="238" a="1"/>
  <c r="D23" i="206" a="1"/>
  <c r="W108" i="187" a="1"/>
  <c r="W21" i="187" a="1"/>
  <c r="C239" i="242" a="1"/>
  <c r="S21" i="242" a="1"/>
  <c r="C83" i="222" a="1"/>
  <c r="C19" i="211" a="1"/>
  <c r="U19" i="211" a="1"/>
  <c r="L41" i="221"/>
  <c r="J15" i="245"/>
  <c r="G111" i="239"/>
  <c r="K17" i="256"/>
  <c r="K17" i="255"/>
  <c r="K17" i="254"/>
  <c r="K17" i="253"/>
  <c r="E51" i="228"/>
  <c r="E17" i="254" a="1"/>
  <c r="E17" i="256" a="1"/>
  <c r="E17" i="253" a="1"/>
  <c r="E17" i="255" a="1"/>
  <c r="F24" i="246"/>
  <c r="C17" i="228"/>
  <c r="L28" i="221"/>
  <c r="E30" i="228"/>
  <c r="E38" i="247"/>
  <c r="J19" i="190"/>
  <c r="M113" i="239"/>
  <c r="D19" i="190" a="1"/>
  <c r="G113" i="239" a="1"/>
  <c r="G42" i="233"/>
  <c r="G70" i="233"/>
  <c r="G51" i="233"/>
  <c r="F35" i="247"/>
  <c r="I70" i="248"/>
  <c r="C76" i="247"/>
  <c r="K170" i="206" l="1"/>
  <c r="K118" i="206"/>
  <c r="K23" i="206"/>
  <c r="AE108" i="187"/>
  <c r="J416" i="206"/>
  <c r="K258" i="206"/>
  <c r="K67" i="206"/>
  <c r="J429" i="206"/>
  <c r="J239" i="242"/>
  <c r="J59" i="242"/>
  <c r="AA21" i="242"/>
  <c r="J21" i="242"/>
  <c r="J385" i="206"/>
  <c r="N189" i="238"/>
  <c r="AE21" i="187"/>
  <c r="AA239" i="242"/>
  <c r="N133" i="235"/>
  <c r="N20" i="235"/>
  <c r="K50" i="206"/>
  <c r="N19" i="238"/>
  <c r="N108" i="187"/>
  <c r="N69" i="205"/>
  <c r="N19" i="205"/>
  <c r="AA59" i="242"/>
  <c r="N21" i="187"/>
  <c r="J83" i="222"/>
  <c r="AB19" i="211"/>
  <c r="J19" i="211"/>
  <c r="W19" i="211"/>
  <c r="X19" i="211"/>
  <c r="V19" i="211"/>
  <c r="U19" i="211"/>
  <c r="Y19" i="211"/>
  <c r="F239" i="242"/>
  <c r="E239" i="242"/>
  <c r="D239" i="242"/>
  <c r="C239" i="242"/>
  <c r="G239" i="242"/>
  <c r="H19" i="238"/>
  <c r="I19" i="238"/>
  <c r="K19" i="238"/>
  <c r="G19" i="238"/>
  <c r="J19" i="238"/>
  <c r="U59" i="242"/>
  <c r="W59" i="242"/>
  <c r="V59" i="242"/>
  <c r="S59" i="242"/>
  <c r="T59" i="242"/>
  <c r="G21" i="242"/>
  <c r="D21" i="242"/>
  <c r="E21" i="242"/>
  <c r="F21" i="242"/>
  <c r="C21" i="242"/>
  <c r="J21" i="187"/>
  <c r="K21" i="187"/>
  <c r="I21" i="187"/>
  <c r="H21" i="187"/>
  <c r="G21" i="187"/>
  <c r="J133" i="235"/>
  <c r="K133" i="235"/>
  <c r="H133" i="235"/>
  <c r="G133" i="235"/>
  <c r="I133" i="235"/>
  <c r="P118" i="187"/>
  <c r="P148" i="187"/>
  <c r="P149" i="187" s="1"/>
  <c r="P129" i="187"/>
  <c r="F19" i="211"/>
  <c r="G19" i="211"/>
  <c r="E19" i="211"/>
  <c r="D19" i="211"/>
  <c r="C19" i="211"/>
  <c r="Y21" i="187"/>
  <c r="X21" i="187"/>
  <c r="Z21" i="187"/>
  <c r="AA21" i="187"/>
  <c r="W21" i="187"/>
  <c r="G67" i="206"/>
  <c r="D67" i="206"/>
  <c r="F67" i="206"/>
  <c r="E67" i="206"/>
  <c r="H67" i="206"/>
  <c r="J19" i="205"/>
  <c r="H19" i="205"/>
  <c r="K19" i="205"/>
  <c r="I19" i="205"/>
  <c r="G19" i="205"/>
  <c r="G118" i="206"/>
  <c r="F118" i="206"/>
  <c r="H118" i="206"/>
  <c r="D118" i="206"/>
  <c r="E118" i="206"/>
  <c r="J108" i="187"/>
  <c r="H108" i="187"/>
  <c r="I108" i="187"/>
  <c r="G108" i="187"/>
  <c r="K108" i="187"/>
  <c r="E83" i="222"/>
  <c r="F83" i="222"/>
  <c r="C83" i="222"/>
  <c r="G83" i="222"/>
  <c r="D83" i="222"/>
  <c r="Y108" i="187"/>
  <c r="X108" i="187"/>
  <c r="W108" i="187"/>
  <c r="AA108" i="187"/>
  <c r="Z108" i="187"/>
  <c r="G170" i="206"/>
  <c r="F170" i="206"/>
  <c r="D170" i="206"/>
  <c r="E170" i="206"/>
  <c r="H170" i="206"/>
  <c r="G258" i="206"/>
  <c r="D258" i="206"/>
  <c r="F258" i="206"/>
  <c r="H258" i="206"/>
  <c r="E258" i="206"/>
  <c r="V239" i="242"/>
  <c r="T239" i="242"/>
  <c r="W239" i="242"/>
  <c r="S239" i="242"/>
  <c r="U239" i="242"/>
  <c r="G50" i="206"/>
  <c r="E50" i="206"/>
  <c r="H50" i="206"/>
  <c r="F50" i="206"/>
  <c r="D50" i="206"/>
  <c r="V21" i="242"/>
  <c r="U21" i="242"/>
  <c r="S21" i="242"/>
  <c r="W21" i="242"/>
  <c r="T21" i="242"/>
  <c r="F23" i="206"/>
  <c r="E23" i="206"/>
  <c r="G23" i="206"/>
  <c r="H23" i="206"/>
  <c r="D23" i="206"/>
  <c r="F59" i="242"/>
  <c r="E59" i="242"/>
  <c r="C59" i="242"/>
  <c r="G59" i="242"/>
  <c r="D59" i="242"/>
  <c r="H20" i="235"/>
  <c r="G20" i="235"/>
  <c r="K20" i="235"/>
  <c r="I20" i="235"/>
  <c r="J20" i="235"/>
  <c r="J69" i="205"/>
  <c r="K69" i="205"/>
  <c r="G69" i="205"/>
  <c r="H69" i="205"/>
  <c r="I69" i="205"/>
  <c r="J189" i="238"/>
  <c r="K189" i="238"/>
  <c r="I189" i="238"/>
  <c r="G189" i="238"/>
  <c r="H189" i="238"/>
  <c r="AD139" i="187"/>
  <c r="AD148" i="187"/>
  <c r="AD149" i="187" s="1"/>
  <c r="X148" i="187"/>
  <c r="X139" i="187"/>
  <c r="AB139" i="187" s="1"/>
  <c r="B3" i="211"/>
  <c r="B3" i="256"/>
  <c r="B3" i="254"/>
  <c r="B3" i="255"/>
  <c r="B3" i="253"/>
  <c r="G17" i="256"/>
  <c r="F17" i="256"/>
  <c r="I17" i="256"/>
  <c r="H17" i="256"/>
  <c r="E17" i="256"/>
  <c r="L17" i="254"/>
  <c r="L17" i="256"/>
  <c r="L17" i="253"/>
  <c r="L17" i="255"/>
  <c r="I17" i="255"/>
  <c r="E17" i="255"/>
  <c r="F17" i="255"/>
  <c r="G17" i="255"/>
  <c r="H17" i="255"/>
  <c r="F17" i="253"/>
  <c r="H17" i="253"/>
  <c r="G17" i="253"/>
  <c r="I17" i="253"/>
  <c r="E17" i="253"/>
  <c r="H17" i="254"/>
  <c r="I17" i="254"/>
  <c r="G17" i="254"/>
  <c r="F17" i="254"/>
  <c r="E17" i="254"/>
  <c r="F38" i="247"/>
  <c r="K19" i="190"/>
  <c r="N113" i="239"/>
  <c r="H70" i="233"/>
  <c r="H51" i="233"/>
  <c r="H42" i="233"/>
  <c r="K113" i="239"/>
  <c r="H113" i="239"/>
  <c r="I113" i="239"/>
  <c r="J113" i="239"/>
  <c r="G113" i="239"/>
  <c r="H19" i="190"/>
  <c r="F19" i="190"/>
  <c r="E19" i="190"/>
  <c r="D19" i="190"/>
  <c r="G19" i="190"/>
  <c r="C3" i="246"/>
  <c r="B3" i="224"/>
  <c r="B3" i="222"/>
  <c r="B3" i="232"/>
  <c r="B3" i="231"/>
  <c r="B3" i="230"/>
  <c r="B3" i="234"/>
  <c r="B3" i="190"/>
  <c r="B3" i="245"/>
  <c r="B3" i="221"/>
  <c r="B3" i="220"/>
  <c r="B3" i="228"/>
  <c r="B3" i="243"/>
  <c r="B3" i="218"/>
  <c r="B3" i="94"/>
  <c r="C3" i="233"/>
  <c r="B3" i="217"/>
  <c r="B3" i="201"/>
  <c r="B3" i="223"/>
  <c r="B3" i="210"/>
  <c r="E3" i="239"/>
  <c r="E3" i="235"/>
  <c r="B3" i="206"/>
  <c r="E3" i="238"/>
  <c r="E3" i="187"/>
  <c r="E3" i="205"/>
  <c r="B3" i="242"/>
  <c r="B3" i="237"/>
  <c r="C3" i="216"/>
  <c r="B3" i="247"/>
  <c r="C20" i="246" s="1"/>
  <c r="I71" i="248"/>
  <c r="G35" i="247"/>
  <c r="N50" i="206" s="1" a="1"/>
  <c r="H81" i="246"/>
  <c r="G81" i="246"/>
  <c r="F81" i="246"/>
  <c r="E81" i="246"/>
  <c r="D81" i="246"/>
  <c r="I80" i="246"/>
  <c r="I79" i="246"/>
  <c r="I78" i="246"/>
  <c r="I77" i="246"/>
  <c r="I76" i="246"/>
  <c r="I75" i="246"/>
  <c r="I74" i="246"/>
  <c r="I73" i="246"/>
  <c r="I72" i="246"/>
  <c r="I71" i="246"/>
  <c r="I69" i="246"/>
  <c r="D67" i="246"/>
  <c r="L58" i="246"/>
  <c r="L57" i="246"/>
  <c r="L56" i="246"/>
  <c r="I49" i="246"/>
  <c r="H49" i="246"/>
  <c r="G49" i="246"/>
  <c r="F49" i="246"/>
  <c r="E49" i="246"/>
  <c r="D49" i="246"/>
  <c r="C46" i="246"/>
  <c r="C45" i="246"/>
  <c r="C44" i="246"/>
  <c r="P39" i="246"/>
  <c r="O39" i="246"/>
  <c r="N39" i="246"/>
  <c r="M39" i="246"/>
  <c r="L39" i="246"/>
  <c r="H39" i="246"/>
  <c r="G39" i="246"/>
  <c r="F39" i="246"/>
  <c r="E39" i="246"/>
  <c r="D39" i="246"/>
  <c r="N38" i="246"/>
  <c r="J34" i="246"/>
  <c r="I34" i="246"/>
  <c r="H34" i="246"/>
  <c r="G34" i="246"/>
  <c r="F34" i="246"/>
  <c r="E34" i="246"/>
  <c r="D34" i="246"/>
  <c r="S25" i="246" a="1"/>
  <c r="W25" i="246" s="1"/>
  <c r="P25" i="246"/>
  <c r="O25" i="246"/>
  <c r="N25" i="246"/>
  <c r="M25" i="246"/>
  <c r="L25" i="246"/>
  <c r="H25" i="246"/>
  <c r="G25" i="246"/>
  <c r="F25" i="246"/>
  <c r="E25" i="246"/>
  <c r="D25" i="246"/>
  <c r="N24" i="246"/>
  <c r="D24" i="246"/>
  <c r="I15" i="246"/>
  <c r="J15" i="246" s="1"/>
  <c r="R14" i="246" s="1"/>
  <c r="Q15" i="246" s="1"/>
  <c r="P14" i="246"/>
  <c r="O14" i="246"/>
  <c r="N14" i="246"/>
  <c r="M14" i="246"/>
  <c r="Q13" i="246"/>
  <c r="P13" i="246"/>
  <c r="O13" i="246"/>
  <c r="N13" i="246"/>
  <c r="M13" i="246"/>
  <c r="L13" i="246"/>
  <c r="H13" i="246"/>
  <c r="G13" i="246"/>
  <c r="F13" i="246"/>
  <c r="E13" i="246"/>
  <c r="D13" i="246"/>
  <c r="P50" i="206" l="1"/>
  <c r="Q50" i="206"/>
  <c r="O50" i="206"/>
  <c r="N50" i="206"/>
  <c r="R50" i="206"/>
  <c r="N23" i="206" a="1"/>
  <c r="N170" i="206" a="1"/>
  <c r="P139" i="187"/>
  <c r="AH118" i="187"/>
  <c r="P119" i="187"/>
  <c r="AH119" i="187" s="1"/>
  <c r="O133" i="235"/>
  <c r="M429" i="206"/>
  <c r="O189" i="238"/>
  <c r="O20" i="235"/>
  <c r="M385" i="206"/>
  <c r="L50" i="206"/>
  <c r="O21" i="187"/>
  <c r="L170" i="206"/>
  <c r="L67" i="206"/>
  <c r="AB239" i="242"/>
  <c r="M416" i="206"/>
  <c r="L258" i="206"/>
  <c r="L23" i="206"/>
  <c r="O19" i="238"/>
  <c r="AF108" i="187"/>
  <c r="O108" i="187"/>
  <c r="O69" i="205"/>
  <c r="O19" i="205"/>
  <c r="AB59" i="242"/>
  <c r="K59" i="242"/>
  <c r="K21" i="242"/>
  <c r="AF21" i="187"/>
  <c r="L118" i="206"/>
  <c r="K239" i="242"/>
  <c r="AB21" i="242"/>
  <c r="K83" i="222"/>
  <c r="K19" i="211"/>
  <c r="O17" i="254" a="1"/>
  <c r="M239" i="242" a="1"/>
  <c r="M83" i="222" a="1"/>
  <c r="Q108" i="187" a="1"/>
  <c r="N67" i="206" a="1"/>
  <c r="M19" i="211" a="1"/>
  <c r="O17" i="256" a="1"/>
  <c r="C382" i="206"/>
  <c r="B382" i="206"/>
  <c r="Z3" i="211"/>
  <c r="I3" i="211"/>
  <c r="H3" i="211"/>
  <c r="AA3" i="211"/>
  <c r="AB148" i="187"/>
  <c r="X149" i="187"/>
  <c r="AB149" i="187" s="1"/>
  <c r="M59" i="242" a="1"/>
  <c r="N258" i="206" a="1"/>
  <c r="R19" i="238" a="1"/>
  <c r="P130" i="187"/>
  <c r="AH130" i="187" s="1"/>
  <c r="AH129" i="187"/>
  <c r="AH146" i="187" s="1"/>
  <c r="M21" i="242" a="1"/>
  <c r="O17" i="253" a="1"/>
  <c r="R19" i="205" a="1"/>
  <c r="Q21" i="187" a="1"/>
  <c r="Q20" i="235" a="1"/>
  <c r="R17" i="256"/>
  <c r="P17" i="256"/>
  <c r="O17" i="256"/>
  <c r="S17" i="256"/>
  <c r="Q17" i="256"/>
  <c r="Q25" i="246"/>
  <c r="M17" i="255"/>
  <c r="M17" i="256"/>
  <c r="M17" i="254"/>
  <c r="M17" i="253"/>
  <c r="O17" i="255" a="1"/>
  <c r="S17" i="254"/>
  <c r="O17" i="254"/>
  <c r="P17" i="254"/>
  <c r="R17" i="254"/>
  <c r="Q17" i="254"/>
  <c r="Q39" i="246"/>
  <c r="Q17" i="253"/>
  <c r="R17" i="253"/>
  <c r="P17" i="253"/>
  <c r="S17" i="253"/>
  <c r="O17" i="253"/>
  <c r="I25" i="246"/>
  <c r="L59" i="246"/>
  <c r="I13" i="246"/>
  <c r="I39" i="246"/>
  <c r="E53" i="228" a="1"/>
  <c r="H53" i="228" s="1"/>
  <c r="I70" i="233"/>
  <c r="I51" i="233"/>
  <c r="I42" i="233"/>
  <c r="N19" i="190" a="1"/>
  <c r="G38" i="247"/>
  <c r="L19" i="190"/>
  <c r="O113" i="239"/>
  <c r="Q40" i="246"/>
  <c r="Q43" i="246"/>
  <c r="Q45" i="246"/>
  <c r="Q47" i="246"/>
  <c r="Q42" i="246"/>
  <c r="Q44" i="246"/>
  <c r="Q46" i="246"/>
  <c r="Q48" i="246"/>
  <c r="D68" i="246" a="1"/>
  <c r="G68" i="246" s="1"/>
  <c r="E53" i="228"/>
  <c r="E32" i="228" a="1"/>
  <c r="E19" i="228" a="1"/>
  <c r="Q14" i="246"/>
  <c r="I81" i="246"/>
  <c r="H35" i="247"/>
  <c r="I72" i="248"/>
  <c r="D68" i="246"/>
  <c r="T25" i="246"/>
  <c r="V25" i="246"/>
  <c r="S25" i="246"/>
  <c r="U25" i="246"/>
  <c r="E68" i="246"/>
  <c r="U19" i="205" l="1"/>
  <c r="S19" i="205"/>
  <c r="V19" i="205"/>
  <c r="R19" i="205"/>
  <c r="T19" i="205"/>
  <c r="P83" i="222"/>
  <c r="O83" i="222"/>
  <c r="N83" i="222"/>
  <c r="M83" i="222"/>
  <c r="Q83" i="222"/>
  <c r="AH139" i="187"/>
  <c r="P140" i="187"/>
  <c r="AH140" i="187" s="1"/>
  <c r="U19" i="238"/>
  <c r="V19" i="238"/>
  <c r="R19" i="238"/>
  <c r="T19" i="238"/>
  <c r="S19" i="238"/>
  <c r="Q19" i="211"/>
  <c r="O19" i="211"/>
  <c r="N19" i="211"/>
  <c r="M19" i="211"/>
  <c r="P19" i="211"/>
  <c r="Q239" i="242"/>
  <c r="M239" i="242"/>
  <c r="P239" i="242"/>
  <c r="N239" i="242"/>
  <c r="O239" i="242"/>
  <c r="O170" i="206"/>
  <c r="Q170" i="206"/>
  <c r="R170" i="206"/>
  <c r="N170" i="206"/>
  <c r="P170" i="206"/>
  <c r="P416" i="206"/>
  <c r="M258" i="206"/>
  <c r="M67" i="206"/>
  <c r="M170" i="206"/>
  <c r="M118" i="206"/>
  <c r="P385" i="206"/>
  <c r="P189" i="238"/>
  <c r="AG21" i="187"/>
  <c r="AC239" i="242"/>
  <c r="P108" i="187"/>
  <c r="AC59" i="242"/>
  <c r="P133" i="235"/>
  <c r="P20" i="235"/>
  <c r="M50" i="206"/>
  <c r="L239" i="242"/>
  <c r="L59" i="242"/>
  <c r="AC21" i="242"/>
  <c r="L21" i="242"/>
  <c r="AG108" i="187"/>
  <c r="P19" i="205"/>
  <c r="P429" i="206"/>
  <c r="P21" i="187"/>
  <c r="M23" i="206"/>
  <c r="P19" i="238"/>
  <c r="P69" i="205"/>
  <c r="L83" i="222"/>
  <c r="L19" i="211"/>
  <c r="R20" i="235"/>
  <c r="Q20" i="235"/>
  <c r="S20" i="235"/>
  <c r="T20" i="235"/>
  <c r="U20" i="235"/>
  <c r="N21" i="242"/>
  <c r="O21" i="242"/>
  <c r="M21" i="242"/>
  <c r="P21" i="242"/>
  <c r="Q21" i="242"/>
  <c r="Q258" i="206"/>
  <c r="O258" i="206"/>
  <c r="N258" i="206"/>
  <c r="P258" i="206"/>
  <c r="R258" i="206"/>
  <c r="N67" i="206"/>
  <c r="O67" i="206"/>
  <c r="P67" i="206"/>
  <c r="R67" i="206"/>
  <c r="Q67" i="206"/>
  <c r="O23" i="206"/>
  <c r="N23" i="206"/>
  <c r="P23" i="206"/>
  <c r="Q23" i="206"/>
  <c r="R23" i="206"/>
  <c r="T21" i="187"/>
  <c r="S21" i="187"/>
  <c r="U21" i="187"/>
  <c r="Q21" i="187"/>
  <c r="R21" i="187"/>
  <c r="Q59" i="242"/>
  <c r="N59" i="242"/>
  <c r="O59" i="242"/>
  <c r="P59" i="242"/>
  <c r="M59" i="242"/>
  <c r="T108" i="187"/>
  <c r="S108" i="187"/>
  <c r="R108" i="187"/>
  <c r="U108" i="187"/>
  <c r="Q108" i="187"/>
  <c r="N17" i="255"/>
  <c r="N17" i="253"/>
  <c r="N17" i="254"/>
  <c r="N17" i="256"/>
  <c r="P17" i="255"/>
  <c r="O17" i="255"/>
  <c r="S17" i="255"/>
  <c r="R17" i="255"/>
  <c r="Q17" i="255"/>
  <c r="F68" i="246"/>
  <c r="G53" i="228"/>
  <c r="O19" i="190"/>
  <c r="P19" i="190"/>
  <c r="R19" i="190"/>
  <c r="Q19" i="190"/>
  <c r="N19" i="190"/>
  <c r="I53" i="228"/>
  <c r="H68" i="246"/>
  <c r="F53" i="228"/>
  <c r="Q49" i="246"/>
  <c r="E34" i="233"/>
  <c r="D70" i="233"/>
  <c r="J70" i="233" s="1"/>
  <c r="D51" i="233"/>
  <c r="J51" i="233" s="1"/>
  <c r="E25" i="233"/>
  <c r="M19" i="190"/>
  <c r="D42" i="233"/>
  <c r="P113" i="239"/>
  <c r="D19" i="228"/>
  <c r="H38" i="247"/>
  <c r="I38" i="247" s="1"/>
  <c r="J38" i="247" s="1"/>
  <c r="K38" i="247" s="1"/>
  <c r="L38" i="247" s="1"/>
  <c r="N54" i="246"/>
  <c r="J25" i="246"/>
  <c r="L24" i="246"/>
  <c r="R13" i="246"/>
  <c r="L51" i="246"/>
  <c r="J13" i="246"/>
  <c r="L60" i="246"/>
  <c r="R39" i="246"/>
  <c r="R25" i="246"/>
  <c r="K15" i="246"/>
  <c r="J39" i="246"/>
  <c r="L38" i="246"/>
  <c r="I19" i="228"/>
  <c r="E19" i="228"/>
  <c r="H19" i="228"/>
  <c r="G19" i="228"/>
  <c r="F19" i="228"/>
  <c r="I32" i="228"/>
  <c r="F32" i="228"/>
  <c r="H32" i="228"/>
  <c r="E32" i="228"/>
  <c r="G32" i="228"/>
  <c r="P15" i="246"/>
  <c r="I73" i="248"/>
  <c r="I35" i="247"/>
  <c r="P43" i="246" l="1"/>
  <c r="P45" i="246"/>
  <c r="P47" i="246"/>
  <c r="P40" i="246"/>
  <c r="P42" i="246"/>
  <c r="P44" i="246"/>
  <c r="P46" i="246"/>
  <c r="P48" i="246"/>
  <c r="O15" i="246"/>
  <c r="J35" i="247"/>
  <c r="I74" i="248"/>
  <c r="P49" i="246" l="1"/>
  <c r="O40" i="246"/>
  <c r="O42" i="246"/>
  <c r="O43" i="246"/>
  <c r="O44" i="246"/>
  <c r="O45" i="246"/>
  <c r="O46" i="246"/>
  <c r="O47" i="246"/>
  <c r="O48" i="246"/>
  <c r="N15" i="246"/>
  <c r="I75" i="248"/>
  <c r="K35" i="247"/>
  <c r="N40" i="246" l="1"/>
  <c r="N42" i="246"/>
  <c r="N43" i="246"/>
  <c r="N44" i="246"/>
  <c r="N45" i="246"/>
  <c r="N46" i="246"/>
  <c r="N47" i="246"/>
  <c r="N48" i="246"/>
  <c r="O49" i="246"/>
  <c r="M15" i="246"/>
  <c r="M46" i="246" s="1"/>
  <c r="L35" i="247"/>
  <c r="I76" i="248"/>
  <c r="I77" i="248" s="1"/>
  <c r="I78" i="248" s="1"/>
  <c r="I79" i="248" s="1"/>
  <c r="I80" i="248" s="1"/>
  <c r="M42" i="246"/>
  <c r="O33" i="246"/>
  <c r="R32" i="246"/>
  <c r="L32" i="246"/>
  <c r="M31" i="246"/>
  <c r="Q30" i="246"/>
  <c r="P29" i="246"/>
  <c r="N29" i="246"/>
  <c r="M45" i="246"/>
  <c r="M40" i="246"/>
  <c r="N33" i="246"/>
  <c r="Q32" i="246"/>
  <c r="L31" i="246"/>
  <c r="R30" i="246"/>
  <c r="N30" i="246"/>
  <c r="R28" i="246"/>
  <c r="P28" i="246"/>
  <c r="L28" i="246"/>
  <c r="L15" i="246"/>
  <c r="L33" i="246"/>
  <c r="O32" i="246"/>
  <c r="P30" i="246"/>
  <c r="L30" i="246"/>
  <c r="O29" i="246"/>
  <c r="O28" i="246"/>
  <c r="M28" i="246"/>
  <c r="O30" i="246" l="1"/>
  <c r="N32" i="246"/>
  <c r="M44" i="246"/>
  <c r="Q28" i="246"/>
  <c r="R31" i="246"/>
  <c r="M26" i="246"/>
  <c r="M29" i="246"/>
  <c r="M34" i="246" s="1"/>
  <c r="M32" i="246"/>
  <c r="M43" i="246"/>
  <c r="R29" i="246"/>
  <c r="Q31" i="246"/>
  <c r="M33" i="246"/>
  <c r="N26" i="246"/>
  <c r="R26" i="246"/>
  <c r="O26" i="246"/>
  <c r="P26" i="246"/>
  <c r="Q26" i="246"/>
  <c r="L26" i="246"/>
  <c r="L29" i="246"/>
  <c r="N31" i="246"/>
  <c r="P33" i="246"/>
  <c r="N28" i="246"/>
  <c r="Q29" i="246"/>
  <c r="P31" i="246"/>
  <c r="R33" i="246"/>
  <c r="M47" i="246"/>
  <c r="M30" i="246"/>
  <c r="O31" i="246"/>
  <c r="P32" i="246"/>
  <c r="Q33" i="246"/>
  <c r="M48" i="246"/>
  <c r="N49" i="246"/>
  <c r="L47" i="246"/>
  <c r="L45" i="246"/>
  <c r="L43" i="246"/>
  <c r="L40" i="246"/>
  <c r="L46" i="246"/>
  <c r="L44" i="246"/>
  <c r="L42" i="246"/>
  <c r="L48" i="246"/>
  <c r="L34" i="246" l="1"/>
  <c r="M49" i="246"/>
  <c r="R34" i="246"/>
  <c r="Q34" i="246"/>
  <c r="N34" i="246"/>
  <c r="N52" i="246" s="1"/>
  <c r="O34" i="246"/>
  <c r="O52" i="246" s="1"/>
  <c r="R57" i="246" s="1"/>
  <c r="P34" i="246"/>
  <c r="L49" i="246"/>
  <c r="R49" i="246" l="1"/>
  <c r="R52" i="246" s="1"/>
  <c r="W60" i="246" s="1"/>
  <c r="W61" i="246" s="1"/>
  <c r="W63" i="246" s="1"/>
  <c r="P52" i="246"/>
  <c r="R58" i="246" s="1"/>
  <c r="Q52" i="246"/>
  <c r="R59" i="246" s="1"/>
  <c r="T57" i="246"/>
  <c r="Q57" i="246"/>
  <c r="P57" i="246"/>
  <c r="S57" i="246"/>
  <c r="T60" i="246"/>
  <c r="U58" i="246"/>
  <c r="S58" i="246"/>
  <c r="S56" i="246"/>
  <c r="Q56" i="246"/>
  <c r="O56" i="246"/>
  <c r="P56" i="246"/>
  <c r="R56" i="246"/>
  <c r="T58" i="246" l="1"/>
  <c r="Q58" i="246"/>
  <c r="U60" i="246"/>
  <c r="S60" i="246"/>
  <c r="V59" i="246"/>
  <c r="V60" i="246"/>
  <c r="S59" i="246"/>
  <c r="S61" i="246" s="1"/>
  <c r="U59" i="246"/>
  <c r="T59" i="246"/>
  <c r="T61" i="246" s="1"/>
  <c r="T63" i="246" s="1"/>
  <c r="U61" i="246" l="1"/>
  <c r="U63" i="246" s="1"/>
  <c r="V61" i="246"/>
  <c r="V63" i="246" s="1"/>
  <c r="X61" i="246"/>
  <c r="S63" i="246"/>
  <c r="X63" i="246" s="1"/>
  <c r="J69" i="245" l="1"/>
  <c r="I69" i="245"/>
  <c r="H69" i="245"/>
  <c r="G69" i="245"/>
  <c r="F69" i="245"/>
  <c r="J62" i="245"/>
  <c r="I62" i="245"/>
  <c r="H62" i="245"/>
  <c r="G62" i="245"/>
  <c r="F62" i="245"/>
  <c r="J55" i="245"/>
  <c r="I55" i="245"/>
  <c r="H55" i="245"/>
  <c r="G55" i="245"/>
  <c r="F55" i="245"/>
  <c r="J37" i="245"/>
  <c r="I37" i="245"/>
  <c r="H37" i="245"/>
  <c r="G37" i="245"/>
  <c r="F37" i="245"/>
  <c r="H95" i="222" l="1"/>
  <c r="J72" i="245" l="1"/>
  <c r="I72" i="245"/>
  <c r="H72" i="245"/>
  <c r="G72" i="245"/>
  <c r="F72" i="245"/>
  <c r="O37" i="245"/>
  <c r="N37" i="245"/>
  <c r="M37" i="245"/>
  <c r="L37" i="245"/>
  <c r="K37" i="245"/>
  <c r="O55" i="245"/>
  <c r="N55" i="245"/>
  <c r="M55" i="245"/>
  <c r="L55" i="245"/>
  <c r="K55" i="245"/>
  <c r="O62" i="245"/>
  <c r="N62" i="245"/>
  <c r="M62" i="245"/>
  <c r="L62" i="245"/>
  <c r="K62" i="245"/>
  <c r="O69" i="245"/>
  <c r="N69" i="245"/>
  <c r="M69" i="245"/>
  <c r="L69" i="245"/>
  <c r="K69" i="245"/>
  <c r="F17" i="245"/>
  <c r="P68" i="245"/>
  <c r="P67" i="245"/>
  <c r="P66" i="245"/>
  <c r="P65" i="245"/>
  <c r="P61" i="245"/>
  <c r="P60" i="245"/>
  <c r="P59" i="245"/>
  <c r="P58" i="245"/>
  <c r="P54" i="245"/>
  <c r="P53" i="245"/>
  <c r="P52" i="245"/>
  <c r="P51" i="245"/>
  <c r="P50" i="245"/>
  <c r="P49" i="245"/>
  <c r="P42" i="245"/>
  <c r="P41" i="245"/>
  <c r="P40" i="245"/>
  <c r="P36" i="245"/>
  <c r="P35" i="245"/>
  <c r="P34" i="245"/>
  <c r="P31" i="245"/>
  <c r="P28" i="245"/>
  <c r="P26" i="245"/>
  <c r="P25" i="245"/>
  <c r="P22" i="245"/>
  <c r="P20" i="245"/>
  <c r="B11" i="245"/>
  <c r="L72" i="245" l="1"/>
  <c r="N72" i="245"/>
  <c r="M72" i="245"/>
  <c r="K72" i="245"/>
  <c r="O72" i="245"/>
  <c r="P69" i="245"/>
  <c r="W29" i="224" l="1"/>
  <c r="V29" i="224"/>
  <c r="U29" i="224"/>
  <c r="T29" i="224"/>
  <c r="S29" i="224"/>
  <c r="R29" i="224"/>
  <c r="Q29" i="224"/>
  <c r="P29" i="224"/>
  <c r="U20" i="224"/>
  <c r="AG65" i="234"/>
  <c r="AF65" i="234"/>
  <c r="AE65" i="234"/>
  <c r="AG62" i="234"/>
  <c r="AG66" i="234"/>
  <c r="AF62" i="234"/>
  <c r="AE62" i="234"/>
  <c r="AE66" i="234"/>
  <c r="AE51" i="234"/>
  <c r="AE42" i="234"/>
  <c r="AG34" i="234"/>
  <c r="AF34" i="234"/>
  <c r="AE34" i="234"/>
  <c r="AE24" i="234"/>
  <c r="AB24" i="220"/>
  <c r="AA24" i="220"/>
  <c r="Z24" i="220"/>
  <c r="Y24" i="220"/>
  <c r="X24" i="220"/>
  <c r="W24" i="220"/>
  <c r="V24" i="220"/>
  <c r="U24" i="220"/>
  <c r="Z15" i="220"/>
  <c r="Z19" i="243"/>
  <c r="AB55" i="218"/>
  <c r="AB56" i="218" s="1"/>
  <c r="AA55" i="218"/>
  <c r="Z55" i="218"/>
  <c r="Y55" i="218"/>
  <c r="X55" i="218"/>
  <c r="W55" i="218"/>
  <c r="V55" i="218"/>
  <c r="U55" i="218"/>
  <c r="AB48" i="218"/>
  <c r="AA48" i="218"/>
  <c r="AA56" i="218" s="1"/>
  <c r="Z48" i="218"/>
  <c r="Y48" i="218"/>
  <c r="X48" i="218"/>
  <c r="W48" i="218"/>
  <c r="V48" i="218"/>
  <c r="U48" i="218"/>
  <c r="Z19" i="218"/>
  <c r="K96" i="217"/>
  <c r="M90" i="217" s="1"/>
  <c r="M96" i="217" s="1"/>
  <c r="K88" i="217"/>
  <c r="M82" i="217"/>
  <c r="M88" i="217" s="1"/>
  <c r="K80" i="217"/>
  <c r="M74" i="217" s="1"/>
  <c r="M80" i="217" s="1"/>
  <c r="K72" i="217"/>
  <c r="M66" i="217" s="1"/>
  <c r="M72" i="217" s="1"/>
  <c r="K64" i="217"/>
  <c r="M58" i="217" s="1"/>
  <c r="M64" i="217" s="1"/>
  <c r="K56" i="217"/>
  <c r="K48" i="217"/>
  <c r="K18" i="217"/>
  <c r="Z55" i="201"/>
  <c r="Z20" i="201"/>
  <c r="U56" i="218"/>
  <c r="L90" i="217"/>
  <c r="L96" i="217" s="1"/>
  <c r="L82" i="217"/>
  <c r="L88" i="217" s="1"/>
  <c r="L66" i="217"/>
  <c r="L72" i="217" s="1"/>
  <c r="L58" i="217"/>
  <c r="AF32" i="223"/>
  <c r="AF16" i="223"/>
  <c r="AF109" i="223"/>
  <c r="AF61" i="223"/>
  <c r="AF47" i="223"/>
  <c r="Z64" i="210"/>
  <c r="Z54" i="210"/>
  <c r="AB46" i="210"/>
  <c r="AA46" i="210"/>
  <c r="AB57" i="210" s="1"/>
  <c r="AB56" i="210" s="1"/>
  <c r="Z46" i="210"/>
  <c r="Z57" i="210" s="1"/>
  <c r="Z56" i="210" s="1"/>
  <c r="Y46" i="210"/>
  <c r="Y57" i="210" s="1"/>
  <c r="Y56" i="210" s="1"/>
  <c r="X46" i="210"/>
  <c r="X57" i="210" s="1"/>
  <c r="X56" i="210" s="1"/>
  <c r="W46" i="210"/>
  <c r="W57" i="210"/>
  <c r="W56" i="210" s="1"/>
  <c r="V46" i="210"/>
  <c r="V57" i="210" s="1"/>
  <c r="V56" i="210" s="1"/>
  <c r="U46" i="210"/>
  <c r="U57" i="210" s="1"/>
  <c r="U56" i="210" s="1"/>
  <c r="Z18" i="210"/>
  <c r="AE19" i="239"/>
  <c r="AG125" i="235"/>
  <c r="AF125" i="235"/>
  <c r="AE125" i="235"/>
  <c r="AD125" i="235"/>
  <c r="AC125" i="235"/>
  <c r="AB125" i="235"/>
  <c r="AA125" i="235"/>
  <c r="Z125" i="235"/>
  <c r="AG123" i="235"/>
  <c r="AF123" i="235"/>
  <c r="AE123" i="235"/>
  <c r="AD123" i="235"/>
  <c r="AC123" i="235"/>
  <c r="AB123" i="235"/>
  <c r="AA123" i="235"/>
  <c r="Z123" i="235"/>
  <c r="AG122" i="235"/>
  <c r="AF122" i="235"/>
  <c r="AE122" i="235"/>
  <c r="AD122" i="235"/>
  <c r="AC122" i="235"/>
  <c r="AB122" i="235"/>
  <c r="AA122" i="235"/>
  <c r="Z122" i="235"/>
  <c r="AD121" i="235"/>
  <c r="AC121" i="235"/>
  <c r="AB121" i="235"/>
  <c r="AA121" i="235"/>
  <c r="Z121" i="235"/>
  <c r="AD118" i="235"/>
  <c r="AD120" i="235"/>
  <c r="AC118" i="235"/>
  <c r="AC120" i="235" s="1"/>
  <c r="AB118" i="235"/>
  <c r="AB120" i="235"/>
  <c r="AA118" i="235"/>
  <c r="Z118" i="235"/>
  <c r="Z120" i="235"/>
  <c r="AG115" i="235"/>
  <c r="AG118" i="235" s="1"/>
  <c r="AG120" i="235" s="1"/>
  <c r="AF115" i="235"/>
  <c r="AF118" i="235"/>
  <c r="AF120" i="235" s="1"/>
  <c r="AE115" i="235"/>
  <c r="AE118" i="235"/>
  <c r="AE120" i="235"/>
  <c r="AG108" i="235"/>
  <c r="AG110" i="235" s="1"/>
  <c r="AF108" i="235"/>
  <c r="AF110" i="235"/>
  <c r="AE108" i="235"/>
  <c r="AE110" i="235" s="1"/>
  <c r="AE126" i="235" s="1"/>
  <c r="AD108" i="235"/>
  <c r="AD110" i="235"/>
  <c r="AC108" i="235"/>
  <c r="AC110" i="235" s="1"/>
  <c r="AB108" i="235"/>
  <c r="AB110" i="235"/>
  <c r="AA108" i="235"/>
  <c r="AA110" i="235" s="1"/>
  <c r="Z108" i="235"/>
  <c r="Z110" i="235"/>
  <c r="Z126" i="235" s="1"/>
  <c r="AG105" i="235"/>
  <c r="AF105" i="235"/>
  <c r="AE105" i="235"/>
  <c r="AG28" i="235"/>
  <c r="AF28" i="235"/>
  <c r="AF124" i="235" s="1"/>
  <c r="AE28" i="235"/>
  <c r="AD28" i="235"/>
  <c r="AD124" i="235" s="1"/>
  <c r="AC28" i="235"/>
  <c r="AB28" i="235"/>
  <c r="AB124" i="235"/>
  <c r="AA28" i="235"/>
  <c r="Z28" i="235"/>
  <c r="Z124" i="235"/>
  <c r="AG25" i="235"/>
  <c r="AF25" i="235"/>
  <c r="AF121" i="235" s="1"/>
  <c r="AE25" i="235"/>
  <c r="AE20" i="235"/>
  <c r="AC283" i="206"/>
  <c r="AC286" i="206" s="1"/>
  <c r="AC288" i="206" s="1"/>
  <c r="AB283" i="206"/>
  <c r="AB286" i="206" s="1"/>
  <c r="AB288" i="206" s="1"/>
  <c r="AA283" i="206"/>
  <c r="AA286" i="206" s="1"/>
  <c r="AA288" i="206" s="1"/>
  <c r="Z283" i="206"/>
  <c r="Z286" i="206"/>
  <c r="Z288" i="206" s="1"/>
  <c r="Y283" i="206"/>
  <c r="Y286" i="206" s="1"/>
  <c r="Y288" i="206" s="1"/>
  <c r="X283" i="206"/>
  <c r="X286" i="206" s="1"/>
  <c r="X288" i="206" s="1"/>
  <c r="W283" i="206"/>
  <c r="W286" i="206" s="1"/>
  <c r="W288" i="206" s="1"/>
  <c r="V283" i="206"/>
  <c r="V286" i="206"/>
  <c r="V288" i="206" s="1"/>
  <c r="AC273" i="206"/>
  <c r="AC276" i="206" s="1"/>
  <c r="AC278" i="206" s="1"/>
  <c r="AB273" i="206"/>
  <c r="AB276" i="206" s="1"/>
  <c r="AB278" i="206" s="1"/>
  <c r="AA273" i="206"/>
  <c r="AA276" i="206" s="1"/>
  <c r="AA278" i="206" s="1"/>
  <c r="Z273" i="206"/>
  <c r="Z276" i="206" s="1"/>
  <c r="Z278" i="206" s="1"/>
  <c r="Y273" i="206"/>
  <c r="Y276" i="206" s="1"/>
  <c r="Y278" i="206" s="1"/>
  <c r="X273" i="206"/>
  <c r="X276" i="206" s="1"/>
  <c r="X278" i="206" s="1"/>
  <c r="W273" i="206"/>
  <c r="W276" i="206" s="1"/>
  <c r="W278" i="206" s="1"/>
  <c r="V273" i="206"/>
  <c r="V276" i="206" s="1"/>
  <c r="V278" i="206" s="1"/>
  <c r="AC263" i="206"/>
  <c r="AC266" i="206" s="1"/>
  <c r="AC268" i="206" s="1"/>
  <c r="AB263" i="206"/>
  <c r="AB266" i="206" s="1"/>
  <c r="AB268" i="206" s="1"/>
  <c r="AA263" i="206"/>
  <c r="AA266" i="206" s="1"/>
  <c r="AA268" i="206" s="1"/>
  <c r="Z263" i="206"/>
  <c r="Z266" i="206" s="1"/>
  <c r="Z268" i="206" s="1"/>
  <c r="Y263" i="206"/>
  <c r="Y266" i="206" s="1"/>
  <c r="Y268" i="206" s="1"/>
  <c r="X263" i="206"/>
  <c r="X266" i="206" s="1"/>
  <c r="X268" i="206" s="1"/>
  <c r="W263" i="206"/>
  <c r="W266" i="206" s="1"/>
  <c r="W268" i="206" s="1"/>
  <c r="V263" i="206"/>
  <c r="V266" i="206" s="1"/>
  <c r="V268" i="206" s="1"/>
  <c r="AA258" i="206"/>
  <c r="AC248" i="206"/>
  <c r="AB248" i="206"/>
  <c r="AA248" i="206"/>
  <c r="Z248" i="206"/>
  <c r="Y248" i="206"/>
  <c r="X248" i="206"/>
  <c r="W248" i="206"/>
  <c r="V248" i="206"/>
  <c r="AC241" i="206"/>
  <c r="AC244" i="206" s="1"/>
  <c r="AC246" i="206" s="1"/>
  <c r="AB241" i="206"/>
  <c r="AB244" i="206" s="1"/>
  <c r="AB246" i="206" s="1"/>
  <c r="AA241" i="206"/>
  <c r="AA244" i="206" s="1"/>
  <c r="AA246" i="206" s="1"/>
  <c r="AA247" i="206" s="1"/>
  <c r="Z241" i="206"/>
  <c r="Z244" i="206" s="1"/>
  <c r="Z246" i="206" s="1"/>
  <c r="Y241" i="206"/>
  <c r="Y244" i="206" s="1"/>
  <c r="Y246" i="206" s="1"/>
  <c r="X241" i="206"/>
  <c r="X244" i="206" s="1"/>
  <c r="X246" i="206" s="1"/>
  <c r="W241" i="206"/>
  <c r="W244" i="206" s="1"/>
  <c r="W246" i="206" s="1"/>
  <c r="V241" i="206"/>
  <c r="V244" i="206" s="1"/>
  <c r="V246" i="206" s="1"/>
  <c r="AC230" i="206"/>
  <c r="AC233" i="206" s="1"/>
  <c r="AC235" i="206" s="1"/>
  <c r="AC236" i="206" s="1"/>
  <c r="AB230" i="206"/>
  <c r="AB233" i="206"/>
  <c r="AB235" i="206" s="1"/>
  <c r="AB236" i="206" s="1"/>
  <c r="AA230" i="206"/>
  <c r="AA233" i="206" s="1"/>
  <c r="AA235" i="206" s="1"/>
  <c r="AA236" i="206" s="1"/>
  <c r="Z230" i="206"/>
  <c r="Z233" i="206" s="1"/>
  <c r="Z235" i="206" s="1"/>
  <c r="Z236" i="206" s="1"/>
  <c r="Y230" i="206"/>
  <c r="Y233" i="206" s="1"/>
  <c r="Y235" i="206" s="1"/>
  <c r="Y236" i="206" s="1"/>
  <c r="X230" i="206"/>
  <c r="X233" i="206" s="1"/>
  <c r="X235" i="206" s="1"/>
  <c r="X236" i="206" s="1"/>
  <c r="W230" i="206"/>
  <c r="W233" i="206" s="1"/>
  <c r="W235" i="206" s="1"/>
  <c r="W236" i="206" s="1"/>
  <c r="V230" i="206"/>
  <c r="V233" i="206" s="1"/>
  <c r="V235" i="206" s="1"/>
  <c r="V236" i="206" s="1"/>
  <c r="AC219" i="206"/>
  <c r="AC222" i="206" s="1"/>
  <c r="AC224" i="206" s="1"/>
  <c r="AC225" i="206" s="1"/>
  <c r="AB219" i="206"/>
  <c r="AB222" i="206" s="1"/>
  <c r="AB224" i="206" s="1"/>
  <c r="AB225" i="206" s="1"/>
  <c r="AA219" i="206"/>
  <c r="AA222" i="206"/>
  <c r="AA224" i="206" s="1"/>
  <c r="AA225" i="206" s="1"/>
  <c r="Z219" i="206"/>
  <c r="Z222" i="206" s="1"/>
  <c r="Z224" i="206" s="1"/>
  <c r="Z225" i="206" s="1"/>
  <c r="Y219" i="206"/>
  <c r="Y222" i="206" s="1"/>
  <c r="Y224" i="206" s="1"/>
  <c r="Y225" i="206" s="1"/>
  <c r="X219" i="206"/>
  <c r="X222" i="206" s="1"/>
  <c r="X224" i="206" s="1"/>
  <c r="X225" i="206" s="1"/>
  <c r="W219" i="206"/>
  <c r="W222" i="206" s="1"/>
  <c r="W224" i="206" s="1"/>
  <c r="W225" i="206" s="1"/>
  <c r="V219" i="206"/>
  <c r="V222" i="206" s="1"/>
  <c r="V224" i="206" s="1"/>
  <c r="V225" i="206" s="1"/>
  <c r="AC212" i="206"/>
  <c r="AB212" i="206"/>
  <c r="AA212" i="206"/>
  <c r="Z212" i="206"/>
  <c r="Z250" i="206" s="1"/>
  <c r="Y212" i="206"/>
  <c r="Y250" i="206" s="1"/>
  <c r="X212" i="206"/>
  <c r="W212" i="206"/>
  <c r="V212" i="206"/>
  <c r="V250" i="206" s="1"/>
  <c r="AC211" i="206"/>
  <c r="AB211" i="206"/>
  <c r="AA211" i="206"/>
  <c r="Z211" i="206"/>
  <c r="Y211" i="206"/>
  <c r="X211" i="206"/>
  <c r="W211" i="206"/>
  <c r="V211" i="206"/>
  <c r="AC208" i="206"/>
  <c r="AC210" i="206" s="1"/>
  <c r="AB208" i="206"/>
  <c r="AB210" i="206" s="1"/>
  <c r="AA208" i="206"/>
  <c r="AA210" i="206" s="1"/>
  <c r="Z208" i="206"/>
  <c r="Z210" i="206" s="1"/>
  <c r="Y208" i="206"/>
  <c r="Y210" i="206" s="1"/>
  <c r="X208" i="206"/>
  <c r="X210" i="206" s="1"/>
  <c r="W208" i="206"/>
  <c r="W210" i="206" s="1"/>
  <c r="V208" i="206"/>
  <c r="V210" i="206" s="1"/>
  <c r="AC187" i="206"/>
  <c r="AB187" i="206"/>
  <c r="AA187" i="206"/>
  <c r="Z187" i="206"/>
  <c r="Y187" i="206"/>
  <c r="X187" i="206"/>
  <c r="W187" i="206"/>
  <c r="V187" i="206"/>
  <c r="AC184" i="206"/>
  <c r="AC186" i="206" s="1"/>
  <c r="AB184" i="206"/>
  <c r="AB186" i="206" s="1"/>
  <c r="AA184" i="206"/>
  <c r="AA186" i="206" s="1"/>
  <c r="Z184" i="206"/>
  <c r="Z186" i="206" s="1"/>
  <c r="Y184" i="206"/>
  <c r="Y186" i="206" s="1"/>
  <c r="X184" i="206"/>
  <c r="X186" i="206" s="1"/>
  <c r="W184" i="206"/>
  <c r="W186" i="206" s="1"/>
  <c r="V184" i="206"/>
  <c r="V186" i="206" s="1"/>
  <c r="AC179" i="206"/>
  <c r="AB179" i="206"/>
  <c r="AA179" i="206"/>
  <c r="Z179" i="206"/>
  <c r="Y179" i="206"/>
  <c r="X179" i="206"/>
  <c r="W179" i="206"/>
  <c r="V179" i="206"/>
  <c r="AC176" i="206"/>
  <c r="AB176" i="206"/>
  <c r="AB213" i="206" s="1"/>
  <c r="AA176" i="206"/>
  <c r="Z176" i="206"/>
  <c r="Z213" i="206" s="1"/>
  <c r="Y176" i="206"/>
  <c r="X176" i="206"/>
  <c r="X213" i="206" s="1"/>
  <c r="W176" i="206"/>
  <c r="W178" i="206" s="1"/>
  <c r="V176" i="206"/>
  <c r="AA170" i="206"/>
  <c r="AC110" i="206"/>
  <c r="AB110" i="206"/>
  <c r="AA110" i="206"/>
  <c r="Z110" i="206"/>
  <c r="Y110" i="206"/>
  <c r="X110" i="206"/>
  <c r="W110" i="206"/>
  <c r="V110" i="206"/>
  <c r="AC108" i="206"/>
  <c r="AB108" i="206"/>
  <c r="AA108" i="206"/>
  <c r="Z108" i="206"/>
  <c r="Y108" i="206"/>
  <c r="X108" i="206"/>
  <c r="W108" i="206"/>
  <c r="V108" i="206"/>
  <c r="AC107" i="206"/>
  <c r="AB107" i="206"/>
  <c r="AA107" i="206"/>
  <c r="Z107" i="206"/>
  <c r="Y107" i="206"/>
  <c r="X107" i="206"/>
  <c r="W107" i="206"/>
  <c r="V107" i="206"/>
  <c r="AC105" i="206"/>
  <c r="AB105" i="206"/>
  <c r="AA105" i="206"/>
  <c r="Z105" i="206"/>
  <c r="Y105" i="206"/>
  <c r="X105" i="206"/>
  <c r="W105" i="206"/>
  <c r="V105" i="206"/>
  <c r="AC104" i="206"/>
  <c r="AB104" i="206"/>
  <c r="AA104" i="206"/>
  <c r="Z104" i="206"/>
  <c r="Y104" i="206"/>
  <c r="X104" i="206"/>
  <c r="W104" i="206"/>
  <c r="V104" i="206"/>
  <c r="AC103" i="206"/>
  <c r="AB103" i="206"/>
  <c r="AA103" i="206"/>
  <c r="Z103" i="206"/>
  <c r="Y103" i="206"/>
  <c r="X103" i="206"/>
  <c r="W103" i="206"/>
  <c r="V103" i="206"/>
  <c r="AC102" i="206"/>
  <c r="AB102" i="206"/>
  <c r="AA102" i="206"/>
  <c r="Z102" i="206"/>
  <c r="Y102" i="206"/>
  <c r="X102" i="206"/>
  <c r="W102" i="206"/>
  <c r="V102" i="206"/>
  <c r="AC95" i="206"/>
  <c r="AC98" i="206" s="1"/>
  <c r="AC100" i="206" s="1"/>
  <c r="AB95" i="206"/>
  <c r="AB98" i="206" s="1"/>
  <c r="AB100" i="206" s="1"/>
  <c r="AA95" i="206"/>
  <c r="AA98" i="206" s="1"/>
  <c r="AA100" i="206" s="1"/>
  <c r="Z95" i="206"/>
  <c r="Z98" i="206" s="1"/>
  <c r="Z100" i="206" s="1"/>
  <c r="Y95" i="206"/>
  <c r="Y98" i="206" s="1"/>
  <c r="Y100" i="206" s="1"/>
  <c r="X95" i="206"/>
  <c r="X98" i="206" s="1"/>
  <c r="X100" i="206" s="1"/>
  <c r="W95" i="206"/>
  <c r="W98" i="206" s="1"/>
  <c r="W100" i="206" s="1"/>
  <c r="V95" i="206"/>
  <c r="V98" i="206" s="1"/>
  <c r="V100" i="206" s="1"/>
  <c r="AC84" i="206"/>
  <c r="AC87" i="206" s="1"/>
  <c r="AB84" i="206"/>
  <c r="AB87" i="206" s="1"/>
  <c r="AB89" i="206" s="1"/>
  <c r="AA84" i="206"/>
  <c r="AA87" i="206" s="1"/>
  <c r="Z84" i="206"/>
  <c r="Z87" i="206" s="1"/>
  <c r="Z89" i="206" s="1"/>
  <c r="Y84" i="206"/>
  <c r="X84" i="206"/>
  <c r="X87" i="206" s="1"/>
  <c r="X89" i="206" s="1"/>
  <c r="W84" i="206"/>
  <c r="V84" i="206"/>
  <c r="V87" i="206" s="1"/>
  <c r="V89" i="206" s="1"/>
  <c r="AC73" i="206"/>
  <c r="AC106" i="206" s="1"/>
  <c r="AB73" i="206"/>
  <c r="AA73" i="206"/>
  <c r="Z73" i="206"/>
  <c r="Y73" i="206"/>
  <c r="X73" i="206"/>
  <c r="X106" i="206" s="1"/>
  <c r="W73" i="206"/>
  <c r="V73" i="206"/>
  <c r="V106" i="206" s="1"/>
  <c r="AA67" i="206"/>
  <c r="AC55" i="206"/>
  <c r="AC58" i="206" s="1"/>
  <c r="AC60" i="206" s="1"/>
  <c r="AB55" i="206"/>
  <c r="AB58" i="206" s="1"/>
  <c r="AB60" i="206" s="1"/>
  <c r="AA55" i="206"/>
  <c r="AA58" i="206" s="1"/>
  <c r="AA60" i="206" s="1"/>
  <c r="Z55" i="206"/>
  <c r="Z58" i="206" s="1"/>
  <c r="Z60" i="206" s="1"/>
  <c r="Y55" i="206"/>
  <c r="Y58" i="206" s="1"/>
  <c r="Y60" i="206" s="1"/>
  <c r="X55" i="206"/>
  <c r="X58" i="206" s="1"/>
  <c r="X60" i="206" s="1"/>
  <c r="W55" i="206"/>
  <c r="W58" i="206" s="1"/>
  <c r="W60" i="206" s="1"/>
  <c r="V55" i="206"/>
  <c r="V58" i="206" s="1"/>
  <c r="V60" i="206" s="1"/>
  <c r="AA50" i="206"/>
  <c r="AH86" i="238"/>
  <c r="AH88" i="238" s="1"/>
  <c r="AG86" i="238"/>
  <c r="AG88" i="238" s="1"/>
  <c r="AF86" i="238"/>
  <c r="AF88" i="238" s="1"/>
  <c r="AE86" i="238"/>
  <c r="AE88" i="238" s="1"/>
  <c r="AD86" i="238"/>
  <c r="AD88" i="238" s="1"/>
  <c r="AC86" i="238"/>
  <c r="AC88" i="238" s="1"/>
  <c r="AB86" i="238"/>
  <c r="AB88" i="238" s="1"/>
  <c r="AA86" i="238"/>
  <c r="AA88" i="238" s="1"/>
  <c r="AH83" i="238"/>
  <c r="AG83" i="238"/>
  <c r="AF83" i="238"/>
  <c r="AH76" i="238"/>
  <c r="AG76" i="238"/>
  <c r="AG78" i="238" s="1"/>
  <c r="AF76" i="238"/>
  <c r="AE76" i="238"/>
  <c r="AD76" i="238"/>
  <c r="AD78" i="238" s="1"/>
  <c r="AC76" i="238"/>
  <c r="AC78" i="238" s="1"/>
  <c r="AB76" i="238"/>
  <c r="AA76" i="238"/>
  <c r="AA78" i="238" s="1"/>
  <c r="AH73" i="238"/>
  <c r="AG73" i="238"/>
  <c r="AF73" i="238"/>
  <c r="AH58" i="238"/>
  <c r="AH60" i="238" s="1"/>
  <c r="AG58" i="238"/>
  <c r="AG60" i="238" s="1"/>
  <c r="AF58" i="238"/>
  <c r="AF60" i="238" s="1"/>
  <c r="AE58" i="238"/>
  <c r="AE60" i="238" s="1"/>
  <c r="AD58" i="238"/>
  <c r="AD60" i="238" s="1"/>
  <c r="AC58" i="238"/>
  <c r="AC60" i="238" s="1"/>
  <c r="AB58" i="238"/>
  <c r="AB60" i="238" s="1"/>
  <c r="AA58" i="238"/>
  <c r="AA60" i="238" s="1"/>
  <c r="AH55" i="238"/>
  <c r="AG55" i="238"/>
  <c r="AF55" i="238"/>
  <c r="AH48" i="238"/>
  <c r="AH50" i="238" s="1"/>
  <c r="AG48" i="238"/>
  <c r="AF48" i="238"/>
  <c r="AF50" i="238" s="1"/>
  <c r="AE48" i="238"/>
  <c r="AE50" i="238" s="1"/>
  <c r="AD48" i="238"/>
  <c r="AC48" i="238"/>
  <c r="AC50" i="238" s="1"/>
  <c r="AB48" i="238"/>
  <c r="AB50" i="238" s="1"/>
  <c r="AA48" i="238"/>
  <c r="AA50" i="238" s="1"/>
  <c r="AH45" i="238"/>
  <c r="AG45" i="238"/>
  <c r="AF45" i="238"/>
  <c r="AF19" i="238"/>
  <c r="L64" i="217"/>
  <c r="AA57" i="210"/>
  <c r="AA56" i="210" s="1"/>
  <c r="AE121" i="235"/>
  <c r="AG121" i="235"/>
  <c r="AC124" i="235"/>
  <c r="AE124" i="235"/>
  <c r="AA30" i="235"/>
  <c r="AC30" i="235"/>
  <c r="AC126" i="235"/>
  <c r="AE30" i="235"/>
  <c r="Z30" i="235"/>
  <c r="AB30" i="235"/>
  <c r="AB126" i="235"/>
  <c r="AD30" i="235"/>
  <c r="AD126" i="235"/>
  <c r="AF30" i="235"/>
  <c r="AF126" i="235"/>
  <c r="X76" i="206"/>
  <c r="X78" i="206" s="1"/>
  <c r="AA178" i="206"/>
  <c r="W76" i="206"/>
  <c r="W78" i="206" s="1"/>
  <c r="Y76" i="206"/>
  <c r="Y78" i="206" s="1"/>
  <c r="AA76" i="206"/>
  <c r="X178" i="206"/>
  <c r="AB178" i="206"/>
  <c r="AG50" i="238"/>
  <c r="AD50" i="238"/>
  <c r="AB78" i="238"/>
  <c r="AF78" i="238"/>
  <c r="AH78" i="238"/>
  <c r="AE78" i="238"/>
  <c r="AS139" i="187"/>
  <c r="AR139" i="187"/>
  <c r="AQ139" i="187"/>
  <c r="AP139" i="187"/>
  <c r="AO139" i="187"/>
  <c r="AN139" i="187"/>
  <c r="AS137" i="187"/>
  <c r="AR137" i="187"/>
  <c r="AQ137" i="187"/>
  <c r="AP137" i="187"/>
  <c r="AO137" i="187"/>
  <c r="AN137" i="187"/>
  <c r="AM137" i="187"/>
  <c r="AL137" i="187"/>
  <c r="AS136" i="187"/>
  <c r="AR136" i="187"/>
  <c r="AQ136" i="187"/>
  <c r="AP136" i="187"/>
  <c r="AO136" i="187"/>
  <c r="AN136" i="187"/>
  <c r="AM136" i="187"/>
  <c r="AL136" i="187"/>
  <c r="AS134" i="187"/>
  <c r="AR134" i="187"/>
  <c r="AQ134" i="187"/>
  <c r="AS133" i="187"/>
  <c r="AR133" i="187"/>
  <c r="AQ133" i="187"/>
  <c r="AS132" i="187"/>
  <c r="AR132" i="187"/>
  <c r="AQ132" i="187"/>
  <c r="AS128" i="187"/>
  <c r="AS130" i="187"/>
  <c r="AR128" i="187"/>
  <c r="AR130" i="187"/>
  <c r="AQ128" i="187"/>
  <c r="AQ130" i="187" s="1"/>
  <c r="AP128" i="187"/>
  <c r="AO128" i="187"/>
  <c r="AO130" i="187" s="1"/>
  <c r="AN128" i="187"/>
  <c r="AM128" i="187"/>
  <c r="AM130" i="187" s="1"/>
  <c r="AL128" i="187"/>
  <c r="AL130" i="187"/>
  <c r="AS125" i="187"/>
  <c r="AR125" i="187"/>
  <c r="AQ125" i="187"/>
  <c r="AS117" i="187"/>
  <c r="AR117" i="187"/>
  <c r="AR138" i="187" s="1"/>
  <c r="AR140" i="187" s="1"/>
  <c r="AQ117" i="187"/>
  <c r="AQ138" i="187"/>
  <c r="AQ140" i="187" s="1"/>
  <c r="AP117" i="187"/>
  <c r="AO117" i="187"/>
  <c r="AO138" i="187"/>
  <c r="AO140" i="187" s="1"/>
  <c r="AN117" i="187"/>
  <c r="AM117" i="187"/>
  <c r="AM138" i="187" s="1"/>
  <c r="AL117" i="187"/>
  <c r="AL138" i="187" s="1"/>
  <c r="AS114" i="187"/>
  <c r="AS135" i="187"/>
  <c r="AR114" i="187"/>
  <c r="AQ114" i="187"/>
  <c r="AQ135" i="187" s="1"/>
  <c r="AQ108" i="187"/>
  <c r="AS89" i="187"/>
  <c r="AS87" i="187"/>
  <c r="AR87" i="187"/>
  <c r="AR89" i="187"/>
  <c r="AQ87" i="187"/>
  <c r="AQ89" i="187"/>
  <c r="AP87" i="187"/>
  <c r="AP89" i="187"/>
  <c r="AO87" i="187"/>
  <c r="AO89" i="187"/>
  <c r="AN87" i="187"/>
  <c r="AN89" i="187"/>
  <c r="AM87" i="187"/>
  <c r="AM89" i="187"/>
  <c r="AL87" i="187"/>
  <c r="AL89" i="187"/>
  <c r="AS84" i="187"/>
  <c r="AR84" i="187"/>
  <c r="AQ84" i="187"/>
  <c r="AS78" i="187"/>
  <c r="AR78" i="187"/>
  <c r="AQ78" i="187"/>
  <c r="AS72" i="187"/>
  <c r="AS70" i="187"/>
  <c r="AR70" i="187"/>
  <c r="AR72" i="187"/>
  <c r="AQ70" i="187"/>
  <c r="AQ72" i="187"/>
  <c r="AP70" i="187"/>
  <c r="AP72" i="187"/>
  <c r="AO70" i="187"/>
  <c r="AO72" i="187"/>
  <c r="AN70" i="187"/>
  <c r="AN72" i="187"/>
  <c r="AM70" i="187"/>
  <c r="AM72" i="187"/>
  <c r="AL70" i="187"/>
  <c r="AL72" i="187"/>
  <c r="AS67" i="187"/>
  <c r="AR67" i="187"/>
  <c r="AQ67" i="187"/>
  <c r="AS61" i="187"/>
  <c r="AR61" i="187"/>
  <c r="AQ61" i="187"/>
  <c r="AS55" i="187"/>
  <c r="AS53" i="187"/>
  <c r="AR53" i="187"/>
  <c r="AR55" i="187"/>
  <c r="AQ53" i="187"/>
  <c r="AQ55" i="187"/>
  <c r="AP53" i="187"/>
  <c r="AP55" i="187"/>
  <c r="AO53" i="187"/>
  <c r="AO55" i="187"/>
  <c r="AN53" i="187"/>
  <c r="AN55" i="187"/>
  <c r="AM53" i="187"/>
  <c r="AM55" i="187"/>
  <c r="AL53" i="187"/>
  <c r="AL55" i="187"/>
  <c r="AS50" i="187"/>
  <c r="AR50" i="187"/>
  <c r="AQ50" i="187"/>
  <c r="AS44" i="187"/>
  <c r="AR44" i="187"/>
  <c r="AQ44" i="187"/>
  <c r="AS38" i="187"/>
  <c r="AS36" i="187"/>
  <c r="AR36" i="187"/>
  <c r="AR38" i="187"/>
  <c r="AQ36" i="187"/>
  <c r="AQ38" i="187"/>
  <c r="AP36" i="187"/>
  <c r="AP38" i="187"/>
  <c r="AO36" i="187"/>
  <c r="AO38" i="187"/>
  <c r="AN36" i="187"/>
  <c r="AN38" i="187"/>
  <c r="AM36" i="187"/>
  <c r="AM38" i="187"/>
  <c r="AL36" i="187"/>
  <c r="AL38" i="187"/>
  <c r="AS33" i="187"/>
  <c r="AR33" i="187"/>
  <c r="AQ33" i="187"/>
  <c r="AS27" i="187"/>
  <c r="AR27" i="187"/>
  <c r="AQ27" i="187"/>
  <c r="AQ21" i="187"/>
  <c r="AA78" i="206"/>
  <c r="AO119" i="187"/>
  <c r="AM119" i="187"/>
  <c r="AQ119" i="187"/>
  <c r="AR135" i="187"/>
  <c r="AL119" i="187"/>
  <c r="AN119" i="187"/>
  <c r="AP119" i="187"/>
  <c r="AR119" i="187"/>
  <c r="G39" i="216"/>
  <c r="AH91" i="205"/>
  <c r="AH93" i="205"/>
  <c r="AG91" i="205"/>
  <c r="AG93" i="205"/>
  <c r="AF91" i="205"/>
  <c r="AF93" i="205"/>
  <c r="AE91" i="205"/>
  <c r="AE93" i="205"/>
  <c r="AD91" i="205"/>
  <c r="AD93" i="205"/>
  <c r="AC91" i="205"/>
  <c r="AC93" i="205"/>
  <c r="AB91" i="205"/>
  <c r="AB93" i="205"/>
  <c r="AA91" i="205"/>
  <c r="AA93" i="205"/>
  <c r="AH85" i="205"/>
  <c r="AH87" i="205"/>
  <c r="AG85" i="205"/>
  <c r="AG87" i="205"/>
  <c r="AF85" i="205"/>
  <c r="AF87" i="205"/>
  <c r="AE85" i="205"/>
  <c r="AE87" i="205"/>
  <c r="AD85" i="205"/>
  <c r="AD87" i="205"/>
  <c r="AC85" i="205"/>
  <c r="AC87" i="205"/>
  <c r="AB85" i="205"/>
  <c r="AB87" i="205"/>
  <c r="AA85" i="205"/>
  <c r="AA87" i="205"/>
  <c r="AH79" i="205"/>
  <c r="AH81" i="205" s="1"/>
  <c r="AG79" i="205"/>
  <c r="AG81" i="205" s="1"/>
  <c r="AF79" i="205"/>
  <c r="AF81" i="205" s="1"/>
  <c r="AE79" i="205"/>
  <c r="AE81" i="205" s="1"/>
  <c r="AD79" i="205"/>
  <c r="AD81" i="205" s="1"/>
  <c r="AC79" i="205"/>
  <c r="AC81" i="205" s="1"/>
  <c r="AB79" i="205"/>
  <c r="AB81" i="205" s="1"/>
  <c r="AA79" i="205"/>
  <c r="AA81" i="205"/>
  <c r="AH73" i="205"/>
  <c r="AG73" i="205"/>
  <c r="AF73" i="205"/>
  <c r="AE73" i="205"/>
  <c r="AE75" i="205" s="1"/>
  <c r="AD73" i="205"/>
  <c r="AC73" i="205"/>
  <c r="AB73" i="205"/>
  <c r="AA73" i="205"/>
  <c r="AA75" i="205" s="1"/>
  <c r="AF69" i="205"/>
  <c r="AH61" i="205"/>
  <c r="AG61" i="205"/>
  <c r="AF61" i="205"/>
  <c r="AE61" i="205"/>
  <c r="AD61" i="205"/>
  <c r="AC61" i="205"/>
  <c r="AB61" i="205"/>
  <c r="AA61" i="205"/>
  <c r="AH59" i="205"/>
  <c r="AG59" i="205"/>
  <c r="AF59" i="205"/>
  <c r="AE59" i="205"/>
  <c r="AD59" i="205"/>
  <c r="AC59" i="205"/>
  <c r="AB59" i="205"/>
  <c r="AA59" i="205"/>
  <c r="AH58" i="205"/>
  <c r="AG58" i="205"/>
  <c r="AF58" i="205"/>
  <c r="AE58" i="205"/>
  <c r="AD58" i="205"/>
  <c r="AC58" i="205"/>
  <c r="AB58" i="205"/>
  <c r="AA58" i="205"/>
  <c r="AH53" i="205"/>
  <c r="AH55" i="205" s="1"/>
  <c r="AG53" i="205"/>
  <c r="AG55" i="205" s="1"/>
  <c r="AF53" i="205"/>
  <c r="AF55" i="205" s="1"/>
  <c r="AE53" i="205"/>
  <c r="AE55" i="205" s="1"/>
  <c r="AD53" i="205"/>
  <c r="AD55" i="205" s="1"/>
  <c r="AC53" i="205"/>
  <c r="AC55" i="205" s="1"/>
  <c r="AB53" i="205"/>
  <c r="AB55" i="205" s="1"/>
  <c r="AA53" i="205"/>
  <c r="AA55" i="205" s="1"/>
  <c r="AG46" i="205"/>
  <c r="AH44" i="205"/>
  <c r="AH46" i="205"/>
  <c r="AG44" i="205"/>
  <c r="AF44" i="205"/>
  <c r="AF46" i="205" s="1"/>
  <c r="AE44" i="205"/>
  <c r="AE46" i="205" s="1"/>
  <c r="AD44" i="205"/>
  <c r="AD46" i="205" s="1"/>
  <c r="AC44" i="205"/>
  <c r="AC46" i="205" s="1"/>
  <c r="AB44" i="205"/>
  <c r="AB46" i="205" s="1"/>
  <c r="AA44" i="205"/>
  <c r="AA46" i="205" s="1"/>
  <c r="AH35" i="205"/>
  <c r="AH37" i="205" s="1"/>
  <c r="AG35" i="205"/>
  <c r="AF35" i="205"/>
  <c r="AF37" i="205" s="1"/>
  <c r="AE35" i="205"/>
  <c r="AD35" i="205"/>
  <c r="AD37" i="205" s="1"/>
  <c r="AD62" i="205" s="1"/>
  <c r="AC35" i="205"/>
  <c r="AB35" i="205"/>
  <c r="AB37" i="205" s="1"/>
  <c r="AA35" i="205"/>
  <c r="AA37" i="205" s="1"/>
  <c r="AH26" i="205"/>
  <c r="AG26" i="205"/>
  <c r="AG28" i="205" s="1"/>
  <c r="AF26" i="205"/>
  <c r="AF60" i="205"/>
  <c r="AE26" i="205"/>
  <c r="AD26" i="205"/>
  <c r="AD60" i="205"/>
  <c r="AC26" i="205"/>
  <c r="AC28" i="205"/>
  <c r="AB26" i="205"/>
  <c r="AA26" i="205"/>
  <c r="AA28" i="205" s="1"/>
  <c r="AF19" i="205"/>
  <c r="AD75" i="205"/>
  <c r="AH75" i="205"/>
  <c r="AE28" i="205"/>
  <c r="AB75" i="205"/>
  <c r="AF75" i="205"/>
  <c r="AD28" i="205"/>
  <c r="AF28" i="205"/>
  <c r="AF62" i="205"/>
  <c r="AC75" i="205"/>
  <c r="AG75" i="205"/>
  <c r="AO263" i="242"/>
  <c r="AN263" i="242"/>
  <c r="AM263" i="242"/>
  <c r="AL263" i="242"/>
  <c r="AK263" i="242"/>
  <c r="AJ263" i="242"/>
  <c r="AI263" i="242"/>
  <c r="AH263" i="242"/>
  <c r="AO262" i="242"/>
  <c r="AN262" i="242"/>
  <c r="AM262" i="242"/>
  <c r="AL262" i="242"/>
  <c r="AK262" i="242"/>
  <c r="AJ262" i="242"/>
  <c r="AI262" i="242"/>
  <c r="AH262" i="242"/>
  <c r="AO261" i="242"/>
  <c r="AN261" i="242"/>
  <c r="AM261" i="242"/>
  <c r="AL261" i="242"/>
  <c r="AK261" i="242"/>
  <c r="AJ261" i="242"/>
  <c r="AI261" i="242"/>
  <c r="AH261" i="242"/>
  <c r="AO260" i="242"/>
  <c r="AN260" i="242"/>
  <c r="AM260" i="242"/>
  <c r="AL260" i="242"/>
  <c r="AK260" i="242"/>
  <c r="AJ260" i="242"/>
  <c r="AI260" i="242"/>
  <c r="AH260" i="242"/>
  <c r="AO259" i="242"/>
  <c r="AN259" i="242"/>
  <c r="AM259" i="242"/>
  <c r="AL259" i="242"/>
  <c r="AK259" i="242"/>
  <c r="AJ259" i="242"/>
  <c r="AI259" i="242"/>
  <c r="AH259" i="242"/>
  <c r="AO251" i="242"/>
  <c r="AN251" i="242"/>
  <c r="AM251" i="242"/>
  <c r="AL251" i="242"/>
  <c r="AK251" i="242"/>
  <c r="AJ251" i="242"/>
  <c r="AI251" i="242"/>
  <c r="AH251" i="242"/>
  <c r="AO250" i="242"/>
  <c r="AN250" i="242"/>
  <c r="AM250" i="242"/>
  <c r="AL250" i="242"/>
  <c r="AK250" i="242"/>
  <c r="AJ250" i="242"/>
  <c r="AI250" i="242"/>
  <c r="AH250" i="242"/>
  <c r="AO249" i="242"/>
  <c r="AN249" i="242"/>
  <c r="AM249" i="242"/>
  <c r="AL249" i="242"/>
  <c r="AK249" i="242"/>
  <c r="AJ249" i="242"/>
  <c r="AI249" i="242"/>
  <c r="AH249" i="242"/>
  <c r="AO248" i="242"/>
  <c r="AN248" i="242"/>
  <c r="AM248" i="242"/>
  <c r="AL248" i="242"/>
  <c r="AK248" i="242"/>
  <c r="AJ248" i="242"/>
  <c r="AI248" i="242"/>
  <c r="AH248" i="242"/>
  <c r="AO247" i="242"/>
  <c r="AN247" i="242"/>
  <c r="AM247" i="242"/>
  <c r="AL247" i="242"/>
  <c r="AK247" i="242"/>
  <c r="AJ247" i="242"/>
  <c r="AI247" i="242"/>
  <c r="AH247" i="242"/>
  <c r="AM239" i="242"/>
  <c r="AO232" i="242"/>
  <c r="AN232" i="242"/>
  <c r="AM232" i="242"/>
  <c r="AL232" i="242"/>
  <c r="AK232" i="242"/>
  <c r="AJ232" i="242"/>
  <c r="AI232" i="242"/>
  <c r="AH232" i="242"/>
  <c r="AO230" i="242"/>
  <c r="AN230" i="242"/>
  <c r="AM230" i="242"/>
  <c r="AL230" i="242"/>
  <c r="AK230" i="242"/>
  <c r="AJ230" i="242"/>
  <c r="AI230" i="242"/>
  <c r="AH230" i="242"/>
  <c r="AO229" i="242"/>
  <c r="AN229" i="242"/>
  <c r="AM229" i="242"/>
  <c r="AL229" i="242"/>
  <c r="AK229" i="242"/>
  <c r="AJ229" i="242"/>
  <c r="AI229" i="242"/>
  <c r="AH229" i="242"/>
  <c r="AO218" i="242"/>
  <c r="AN218" i="242"/>
  <c r="AM218" i="242"/>
  <c r="AL218" i="242"/>
  <c r="AK218" i="242"/>
  <c r="AJ218" i="242"/>
  <c r="AI218" i="242"/>
  <c r="AH218" i="242"/>
  <c r="AO217" i="242"/>
  <c r="AN217" i="242"/>
  <c r="AM217" i="242"/>
  <c r="AL217" i="242"/>
  <c r="AK217" i="242"/>
  <c r="AJ217" i="242"/>
  <c r="AI217" i="242"/>
  <c r="AH217" i="242"/>
  <c r="AO216" i="242"/>
  <c r="AO219" i="242" s="1"/>
  <c r="AO222" i="242" s="1"/>
  <c r="AO224" i="242" s="1"/>
  <c r="AN216" i="242"/>
  <c r="AN219" i="242" s="1"/>
  <c r="AN222" i="242" s="1"/>
  <c r="AN224" i="242" s="1"/>
  <c r="AM216" i="242"/>
  <c r="AL216" i="242"/>
  <c r="AL219" i="242" s="1"/>
  <c r="AL222" i="242"/>
  <c r="AL224" i="242" s="1"/>
  <c r="AK216" i="242"/>
  <c r="AJ216" i="242"/>
  <c r="AI216" i="242"/>
  <c r="AH216" i="242"/>
  <c r="AH219" i="242" s="1"/>
  <c r="AH222" i="242" s="1"/>
  <c r="AH224" i="242" s="1"/>
  <c r="AO214" i="242"/>
  <c r="AN214" i="242"/>
  <c r="AM214" i="242"/>
  <c r="AL214" i="242"/>
  <c r="AK214" i="242"/>
  <c r="AJ214" i="242"/>
  <c r="AI214" i="242"/>
  <c r="AH214" i="242"/>
  <c r="AO209" i="242"/>
  <c r="AN209" i="242"/>
  <c r="AM209" i="242"/>
  <c r="AL209" i="242"/>
  <c r="AK209" i="242"/>
  <c r="AJ209" i="242"/>
  <c r="AI209" i="242"/>
  <c r="AH209" i="242"/>
  <c r="AO204" i="242"/>
  <c r="AN204" i="242"/>
  <c r="AM204" i="242"/>
  <c r="AL204" i="242"/>
  <c r="AK204" i="242"/>
  <c r="AJ204" i="242"/>
  <c r="AI204" i="242"/>
  <c r="AH204" i="242"/>
  <c r="AO199" i="242"/>
  <c r="AN199" i="242"/>
  <c r="AM199" i="242"/>
  <c r="AL199" i="242"/>
  <c r="AK199" i="242"/>
  <c r="AJ199" i="242"/>
  <c r="AI199" i="242"/>
  <c r="AH199" i="242"/>
  <c r="AO189" i="242"/>
  <c r="AN189" i="242"/>
  <c r="AM189" i="242"/>
  <c r="AL189" i="242"/>
  <c r="AK189" i="242"/>
  <c r="AJ189" i="242"/>
  <c r="AI189" i="242"/>
  <c r="AH189" i="242"/>
  <c r="AO188" i="242"/>
  <c r="AN188" i="242"/>
  <c r="AM188" i="242"/>
  <c r="AL188" i="242"/>
  <c r="AK188" i="242"/>
  <c r="AJ188" i="242"/>
  <c r="AI188" i="242"/>
  <c r="AH188" i="242"/>
  <c r="AO187" i="242"/>
  <c r="AO190" i="242" s="1"/>
  <c r="AO193" i="242" s="1"/>
  <c r="AO195" i="242" s="1"/>
  <c r="AN187" i="242"/>
  <c r="AN190" i="242" s="1"/>
  <c r="AN193" i="242" s="1"/>
  <c r="AN195" i="242" s="1"/>
  <c r="AM187" i="242"/>
  <c r="AL187" i="242"/>
  <c r="AL190" i="242" s="1"/>
  <c r="AL193" i="242"/>
  <c r="AL195" i="242" s="1"/>
  <c r="AK187" i="242"/>
  <c r="AJ187" i="242"/>
  <c r="AI187" i="242"/>
  <c r="AI190" i="242" s="1"/>
  <c r="AI193" i="242" s="1"/>
  <c r="AI195" i="242" s="1"/>
  <c r="AH187" i="242"/>
  <c r="AH190" i="242" s="1"/>
  <c r="AH193" i="242" s="1"/>
  <c r="AH195" i="242" s="1"/>
  <c r="AO185" i="242"/>
  <c r="AN185" i="242"/>
  <c r="AM185" i="242"/>
  <c r="AL185" i="242"/>
  <c r="AK185" i="242"/>
  <c r="AJ185" i="242"/>
  <c r="AI185" i="242"/>
  <c r="AH185" i="242"/>
  <c r="AO180" i="242"/>
  <c r="AN180" i="242"/>
  <c r="AM180" i="242"/>
  <c r="AL180" i="242"/>
  <c r="AK180" i="242"/>
  <c r="AJ180" i="242"/>
  <c r="AI180" i="242"/>
  <c r="AH180" i="242"/>
  <c r="AO175" i="242"/>
  <c r="AN175" i="242"/>
  <c r="AM175" i="242"/>
  <c r="AL175" i="242"/>
  <c r="AK175" i="242"/>
  <c r="AJ175" i="242"/>
  <c r="AI175" i="242"/>
  <c r="AH175" i="242"/>
  <c r="AO170" i="242"/>
  <c r="AN170" i="242"/>
  <c r="AM170" i="242"/>
  <c r="AL170" i="242"/>
  <c r="AK170" i="242"/>
  <c r="AJ170" i="242"/>
  <c r="AI170" i="242"/>
  <c r="AH170" i="242"/>
  <c r="AO160" i="242"/>
  <c r="AN160" i="242"/>
  <c r="AM160" i="242"/>
  <c r="AL160" i="242"/>
  <c r="AK160" i="242"/>
  <c r="AJ160" i="242"/>
  <c r="AI160" i="242"/>
  <c r="AH160" i="242"/>
  <c r="AO159" i="242"/>
  <c r="AN159" i="242"/>
  <c r="AM159" i="242"/>
  <c r="AL159" i="242"/>
  <c r="AK159" i="242"/>
  <c r="AJ159" i="242"/>
  <c r="AI159" i="242"/>
  <c r="AH159" i="242"/>
  <c r="AO158" i="242"/>
  <c r="AO161" i="242" s="1"/>
  <c r="AO164" i="242" s="1"/>
  <c r="AO166" i="242" s="1"/>
  <c r="AN158" i="242"/>
  <c r="AN161" i="242" s="1"/>
  <c r="AN164" i="242" s="1"/>
  <c r="AN166" i="242" s="1"/>
  <c r="AM158" i="242"/>
  <c r="AL158" i="242"/>
  <c r="AL161" i="242" s="1"/>
  <c r="AL164" i="242"/>
  <c r="AL166" i="242" s="1"/>
  <c r="AK158" i="242"/>
  <c r="AJ158" i="242"/>
  <c r="AI158" i="242"/>
  <c r="AI161" i="242" s="1"/>
  <c r="AI164" i="242" s="1"/>
  <c r="AI166" i="242" s="1"/>
  <c r="AH158" i="242"/>
  <c r="AH161" i="242" s="1"/>
  <c r="AH164" i="242" s="1"/>
  <c r="AH166" i="242" s="1"/>
  <c r="AO156" i="242"/>
  <c r="AN156" i="242"/>
  <c r="AM156" i="242"/>
  <c r="AL156" i="242"/>
  <c r="AK156" i="242"/>
  <c r="AJ156" i="242"/>
  <c r="AI156" i="242"/>
  <c r="AH156" i="242"/>
  <c r="AO151" i="242"/>
  <c r="AN151" i="242"/>
  <c r="AM151" i="242"/>
  <c r="AL151" i="242"/>
  <c r="AK151" i="242"/>
  <c r="AJ151" i="242"/>
  <c r="AI151" i="242"/>
  <c r="AH151" i="242"/>
  <c r="AO146" i="242"/>
  <c r="AN146" i="242"/>
  <c r="AM146" i="242"/>
  <c r="AL146" i="242"/>
  <c r="AK146" i="242"/>
  <c r="AJ146" i="242"/>
  <c r="AI146" i="242"/>
  <c r="AH146" i="242"/>
  <c r="AO141" i="242"/>
  <c r="AN141" i="242"/>
  <c r="AM141" i="242"/>
  <c r="AL141" i="242"/>
  <c r="AK141" i="242"/>
  <c r="AJ141" i="242"/>
  <c r="AI141" i="242"/>
  <c r="AH141" i="242"/>
  <c r="AO131" i="242"/>
  <c r="AN131" i="242"/>
  <c r="AM131" i="242"/>
  <c r="AL131" i="242"/>
  <c r="AK131" i="242"/>
  <c r="AJ131" i="242"/>
  <c r="AI131" i="242"/>
  <c r="AH131" i="242"/>
  <c r="AO130" i="242"/>
  <c r="AN130" i="242"/>
  <c r="AM130" i="242"/>
  <c r="AL130" i="242"/>
  <c r="AK130" i="242"/>
  <c r="AJ130" i="242"/>
  <c r="AI130" i="242"/>
  <c r="AH130" i="242"/>
  <c r="AO129" i="242"/>
  <c r="AO132" i="242" s="1"/>
  <c r="AO135" i="242" s="1"/>
  <c r="AO137" i="242" s="1"/>
  <c r="AN129" i="242"/>
  <c r="AN132" i="242" s="1"/>
  <c r="AN135" i="242" s="1"/>
  <c r="AN137" i="242" s="1"/>
  <c r="AM129" i="242"/>
  <c r="AL129" i="242"/>
  <c r="AL132" i="242" s="1"/>
  <c r="AL135" i="242" s="1"/>
  <c r="AL137" i="242" s="1"/>
  <c r="AK129" i="242"/>
  <c r="AJ129" i="242"/>
  <c r="AI129" i="242"/>
  <c r="AI132" i="242" s="1"/>
  <c r="AH129" i="242"/>
  <c r="AO127" i="242"/>
  <c r="AN127" i="242"/>
  <c r="AM127" i="242"/>
  <c r="AL127" i="242"/>
  <c r="AK127" i="242"/>
  <c r="AJ127" i="242"/>
  <c r="AI127" i="242"/>
  <c r="AH127" i="242"/>
  <c r="AO122" i="242"/>
  <c r="AN122" i="242"/>
  <c r="AM122" i="242"/>
  <c r="AL122" i="242"/>
  <c r="AK122" i="242"/>
  <c r="AJ122" i="242"/>
  <c r="AI122" i="242"/>
  <c r="AH122" i="242"/>
  <c r="AO117" i="242"/>
  <c r="AN117" i="242"/>
  <c r="AM117" i="242"/>
  <c r="AL117" i="242"/>
  <c r="AK117" i="242"/>
  <c r="AJ117" i="242"/>
  <c r="AI117" i="242"/>
  <c r="AH117" i="242"/>
  <c r="AO112" i="242"/>
  <c r="AN112" i="242"/>
  <c r="AM112" i="242"/>
  <c r="AL112" i="242"/>
  <c r="AK112" i="242"/>
  <c r="AJ112" i="242"/>
  <c r="AI112" i="242"/>
  <c r="AH112" i="242"/>
  <c r="AO102" i="242"/>
  <c r="AN102" i="242"/>
  <c r="AM102" i="242"/>
  <c r="AL102" i="242"/>
  <c r="AK102" i="242"/>
  <c r="AJ102" i="242"/>
  <c r="AI102" i="242"/>
  <c r="AH102" i="242"/>
  <c r="AO101" i="242"/>
  <c r="AN101" i="242"/>
  <c r="AM101" i="242"/>
  <c r="AL101" i="242"/>
  <c r="AK101" i="242"/>
  <c r="AJ101" i="242"/>
  <c r="AI101" i="242"/>
  <c r="AI103" i="242" s="1"/>
  <c r="AI106" i="242" s="1"/>
  <c r="AI108" i="242" s="1"/>
  <c r="AH101" i="242"/>
  <c r="AO100" i="242"/>
  <c r="AO103" i="242" s="1"/>
  <c r="AN100" i="242"/>
  <c r="AN103" i="242" s="1"/>
  <c r="AN106" i="242" s="1"/>
  <c r="AN108" i="242" s="1"/>
  <c r="AM100" i="242"/>
  <c r="AM103" i="242" s="1"/>
  <c r="AM106" i="242" s="1"/>
  <c r="AM108" i="242" s="1"/>
  <c r="AL100" i="242"/>
  <c r="AL103" i="242"/>
  <c r="AL106" i="242" s="1"/>
  <c r="AK100" i="242"/>
  <c r="AJ100" i="242"/>
  <c r="AJ103" i="242" s="1"/>
  <c r="AI100" i="242"/>
  <c r="AH100" i="242"/>
  <c r="AH103" i="242" s="1"/>
  <c r="AO98" i="242"/>
  <c r="AN98" i="242"/>
  <c r="AM98" i="242"/>
  <c r="AL98" i="242"/>
  <c r="AK98" i="242"/>
  <c r="AJ98" i="242"/>
  <c r="AI98" i="242"/>
  <c r="AH98" i="242"/>
  <c r="AO93" i="242"/>
  <c r="AN93" i="242"/>
  <c r="AM93" i="242"/>
  <c r="AL93" i="242"/>
  <c r="AK93" i="242"/>
  <c r="AJ93" i="242"/>
  <c r="AI93" i="242"/>
  <c r="AH93" i="242"/>
  <c r="AO88" i="242"/>
  <c r="AN88" i="242"/>
  <c r="AM88" i="242"/>
  <c r="AL88" i="242"/>
  <c r="AK88" i="242"/>
  <c r="AJ88" i="242"/>
  <c r="AI88" i="242"/>
  <c r="AH88" i="242"/>
  <c r="AO83" i="242"/>
  <c r="AN83" i="242"/>
  <c r="AM83" i="242"/>
  <c r="AL83" i="242"/>
  <c r="AK83" i="242"/>
  <c r="AJ83" i="242"/>
  <c r="AI83" i="242"/>
  <c r="AH83" i="242"/>
  <c r="AM59" i="242"/>
  <c r="AL108" i="242"/>
  <c r="AB47" i="230"/>
  <c r="AA47" i="230"/>
  <c r="Z47" i="230"/>
  <c r="Y47" i="230"/>
  <c r="X47" i="230"/>
  <c r="W47" i="230"/>
  <c r="V47" i="230"/>
  <c r="U47" i="230"/>
  <c r="T47" i="230"/>
  <c r="S47" i="230"/>
  <c r="R47" i="230"/>
  <c r="Q47" i="230"/>
  <c r="P47" i="230"/>
  <c r="O47" i="230"/>
  <c r="N47" i="230"/>
  <c r="M47" i="230"/>
  <c r="L47" i="230"/>
  <c r="K47" i="230"/>
  <c r="J47" i="230"/>
  <c r="I47" i="230"/>
  <c r="H47" i="230"/>
  <c r="G47" i="230"/>
  <c r="F47" i="230"/>
  <c r="E47" i="230"/>
  <c r="AB46" i="230"/>
  <c r="AA46" i="230"/>
  <c r="Z46" i="230"/>
  <c r="Y46" i="230"/>
  <c r="X46" i="230"/>
  <c r="W46" i="230"/>
  <c r="V46" i="230"/>
  <c r="U46" i="230"/>
  <c r="T46" i="230"/>
  <c r="S46" i="230"/>
  <c r="R46" i="230"/>
  <c r="Q46" i="230"/>
  <c r="P46" i="230"/>
  <c r="O46" i="230"/>
  <c r="N46" i="230"/>
  <c r="M46" i="230"/>
  <c r="L46" i="230"/>
  <c r="K46" i="230"/>
  <c r="J46" i="230"/>
  <c r="I46" i="230"/>
  <c r="H46" i="230"/>
  <c r="G46" i="230"/>
  <c r="F46" i="230"/>
  <c r="E46" i="230"/>
  <c r="AB44" i="230"/>
  <c r="AA44" i="230"/>
  <c r="Z44" i="230"/>
  <c r="Y44" i="230"/>
  <c r="X44" i="230"/>
  <c r="W44" i="230"/>
  <c r="V44" i="230"/>
  <c r="U44" i="230"/>
  <c r="T44" i="230"/>
  <c r="S44" i="230"/>
  <c r="R44" i="230"/>
  <c r="Q44" i="230"/>
  <c r="P44" i="230"/>
  <c r="O44" i="230"/>
  <c r="N44" i="230"/>
  <c r="M44" i="230"/>
  <c r="L44" i="230"/>
  <c r="K44" i="230"/>
  <c r="J44" i="230"/>
  <c r="I44" i="230"/>
  <c r="H44" i="230"/>
  <c r="G44" i="230"/>
  <c r="F44" i="230"/>
  <c r="E44" i="230"/>
  <c r="D47" i="230"/>
  <c r="D44" i="230"/>
  <c r="D46" i="230"/>
  <c r="AB73" i="230"/>
  <c r="AA73" i="230"/>
  <c r="Z73" i="230"/>
  <c r="Y73" i="230"/>
  <c r="X73" i="230"/>
  <c r="W73" i="230"/>
  <c r="V73" i="230"/>
  <c r="U73" i="230"/>
  <c r="T73" i="230"/>
  <c r="S73" i="230"/>
  <c r="R73" i="230"/>
  <c r="Q73" i="230"/>
  <c r="P73" i="230"/>
  <c r="O73" i="230"/>
  <c r="N73" i="230"/>
  <c r="M73" i="230"/>
  <c r="L73" i="230"/>
  <c r="K73" i="230"/>
  <c r="J73" i="230"/>
  <c r="I73" i="230"/>
  <c r="H73" i="230"/>
  <c r="G73" i="230"/>
  <c r="F73" i="230"/>
  <c r="E73" i="230"/>
  <c r="AB72" i="230"/>
  <c r="AA72" i="230"/>
  <c r="Z72" i="230"/>
  <c r="Y72" i="230"/>
  <c r="X72" i="230"/>
  <c r="W72" i="230"/>
  <c r="V72" i="230"/>
  <c r="U72" i="230"/>
  <c r="T72" i="230"/>
  <c r="S72" i="230"/>
  <c r="R72" i="230"/>
  <c r="Q72" i="230"/>
  <c r="P72" i="230"/>
  <c r="O72" i="230"/>
  <c r="N72" i="230"/>
  <c r="M72" i="230"/>
  <c r="L72" i="230"/>
  <c r="K72" i="230"/>
  <c r="J72" i="230"/>
  <c r="I72" i="230"/>
  <c r="H72" i="230"/>
  <c r="G72" i="230"/>
  <c r="F72" i="230"/>
  <c r="E72" i="230"/>
  <c r="AB70" i="230"/>
  <c r="AA70" i="230"/>
  <c r="Z70" i="230"/>
  <c r="Y70" i="230"/>
  <c r="X70" i="230"/>
  <c r="W70" i="230"/>
  <c r="V70" i="230"/>
  <c r="U70" i="230"/>
  <c r="T70" i="230"/>
  <c r="S70" i="230"/>
  <c r="R70" i="230"/>
  <c r="Q70" i="230"/>
  <c r="P70" i="230"/>
  <c r="O70" i="230"/>
  <c r="N70" i="230"/>
  <c r="M70" i="230"/>
  <c r="L70" i="230"/>
  <c r="K70" i="230"/>
  <c r="J70" i="230"/>
  <c r="I70" i="230"/>
  <c r="H70" i="230"/>
  <c r="G70" i="230"/>
  <c r="F70" i="230"/>
  <c r="E70" i="230"/>
  <c r="D73" i="230"/>
  <c r="D72" i="230"/>
  <c r="D70" i="230"/>
  <c r="D69" i="230"/>
  <c r="D71" i="230" s="1"/>
  <c r="D43" i="230"/>
  <c r="B12" i="206"/>
  <c r="B9" i="224"/>
  <c r="AC57" i="231"/>
  <c r="AC62" i="231"/>
  <c r="AB57" i="231"/>
  <c r="AB62" i="231"/>
  <c r="AA57" i="231"/>
  <c r="AA62" i="231"/>
  <c r="Z57" i="231"/>
  <c r="Z62" i="231"/>
  <c r="Y57" i="231"/>
  <c r="Y62" i="231"/>
  <c r="X57" i="231"/>
  <c r="X62" i="231"/>
  <c r="W57" i="231"/>
  <c r="W62" i="231"/>
  <c r="V57" i="231"/>
  <c r="V62" i="231"/>
  <c r="U57" i="231"/>
  <c r="U62" i="231"/>
  <c r="T57" i="231"/>
  <c r="T62" i="231"/>
  <c r="S57" i="231"/>
  <c r="S62" i="231"/>
  <c r="R57" i="231"/>
  <c r="R62" i="231"/>
  <c r="Q57" i="231"/>
  <c r="Q62" i="231"/>
  <c r="P57" i="231"/>
  <c r="P62" i="231"/>
  <c r="O57" i="231"/>
  <c r="O62" i="231"/>
  <c r="N57" i="231"/>
  <c r="N62" i="231"/>
  <c r="M57" i="231"/>
  <c r="M62" i="231"/>
  <c r="L57" i="231"/>
  <c r="L62" i="231"/>
  <c r="K57" i="231"/>
  <c r="K62" i="231"/>
  <c r="J57" i="231"/>
  <c r="J62" i="231"/>
  <c r="I57" i="231"/>
  <c r="I62" i="231"/>
  <c r="H57" i="231"/>
  <c r="H62" i="231"/>
  <c r="G57" i="231"/>
  <c r="G62" i="231"/>
  <c r="F57" i="231"/>
  <c r="F62" i="231"/>
  <c r="E57" i="231"/>
  <c r="E62" i="231"/>
  <c r="AC63" i="231"/>
  <c r="AC68" i="231"/>
  <c r="AB63" i="231"/>
  <c r="AB68" i="231"/>
  <c r="AA63" i="231"/>
  <c r="AA68" i="231"/>
  <c r="Z63" i="231"/>
  <c r="Z68" i="231"/>
  <c r="Y63" i="231"/>
  <c r="Y68" i="231"/>
  <c r="X63" i="231"/>
  <c r="X68" i="231"/>
  <c r="W63" i="231"/>
  <c r="W68" i="231"/>
  <c r="V63" i="231"/>
  <c r="V68" i="231"/>
  <c r="U63" i="231"/>
  <c r="U68" i="231"/>
  <c r="T63" i="231"/>
  <c r="T68" i="231"/>
  <c r="S63" i="231"/>
  <c r="S68" i="231"/>
  <c r="R63" i="231"/>
  <c r="R68" i="231"/>
  <c r="Q63" i="231"/>
  <c r="Q68" i="231"/>
  <c r="P63" i="231"/>
  <c r="P68" i="231"/>
  <c r="O63" i="231"/>
  <c r="O68" i="231"/>
  <c r="N63" i="231"/>
  <c r="N68" i="231"/>
  <c r="M63" i="231"/>
  <c r="M68" i="231"/>
  <c r="L63" i="231"/>
  <c r="L68" i="231"/>
  <c r="K63" i="231"/>
  <c r="K68" i="231"/>
  <c r="J63" i="231"/>
  <c r="J68" i="231"/>
  <c r="I63" i="231"/>
  <c r="I68" i="231"/>
  <c r="H63" i="231"/>
  <c r="H68" i="231"/>
  <c r="G63" i="231"/>
  <c r="G68" i="231"/>
  <c r="F63" i="231"/>
  <c r="F68" i="231"/>
  <c r="E63" i="231"/>
  <c r="E68" i="231"/>
  <c r="AB69" i="231"/>
  <c r="AB74" i="231"/>
  <c r="Z69" i="231"/>
  <c r="Z74" i="231"/>
  <c r="X69" i="231"/>
  <c r="X74" i="231"/>
  <c r="V69" i="231"/>
  <c r="V74" i="231"/>
  <c r="T69" i="231"/>
  <c r="T74" i="231"/>
  <c r="R69" i="231"/>
  <c r="R74" i="231"/>
  <c r="P69" i="231"/>
  <c r="P74" i="231"/>
  <c r="N69" i="231"/>
  <c r="N74" i="231"/>
  <c r="L69" i="231"/>
  <c r="L74" i="231"/>
  <c r="J69" i="231"/>
  <c r="J74" i="231"/>
  <c r="F69" i="231"/>
  <c r="F74" i="231" s="1"/>
  <c r="E69" i="231"/>
  <c r="E74" i="231"/>
  <c r="E75" i="231"/>
  <c r="E80" i="231" s="1"/>
  <c r="F75" i="231"/>
  <c r="G75" i="231"/>
  <c r="H75" i="231"/>
  <c r="H80" i="231" s="1"/>
  <c r="I75" i="231"/>
  <c r="I80" i="231" s="1"/>
  <c r="J75" i="231"/>
  <c r="K75" i="231"/>
  <c r="L75" i="231"/>
  <c r="L80" i="231" s="1"/>
  <c r="M75" i="231"/>
  <c r="M80" i="231" s="1"/>
  <c r="N75" i="231"/>
  <c r="O75" i="231"/>
  <c r="P75" i="231"/>
  <c r="P80" i="231" s="1"/>
  <c r="Q75" i="231"/>
  <c r="R75" i="231"/>
  <c r="R80" i="231" s="1"/>
  <c r="S75" i="231"/>
  <c r="S80" i="231"/>
  <c r="T75" i="231"/>
  <c r="T80" i="231" s="1"/>
  <c r="U75" i="231"/>
  <c r="U80" i="231" s="1"/>
  <c r="V75" i="231"/>
  <c r="V80" i="231" s="1"/>
  <c r="W75" i="231"/>
  <c r="W80" i="231"/>
  <c r="X75" i="231"/>
  <c r="Y75" i="231"/>
  <c r="Y80" i="231"/>
  <c r="Z75" i="231"/>
  <c r="Z80" i="231" s="1"/>
  <c r="AA75" i="231"/>
  <c r="AA80" i="231"/>
  <c r="AB75" i="231"/>
  <c r="AB80" i="231" s="1"/>
  <c r="AC75" i="231"/>
  <c r="AC80" i="231" s="1"/>
  <c r="X80" i="231"/>
  <c r="Q80" i="231"/>
  <c r="O80" i="231"/>
  <c r="N80" i="231"/>
  <c r="K80" i="231"/>
  <c r="J80" i="231"/>
  <c r="G80" i="231"/>
  <c r="F80" i="231"/>
  <c r="AC53" i="231"/>
  <c r="AB53" i="231"/>
  <c r="AA53" i="231"/>
  <c r="Z53" i="231"/>
  <c r="Y53" i="231"/>
  <c r="X53" i="231"/>
  <c r="W53" i="231"/>
  <c r="V53" i="231"/>
  <c r="U53" i="231"/>
  <c r="T53" i="231"/>
  <c r="S53" i="231"/>
  <c r="R53" i="231"/>
  <c r="Q53" i="231"/>
  <c r="P53" i="231"/>
  <c r="O53" i="231"/>
  <c r="N53" i="231"/>
  <c r="M53" i="231"/>
  <c r="L53" i="231"/>
  <c r="K53" i="231"/>
  <c r="J53" i="231"/>
  <c r="I53" i="231"/>
  <c r="H53" i="231"/>
  <c r="G53" i="231"/>
  <c r="F53" i="231"/>
  <c r="E53" i="231"/>
  <c r="AC45" i="231"/>
  <c r="AB45" i="231"/>
  <c r="AA45" i="231"/>
  <c r="Z45" i="231"/>
  <c r="Y45" i="231"/>
  <c r="X45" i="231"/>
  <c r="W45" i="231"/>
  <c r="V45" i="231"/>
  <c r="U45" i="231"/>
  <c r="T45" i="231"/>
  <c r="S45" i="231"/>
  <c r="R45" i="231"/>
  <c r="Q45" i="231"/>
  <c r="P45" i="231"/>
  <c r="O45" i="231"/>
  <c r="N45" i="231"/>
  <c r="M45" i="231"/>
  <c r="L45" i="231"/>
  <c r="K45" i="231"/>
  <c r="J45" i="231"/>
  <c r="I45" i="231"/>
  <c r="H45" i="231"/>
  <c r="G45" i="231"/>
  <c r="F45" i="231"/>
  <c r="E45" i="231"/>
  <c r="AC37" i="231"/>
  <c r="AB37" i="231"/>
  <c r="AA37" i="231"/>
  <c r="Z37" i="231"/>
  <c r="Y37" i="231"/>
  <c r="X37" i="231"/>
  <c r="W37" i="231"/>
  <c r="V37" i="231"/>
  <c r="U37" i="231"/>
  <c r="T37" i="231"/>
  <c r="S37" i="231"/>
  <c r="R37" i="231"/>
  <c r="Q37" i="231"/>
  <c r="P37" i="231"/>
  <c r="O37" i="231"/>
  <c r="N37" i="231"/>
  <c r="M37" i="231"/>
  <c r="L37" i="231"/>
  <c r="K37" i="231"/>
  <c r="J37" i="231"/>
  <c r="I37" i="231"/>
  <c r="H37" i="231"/>
  <c r="G37" i="231"/>
  <c r="F37" i="231"/>
  <c r="E37" i="231"/>
  <c r="AC29" i="231"/>
  <c r="AB29" i="231"/>
  <c r="AA29" i="231"/>
  <c r="Z29" i="231"/>
  <c r="Y29" i="231"/>
  <c r="X29" i="231"/>
  <c r="W29" i="231"/>
  <c r="V29" i="231"/>
  <c r="U29" i="231"/>
  <c r="T29" i="231"/>
  <c r="S29" i="231"/>
  <c r="R29" i="231"/>
  <c r="Q29" i="231"/>
  <c r="P29" i="231"/>
  <c r="O29" i="231"/>
  <c r="N29" i="231"/>
  <c r="M29" i="231"/>
  <c r="L29" i="231"/>
  <c r="K29" i="231"/>
  <c r="J29" i="231"/>
  <c r="I29" i="231"/>
  <c r="H29" i="231"/>
  <c r="G29" i="231"/>
  <c r="F29" i="231"/>
  <c r="E29" i="231"/>
  <c r="D56" i="230"/>
  <c r="AB54" i="230"/>
  <c r="AC69" i="231" s="1"/>
  <c r="AC74" i="231" s="1"/>
  <c r="AB56" i="230"/>
  <c r="AA54" i="230"/>
  <c r="AA56" i="230" s="1"/>
  <c r="Z54" i="230"/>
  <c r="AA69" i="231" s="1"/>
  <c r="AA74" i="231" s="1"/>
  <c r="Y54" i="230"/>
  <c r="Y56" i="230" s="1"/>
  <c r="X54" i="230"/>
  <c r="Y69" i="231" s="1"/>
  <c r="Y74" i="231" s="1"/>
  <c r="X56" i="230"/>
  <c r="W54" i="230"/>
  <c r="W56" i="230" s="1"/>
  <c r="V54" i="230"/>
  <c r="U54" i="230"/>
  <c r="U56" i="230" s="1"/>
  <c r="T54" i="230"/>
  <c r="U69" i="231" s="1"/>
  <c r="U74" i="231" s="1"/>
  <c r="T56" i="230"/>
  <c r="S54" i="230"/>
  <c r="S56" i="230" s="1"/>
  <c r="R54" i="230"/>
  <c r="S69" i="231" s="1"/>
  <c r="S74" i="231" s="1"/>
  <c r="Q54" i="230"/>
  <c r="Q56" i="230" s="1"/>
  <c r="P54" i="230"/>
  <c r="Q69" i="231" s="1"/>
  <c r="Q74" i="231" s="1"/>
  <c r="P56" i="230"/>
  <c r="O54" i="230"/>
  <c r="O56" i="230" s="1"/>
  <c r="N54" i="230"/>
  <c r="M54" i="230"/>
  <c r="M56" i="230" s="1"/>
  <c r="L54" i="230"/>
  <c r="M69" i="231" s="1"/>
  <c r="M74" i="231" s="1"/>
  <c r="L56" i="230"/>
  <c r="K54" i="230"/>
  <c r="K56" i="230" s="1"/>
  <c r="J54" i="230"/>
  <c r="K69" i="231" s="1"/>
  <c r="K74" i="231" s="1"/>
  <c r="I54" i="230"/>
  <c r="I56" i="230" s="1"/>
  <c r="H54" i="230"/>
  <c r="I69" i="231" s="1"/>
  <c r="I74" i="231" s="1"/>
  <c r="H56" i="230"/>
  <c r="G54" i="230"/>
  <c r="G56" i="230" s="1"/>
  <c r="F54" i="230"/>
  <c r="E54" i="230"/>
  <c r="G69" i="231" s="1"/>
  <c r="G74" i="231" s="1"/>
  <c r="D51" i="230"/>
  <c r="AB49" i="230"/>
  <c r="AA49" i="230"/>
  <c r="AA51" i="230"/>
  <c r="Z49" i="230"/>
  <c r="Z51" i="230" s="1"/>
  <c r="Y49" i="230"/>
  <c r="Y51" i="230"/>
  <c r="X49" i="230"/>
  <c r="X51" i="230" s="1"/>
  <c r="W49" i="230"/>
  <c r="W51" i="230"/>
  <c r="V49" i="230"/>
  <c r="V51" i="230" s="1"/>
  <c r="U49" i="230"/>
  <c r="U51" i="230"/>
  <c r="T49" i="230"/>
  <c r="S49" i="230"/>
  <c r="S51" i="230"/>
  <c r="R49" i="230"/>
  <c r="R51" i="230" s="1"/>
  <c r="Q49" i="230"/>
  <c r="Q51" i="230"/>
  <c r="P49" i="230"/>
  <c r="P51" i="230" s="1"/>
  <c r="O49" i="230"/>
  <c r="O51" i="230"/>
  <c r="N49" i="230"/>
  <c r="N51" i="230" s="1"/>
  <c r="M49" i="230"/>
  <c r="M51" i="230"/>
  <c r="L49" i="230"/>
  <c r="K49" i="230"/>
  <c r="K51" i="230"/>
  <c r="J49" i="230"/>
  <c r="J51" i="230" s="1"/>
  <c r="I49" i="230"/>
  <c r="I51" i="230"/>
  <c r="H49" i="230"/>
  <c r="H51" i="230" s="1"/>
  <c r="G49" i="230"/>
  <c r="G51" i="230"/>
  <c r="F49" i="230"/>
  <c r="F51" i="230" s="1"/>
  <c r="E49" i="230"/>
  <c r="E51" i="230"/>
  <c r="D40" i="230"/>
  <c r="AB38" i="230"/>
  <c r="AB40" i="230" s="1"/>
  <c r="AA38" i="230"/>
  <c r="AA40" i="230" s="1"/>
  <c r="Z38" i="230"/>
  <c r="Z40" i="230" s="1"/>
  <c r="Y38" i="230"/>
  <c r="Y40" i="230"/>
  <c r="X38" i="230"/>
  <c r="X40" i="230" s="1"/>
  <c r="W38" i="230"/>
  <c r="W40" i="230" s="1"/>
  <c r="V38" i="230"/>
  <c r="V40" i="230" s="1"/>
  <c r="U38" i="230"/>
  <c r="U40" i="230"/>
  <c r="T38" i="230"/>
  <c r="T40" i="230" s="1"/>
  <c r="S38" i="230"/>
  <c r="S40" i="230" s="1"/>
  <c r="R38" i="230"/>
  <c r="R40" i="230" s="1"/>
  <c r="Q38" i="230"/>
  <c r="Q40" i="230"/>
  <c r="P38" i="230"/>
  <c r="P40" i="230" s="1"/>
  <c r="O38" i="230"/>
  <c r="O40" i="230" s="1"/>
  <c r="N38" i="230"/>
  <c r="N40" i="230" s="1"/>
  <c r="M38" i="230"/>
  <c r="M40" i="230"/>
  <c r="L38" i="230"/>
  <c r="L40" i="230" s="1"/>
  <c r="K38" i="230"/>
  <c r="K40" i="230" s="1"/>
  <c r="J38" i="230"/>
  <c r="J40" i="230" s="1"/>
  <c r="I38" i="230"/>
  <c r="I40" i="230"/>
  <c r="H38" i="230"/>
  <c r="H40" i="230" s="1"/>
  <c r="G38" i="230"/>
  <c r="G40" i="230" s="1"/>
  <c r="F38" i="230"/>
  <c r="F40" i="230" s="1"/>
  <c r="E38" i="230"/>
  <c r="E40" i="230"/>
  <c r="D35" i="230"/>
  <c r="AB33" i="230"/>
  <c r="AB35" i="230"/>
  <c r="AA33" i="230"/>
  <c r="AA35" i="230" s="1"/>
  <c r="Z33" i="230"/>
  <c r="Z35" i="230"/>
  <c r="Y33" i="230"/>
  <c r="Y35" i="230" s="1"/>
  <c r="X33" i="230"/>
  <c r="X35" i="230"/>
  <c r="W33" i="230"/>
  <c r="W35" i="230" s="1"/>
  <c r="V33" i="230"/>
  <c r="V35" i="230"/>
  <c r="U33" i="230"/>
  <c r="U35" i="230" s="1"/>
  <c r="T33" i="230"/>
  <c r="T35" i="230"/>
  <c r="S33" i="230"/>
  <c r="S35" i="230" s="1"/>
  <c r="R33" i="230"/>
  <c r="R35" i="230"/>
  <c r="Q33" i="230"/>
  <c r="Q35" i="230" s="1"/>
  <c r="P33" i="230"/>
  <c r="P35" i="230"/>
  <c r="O33" i="230"/>
  <c r="O35" i="230" s="1"/>
  <c r="N33" i="230"/>
  <c r="N35" i="230"/>
  <c r="M33" i="230"/>
  <c r="M35" i="230" s="1"/>
  <c r="L33" i="230"/>
  <c r="L35" i="230"/>
  <c r="K33" i="230"/>
  <c r="K35" i="230" s="1"/>
  <c r="J33" i="230"/>
  <c r="J35" i="230"/>
  <c r="I33" i="230"/>
  <c r="I35" i="230" s="1"/>
  <c r="H33" i="230"/>
  <c r="H35" i="230"/>
  <c r="G33" i="230"/>
  <c r="G35" i="230" s="1"/>
  <c r="F33" i="230"/>
  <c r="F35" i="230"/>
  <c r="E33" i="230"/>
  <c r="E35" i="230"/>
  <c r="D30" i="230"/>
  <c r="AB28" i="230"/>
  <c r="AB30" i="230" s="1"/>
  <c r="AA28" i="230"/>
  <c r="AA30" i="230" s="1"/>
  <c r="Z28" i="230"/>
  <c r="Z30" i="230"/>
  <c r="Y28" i="230"/>
  <c r="Y30" i="230" s="1"/>
  <c r="X28" i="230"/>
  <c r="X30" i="230" s="1"/>
  <c r="W28" i="230"/>
  <c r="W30" i="230" s="1"/>
  <c r="V28" i="230"/>
  <c r="V30" i="230"/>
  <c r="U28" i="230"/>
  <c r="U30" i="230" s="1"/>
  <c r="T28" i="230"/>
  <c r="T30" i="230" s="1"/>
  <c r="S28" i="230"/>
  <c r="S30" i="230" s="1"/>
  <c r="R28" i="230"/>
  <c r="R30" i="230" s="1"/>
  <c r="Q28" i="230"/>
  <c r="Q30" i="230" s="1"/>
  <c r="P28" i="230"/>
  <c r="P30" i="230" s="1"/>
  <c r="O28" i="230"/>
  <c r="O30" i="230" s="1"/>
  <c r="N28" i="230"/>
  <c r="N30" i="230" s="1"/>
  <c r="M28" i="230"/>
  <c r="M30" i="230" s="1"/>
  <c r="L28" i="230"/>
  <c r="L30" i="230" s="1"/>
  <c r="K28" i="230"/>
  <c r="K30" i="230" s="1"/>
  <c r="J28" i="230"/>
  <c r="J30" i="230" s="1"/>
  <c r="I28" i="230"/>
  <c r="I30" i="230" s="1"/>
  <c r="H28" i="230"/>
  <c r="H30" i="230" s="1"/>
  <c r="G28" i="230"/>
  <c r="G30" i="230" s="1"/>
  <c r="F28" i="230"/>
  <c r="F30" i="230" s="1"/>
  <c r="E28" i="230"/>
  <c r="E30" i="230" s="1"/>
  <c r="L90" i="210"/>
  <c r="K96" i="203" s="1"/>
  <c r="K90" i="210"/>
  <c r="J96" i="203" s="1"/>
  <c r="J90" i="210"/>
  <c r="I90" i="210"/>
  <c r="H96" i="203" s="1"/>
  <c r="H90" i="210"/>
  <c r="G90" i="210"/>
  <c r="F90" i="210"/>
  <c r="E90" i="210"/>
  <c r="D90" i="210"/>
  <c r="D96" i="203" s="1"/>
  <c r="C90" i="210"/>
  <c r="C96" i="203" s="1"/>
  <c r="E10" i="239"/>
  <c r="E10" i="235"/>
  <c r="E11" i="235"/>
  <c r="B14" i="206"/>
  <c r="E10" i="238"/>
  <c r="E10" i="187"/>
  <c r="E10" i="205"/>
  <c r="B11" i="242"/>
  <c r="H62" i="243"/>
  <c r="H19" i="243"/>
  <c r="B10" i="243"/>
  <c r="H7" i="137"/>
  <c r="H81" i="210"/>
  <c r="C15" i="237"/>
  <c r="B10" i="221"/>
  <c r="B9" i="237"/>
  <c r="B8" i="237"/>
  <c r="F34" i="234"/>
  <c r="F62" i="234"/>
  <c r="F66" i="234" s="1"/>
  <c r="E8" i="238"/>
  <c r="E8" i="239"/>
  <c r="E8" i="205"/>
  <c r="E24" i="232"/>
  <c r="E20" i="231"/>
  <c r="I76" i="230"/>
  <c r="I64" i="230"/>
  <c r="I66" i="230" s="1"/>
  <c r="I59" i="230"/>
  <c r="I61" i="230" s="1"/>
  <c r="I23" i="230"/>
  <c r="I43" i="230" s="1"/>
  <c r="I45" i="230" s="1"/>
  <c r="D20" i="230"/>
  <c r="C51" i="234"/>
  <c r="C42" i="234"/>
  <c r="G40" i="223"/>
  <c r="F40" i="223"/>
  <c r="E40" i="223"/>
  <c r="D40" i="223"/>
  <c r="C40" i="223"/>
  <c r="B40" i="223"/>
  <c r="G38" i="223"/>
  <c r="F38" i="223"/>
  <c r="E38" i="223"/>
  <c r="D38" i="223"/>
  <c r="C38" i="223"/>
  <c r="B38" i="223"/>
  <c r="G36" i="223"/>
  <c r="F36" i="223"/>
  <c r="E36" i="223"/>
  <c r="D36" i="223"/>
  <c r="C36" i="223"/>
  <c r="B36" i="223"/>
  <c r="G34" i="223"/>
  <c r="F34" i="223"/>
  <c r="E34" i="223"/>
  <c r="D34" i="223"/>
  <c r="C34" i="223"/>
  <c r="B34" i="223"/>
  <c r="N32" i="223"/>
  <c r="N16" i="223"/>
  <c r="D20" i="203"/>
  <c r="H36" i="224"/>
  <c r="H20" i="224"/>
  <c r="J45" i="224"/>
  <c r="J29" i="224"/>
  <c r="E22" i="232"/>
  <c r="S90" i="231"/>
  <c r="T90" i="231"/>
  <c r="U90" i="231"/>
  <c r="V90" i="231"/>
  <c r="W90" i="231"/>
  <c r="X90" i="231"/>
  <c r="Y90" i="231"/>
  <c r="Z90" i="231"/>
  <c r="AA90" i="231"/>
  <c r="AB90" i="231"/>
  <c r="AC90" i="231"/>
  <c r="G90" i="231"/>
  <c r="G91" i="231" s="1"/>
  <c r="G85" i="231"/>
  <c r="G81" i="231"/>
  <c r="G76" i="230"/>
  <c r="G78" i="230"/>
  <c r="G64" i="230"/>
  <c r="G66" i="230"/>
  <c r="G59" i="230"/>
  <c r="G23" i="230"/>
  <c r="C24" i="234"/>
  <c r="F65" i="234"/>
  <c r="G61" i="230"/>
  <c r="H43" i="221"/>
  <c r="H30" i="221"/>
  <c r="H17" i="221"/>
  <c r="K36" i="221"/>
  <c r="K23" i="221"/>
  <c r="H15" i="220"/>
  <c r="J24" i="220"/>
  <c r="H62" i="218"/>
  <c r="H19" i="218"/>
  <c r="J56" i="218"/>
  <c r="J29" i="220" s="1"/>
  <c r="B10" i="218"/>
  <c r="C48" i="217"/>
  <c r="C18" i="217"/>
  <c r="C96" i="217"/>
  <c r="E90" i="217" s="1"/>
  <c r="E96" i="217" s="1"/>
  <c r="C88" i="217"/>
  <c r="E82" i="217" s="1"/>
  <c r="E88" i="217" s="1"/>
  <c r="C80" i="217"/>
  <c r="E74" i="217" s="1"/>
  <c r="E80" i="217" s="1"/>
  <c r="D74" i="217"/>
  <c r="D80" i="217" s="1"/>
  <c r="F74" i="217" s="1"/>
  <c r="F80" i="217" s="1"/>
  <c r="G74" i="217" s="1"/>
  <c r="G80" i="217" s="1"/>
  <c r="H72" i="201"/>
  <c r="H55" i="201"/>
  <c r="H38" i="201"/>
  <c r="H20" i="201"/>
  <c r="N127" i="223"/>
  <c r="N109" i="223"/>
  <c r="N74" i="223"/>
  <c r="N61" i="223"/>
  <c r="N47" i="223"/>
  <c r="H77" i="210"/>
  <c r="H64" i="210"/>
  <c r="H54" i="210"/>
  <c r="Q46" i="210"/>
  <c r="Q57" i="210" s="1"/>
  <c r="H18" i="210"/>
  <c r="L19" i="239"/>
  <c r="M68" i="203"/>
  <c r="M69" i="203"/>
  <c r="M70" i="203"/>
  <c r="M80" i="203"/>
  <c r="M81" i="203"/>
  <c r="M82" i="203"/>
  <c r="M88" i="203"/>
  <c r="M89" i="203"/>
  <c r="M90" i="203"/>
  <c r="M92" i="203"/>
  <c r="M93" i="203"/>
  <c r="M94" i="203"/>
  <c r="M98" i="203"/>
  <c r="H62" i="203"/>
  <c r="R19" i="203"/>
  <c r="R20" i="203"/>
  <c r="R21" i="203"/>
  <c r="R39" i="203"/>
  <c r="R40" i="203"/>
  <c r="R41" i="203"/>
  <c r="R43" i="203"/>
  <c r="R44" i="203"/>
  <c r="R45" i="203"/>
  <c r="R49" i="203"/>
  <c r="H13" i="203"/>
  <c r="B2" i="203"/>
  <c r="J32" i="237"/>
  <c r="I32" i="237"/>
  <c r="H32" i="237"/>
  <c r="G32" i="237"/>
  <c r="F32" i="237"/>
  <c r="E32" i="237"/>
  <c r="L25" i="237"/>
  <c r="K25" i="237"/>
  <c r="J25" i="237"/>
  <c r="I25" i="237"/>
  <c r="H25" i="237"/>
  <c r="G25" i="237"/>
  <c r="F25" i="237"/>
  <c r="E25" i="237"/>
  <c r="D25" i="237"/>
  <c r="C25" i="237"/>
  <c r="B1" i="203"/>
  <c r="I19" i="243"/>
  <c r="D15" i="237"/>
  <c r="E20" i="230"/>
  <c r="D42" i="234"/>
  <c r="O32" i="223"/>
  <c r="I36" i="224"/>
  <c r="I62" i="218"/>
  <c r="I43" i="221"/>
  <c r="I17" i="221"/>
  <c r="D48" i="217"/>
  <c r="I38" i="201"/>
  <c r="I72" i="201"/>
  <c r="O127" i="223"/>
  <c r="O61" i="223"/>
  <c r="I18" i="210"/>
  <c r="I77" i="210"/>
  <c r="I54" i="210"/>
  <c r="I62" i="203"/>
  <c r="M62" i="203"/>
  <c r="M13" i="203"/>
  <c r="D98" i="203"/>
  <c r="E98" i="203"/>
  <c r="F98" i="203"/>
  <c r="G98" i="203"/>
  <c r="H98" i="203"/>
  <c r="I98" i="203"/>
  <c r="J98" i="203"/>
  <c r="K98" i="203"/>
  <c r="L98" i="203"/>
  <c r="C98" i="203"/>
  <c r="D49" i="203"/>
  <c r="E49" i="203"/>
  <c r="F49" i="203"/>
  <c r="G49" i="203"/>
  <c r="H49" i="203"/>
  <c r="I49" i="203"/>
  <c r="J49" i="203"/>
  <c r="K49" i="203"/>
  <c r="M49" i="203"/>
  <c r="N49" i="203"/>
  <c r="O49" i="203"/>
  <c r="P49" i="203"/>
  <c r="Q49" i="203"/>
  <c r="C49" i="203"/>
  <c r="E96" i="203"/>
  <c r="F96" i="203"/>
  <c r="G96" i="203"/>
  <c r="I96" i="203"/>
  <c r="L96" i="203"/>
  <c r="D47" i="203"/>
  <c r="E47" i="203"/>
  <c r="F47" i="203"/>
  <c r="G47" i="203"/>
  <c r="H47" i="203"/>
  <c r="I47" i="203"/>
  <c r="M47" i="203"/>
  <c r="N47" i="203"/>
  <c r="O47" i="203"/>
  <c r="P47" i="203"/>
  <c r="Q47" i="203"/>
  <c r="C47" i="203"/>
  <c r="D32" i="203"/>
  <c r="E32" i="203"/>
  <c r="F32" i="203"/>
  <c r="G32" i="203"/>
  <c r="H32" i="203"/>
  <c r="I32" i="203"/>
  <c r="J32" i="203"/>
  <c r="K32" i="203"/>
  <c r="M32" i="203"/>
  <c r="N32" i="203"/>
  <c r="O32" i="203"/>
  <c r="P32" i="203"/>
  <c r="Q32" i="203"/>
  <c r="C32" i="203"/>
  <c r="D23" i="203"/>
  <c r="E23" i="203"/>
  <c r="F23" i="203"/>
  <c r="G23" i="203"/>
  <c r="C23" i="203"/>
  <c r="D19" i="203"/>
  <c r="E19" i="203"/>
  <c r="F19" i="203"/>
  <c r="G19" i="203"/>
  <c r="H19" i="203"/>
  <c r="I19" i="203"/>
  <c r="J19" i="203"/>
  <c r="K19" i="203"/>
  <c r="E20" i="203"/>
  <c r="F20" i="203"/>
  <c r="G20" i="203"/>
  <c r="H20" i="203"/>
  <c r="I20" i="203"/>
  <c r="J20" i="203"/>
  <c r="K20" i="203"/>
  <c r="C20" i="203"/>
  <c r="C19" i="203"/>
  <c r="D16" i="203"/>
  <c r="E16" i="203"/>
  <c r="F16" i="203"/>
  <c r="G16" i="203"/>
  <c r="H16" i="203"/>
  <c r="I16" i="203"/>
  <c r="J16" i="203"/>
  <c r="K16" i="203"/>
  <c r="C16" i="203"/>
  <c r="F85" i="231"/>
  <c r="H85" i="231"/>
  <c r="I85" i="231"/>
  <c r="J85" i="231"/>
  <c r="K85" i="231"/>
  <c r="L85" i="231"/>
  <c r="M85" i="231"/>
  <c r="N85" i="231"/>
  <c r="O85" i="231"/>
  <c r="P85" i="231"/>
  <c r="Q85" i="231"/>
  <c r="R85" i="231"/>
  <c r="S85" i="231"/>
  <c r="S91" i="231" s="1"/>
  <c r="T85" i="231"/>
  <c r="T91" i="231" s="1"/>
  <c r="U85" i="231"/>
  <c r="U91" i="231" s="1"/>
  <c r="V85" i="231"/>
  <c r="V91" i="231" s="1"/>
  <c r="W85" i="231"/>
  <c r="W91" i="231" s="1"/>
  <c r="X85" i="231"/>
  <c r="X91" i="231" s="1"/>
  <c r="Y85" i="231"/>
  <c r="Y91" i="231" s="1"/>
  <c r="Z85" i="231"/>
  <c r="Z91" i="231" s="1"/>
  <c r="AA85" i="231"/>
  <c r="AA91" i="231" s="1"/>
  <c r="AB85" i="231"/>
  <c r="AB91" i="231" s="1"/>
  <c r="AC85" i="231"/>
  <c r="AC91" i="231" s="1"/>
  <c r="E85" i="231"/>
  <c r="I88" i="203"/>
  <c r="Q39" i="203"/>
  <c r="C92" i="203"/>
  <c r="C31" i="203"/>
  <c r="C33" i="203"/>
  <c r="L65" i="203"/>
  <c r="K65" i="203"/>
  <c r="J65" i="203"/>
  <c r="I65" i="203"/>
  <c r="H65" i="203"/>
  <c r="M16" i="203"/>
  <c r="N16" i="203"/>
  <c r="O16" i="203"/>
  <c r="P16" i="203"/>
  <c r="Q16" i="203"/>
  <c r="R16" i="203"/>
  <c r="C65" i="203"/>
  <c r="I89" i="203"/>
  <c r="H90" i="203"/>
  <c r="L89" i="203"/>
  <c r="N40" i="203"/>
  <c r="P40" i="203"/>
  <c r="Q40" i="203"/>
  <c r="O40" i="203"/>
  <c r="M40" i="203"/>
  <c r="M41" i="203"/>
  <c r="O41" i="203"/>
  <c r="Q41" i="203"/>
  <c r="K89" i="203"/>
  <c r="L64" i="203"/>
  <c r="I64" i="203"/>
  <c r="K64" i="203"/>
  <c r="H64" i="203"/>
  <c r="J64" i="203"/>
  <c r="I90" i="203"/>
  <c r="J89" i="203"/>
  <c r="H89" i="203"/>
  <c r="J90" i="203"/>
  <c r="L90" i="203"/>
  <c r="K90" i="203"/>
  <c r="J66" i="203"/>
  <c r="H66" i="203"/>
  <c r="K66" i="203"/>
  <c r="I66" i="203"/>
  <c r="L66" i="203"/>
  <c r="N41" i="203"/>
  <c r="P41" i="203"/>
  <c r="Y49" i="216"/>
  <c r="X49" i="216"/>
  <c r="W49" i="216"/>
  <c r="V49" i="216"/>
  <c r="U49" i="216"/>
  <c r="T49" i="216"/>
  <c r="E81" i="231"/>
  <c r="R90" i="231"/>
  <c r="R91" i="231" s="1"/>
  <c r="Q90" i="231"/>
  <c r="Q91" i="231" s="1"/>
  <c r="P90" i="231"/>
  <c r="P91" i="231" s="1"/>
  <c r="O90" i="231"/>
  <c r="O91" i="231"/>
  <c r="N90" i="231"/>
  <c r="N91" i="231" s="1"/>
  <c r="M90" i="231"/>
  <c r="M91" i="231" s="1"/>
  <c r="L90" i="231"/>
  <c r="L91" i="231" s="1"/>
  <c r="K90" i="231"/>
  <c r="K91" i="231"/>
  <c r="J90" i="231"/>
  <c r="J91" i="231" s="1"/>
  <c r="I90" i="231"/>
  <c r="I91" i="231" s="1"/>
  <c r="H90" i="231"/>
  <c r="H91" i="231" s="1"/>
  <c r="F90" i="231"/>
  <c r="F91" i="231"/>
  <c r="E90" i="231"/>
  <c r="E91" i="231" s="1"/>
  <c r="AC81" i="231"/>
  <c r="AB81" i="231"/>
  <c r="AA81" i="231"/>
  <c r="Z81" i="231"/>
  <c r="Y81" i="231"/>
  <c r="X81" i="231"/>
  <c r="W81" i="231"/>
  <c r="V81" i="231"/>
  <c r="U81" i="231"/>
  <c r="T81" i="231"/>
  <c r="S81" i="231"/>
  <c r="R81" i="231"/>
  <c r="Q81" i="231"/>
  <c r="P81" i="231"/>
  <c r="O81" i="231"/>
  <c r="N81" i="231"/>
  <c r="M81" i="231"/>
  <c r="L81" i="231"/>
  <c r="K81" i="231"/>
  <c r="J81" i="231"/>
  <c r="I81" i="231"/>
  <c r="H81" i="231"/>
  <c r="F81" i="231"/>
  <c r="D78" i="230"/>
  <c r="AB76" i="230"/>
  <c r="AB78" i="230" s="1"/>
  <c r="AA76" i="230"/>
  <c r="AA78" i="230" s="1"/>
  <c r="Z76" i="230"/>
  <c r="Z78" i="230"/>
  <c r="Y76" i="230"/>
  <c r="Y78" i="230" s="1"/>
  <c r="X76" i="230"/>
  <c r="X78" i="230" s="1"/>
  <c r="W76" i="230"/>
  <c r="W78" i="230" s="1"/>
  <c r="V76" i="230"/>
  <c r="V78" i="230" s="1"/>
  <c r="U76" i="230"/>
  <c r="U78" i="230" s="1"/>
  <c r="T76" i="230"/>
  <c r="T78" i="230" s="1"/>
  <c r="S76" i="230"/>
  <c r="S78" i="230" s="1"/>
  <c r="R76" i="230"/>
  <c r="R78" i="230" s="1"/>
  <c r="Q76" i="230"/>
  <c r="Q78" i="230" s="1"/>
  <c r="P76" i="230"/>
  <c r="P78" i="230" s="1"/>
  <c r="O76" i="230"/>
  <c r="O78" i="230" s="1"/>
  <c r="N76" i="230"/>
  <c r="N78" i="230" s="1"/>
  <c r="M76" i="230"/>
  <c r="M78" i="230" s="1"/>
  <c r="L76" i="230"/>
  <c r="L78" i="230" s="1"/>
  <c r="K76" i="230"/>
  <c r="K78" i="230" s="1"/>
  <c r="J76" i="230"/>
  <c r="J78" i="230" s="1"/>
  <c r="I78" i="230"/>
  <c r="H76" i="230"/>
  <c r="H78" i="230"/>
  <c r="F76" i="230"/>
  <c r="F78" i="230"/>
  <c r="E76" i="230"/>
  <c r="E78" i="230"/>
  <c r="D66" i="230"/>
  <c r="AB64" i="230"/>
  <c r="AB66" i="230" s="1"/>
  <c r="AA64" i="230"/>
  <c r="AA66" i="230" s="1"/>
  <c r="Z64" i="230"/>
  <c r="Z66" i="230" s="1"/>
  <c r="Y64" i="230"/>
  <c r="Y66" i="230" s="1"/>
  <c r="X64" i="230"/>
  <c r="X66" i="230" s="1"/>
  <c r="W64" i="230"/>
  <c r="W66" i="230" s="1"/>
  <c r="V64" i="230"/>
  <c r="V66" i="230" s="1"/>
  <c r="U64" i="230"/>
  <c r="U66" i="230" s="1"/>
  <c r="T64" i="230"/>
  <c r="T66" i="230" s="1"/>
  <c r="S64" i="230"/>
  <c r="S66" i="230" s="1"/>
  <c r="R64" i="230"/>
  <c r="R66" i="230" s="1"/>
  <c r="Q64" i="230"/>
  <c r="Q66" i="230" s="1"/>
  <c r="P64" i="230"/>
  <c r="P66" i="230" s="1"/>
  <c r="O64" i="230"/>
  <c r="O66" i="230" s="1"/>
  <c r="N64" i="230"/>
  <c r="N66" i="230" s="1"/>
  <c r="M64" i="230"/>
  <c r="M66" i="230" s="1"/>
  <c r="L64" i="230"/>
  <c r="L66" i="230" s="1"/>
  <c r="K64" i="230"/>
  <c r="K66" i="230" s="1"/>
  <c r="J64" i="230"/>
  <c r="J66" i="230" s="1"/>
  <c r="H64" i="230"/>
  <c r="H66" i="230" s="1"/>
  <c r="F64" i="230"/>
  <c r="F66" i="230" s="1"/>
  <c r="E64" i="230"/>
  <c r="E66" i="230" s="1"/>
  <c r="D61" i="230"/>
  <c r="AB59" i="230"/>
  <c r="AA59" i="230"/>
  <c r="AA61" i="230" s="1"/>
  <c r="Z59" i="230"/>
  <c r="Y59" i="230"/>
  <c r="X59" i="230"/>
  <c r="W59" i="230"/>
  <c r="W61" i="230" s="1"/>
  <c r="V59" i="230"/>
  <c r="U59" i="230"/>
  <c r="T59" i="230"/>
  <c r="S59" i="230"/>
  <c r="S61" i="230" s="1"/>
  <c r="R59" i="230"/>
  <c r="Q59" i="230"/>
  <c r="P59" i="230"/>
  <c r="O59" i="230"/>
  <c r="O61" i="230" s="1"/>
  <c r="N59" i="230"/>
  <c r="M59" i="230"/>
  <c r="L59" i="230"/>
  <c r="K59" i="230"/>
  <c r="K61" i="230" s="1"/>
  <c r="J59" i="230"/>
  <c r="H59" i="230"/>
  <c r="F59" i="230"/>
  <c r="E59" i="230"/>
  <c r="E61" i="230" s="1"/>
  <c r="D45" i="230"/>
  <c r="D25" i="230"/>
  <c r="AB23" i="230"/>
  <c r="AB43" i="230" s="1"/>
  <c r="AB45" i="230" s="1"/>
  <c r="AA23" i="230"/>
  <c r="AA43" i="230" s="1"/>
  <c r="AA45" i="230" s="1"/>
  <c r="Z23" i="230"/>
  <c r="Z43" i="230" s="1"/>
  <c r="Z45" i="230" s="1"/>
  <c r="Y23" i="230"/>
  <c r="Y43" i="230" s="1"/>
  <c r="Y45" i="230" s="1"/>
  <c r="Y25" i="230"/>
  <c r="X23" i="230"/>
  <c r="X43" i="230" s="1"/>
  <c r="X45" i="230" s="1"/>
  <c r="W23" i="230"/>
  <c r="W43" i="230" s="1"/>
  <c r="W45" i="230" s="1"/>
  <c r="V23" i="230"/>
  <c r="V43" i="230" s="1"/>
  <c r="V45" i="230" s="1"/>
  <c r="U23" i="230"/>
  <c r="U43" i="230" s="1"/>
  <c r="U45" i="230" s="1"/>
  <c r="U25" i="230"/>
  <c r="T23" i="230"/>
  <c r="T43" i="230" s="1"/>
  <c r="T45" i="230" s="1"/>
  <c r="S23" i="230"/>
  <c r="S43" i="230" s="1"/>
  <c r="S45" i="230" s="1"/>
  <c r="R23" i="230"/>
  <c r="R43" i="230" s="1"/>
  <c r="R45" i="230" s="1"/>
  <c r="Q23" i="230"/>
  <c r="Q43" i="230" s="1"/>
  <c r="Q45" i="230" s="1"/>
  <c r="Q25" i="230"/>
  <c r="P23" i="230"/>
  <c r="P43" i="230" s="1"/>
  <c r="P45" i="230" s="1"/>
  <c r="O23" i="230"/>
  <c r="O43" i="230" s="1"/>
  <c r="O45" i="230" s="1"/>
  <c r="N23" i="230"/>
  <c r="N43" i="230" s="1"/>
  <c r="N45" i="230" s="1"/>
  <c r="M23" i="230"/>
  <c r="M43" i="230" s="1"/>
  <c r="M45" i="230" s="1"/>
  <c r="M25" i="230"/>
  <c r="L23" i="230"/>
  <c r="L43" i="230" s="1"/>
  <c r="L45" i="230" s="1"/>
  <c r="K23" i="230"/>
  <c r="K43" i="230" s="1"/>
  <c r="K45" i="230" s="1"/>
  <c r="J23" i="230"/>
  <c r="J43" i="230" s="1"/>
  <c r="J45" i="230" s="1"/>
  <c r="I25" i="230"/>
  <c r="H23" i="230"/>
  <c r="H43" i="230" s="1"/>
  <c r="H45" i="230" s="1"/>
  <c r="F23" i="230"/>
  <c r="F43" i="230" s="1"/>
  <c r="F45" i="230" s="1"/>
  <c r="E23" i="230"/>
  <c r="E43" i="230" s="1"/>
  <c r="E45" i="230" s="1"/>
  <c r="E25" i="230"/>
  <c r="AA65" i="234"/>
  <c r="Z65" i="234"/>
  <c r="Y65" i="234"/>
  <c r="X65" i="234"/>
  <c r="W65" i="234"/>
  <c r="V65" i="234"/>
  <c r="U65" i="234"/>
  <c r="T65" i="234"/>
  <c r="S65" i="234"/>
  <c r="R65" i="234"/>
  <c r="Q65" i="234"/>
  <c r="P65" i="234"/>
  <c r="O65" i="234"/>
  <c r="N65" i="234"/>
  <c r="M65" i="234"/>
  <c r="L65" i="234"/>
  <c r="K65" i="234"/>
  <c r="J65" i="234"/>
  <c r="I65" i="234"/>
  <c r="H65" i="234"/>
  <c r="G65" i="234"/>
  <c r="E65" i="234"/>
  <c r="D65" i="234"/>
  <c r="C65" i="234"/>
  <c r="AA62" i="234"/>
  <c r="Z62" i="234"/>
  <c r="Y62" i="234"/>
  <c r="X62" i="234"/>
  <c r="X66" i="234" s="1"/>
  <c r="W62" i="234"/>
  <c r="V62" i="234"/>
  <c r="U62" i="234"/>
  <c r="T62" i="234"/>
  <c r="T66" i="234" s="1"/>
  <c r="S62" i="234"/>
  <c r="R62" i="234"/>
  <c r="Q62" i="234"/>
  <c r="P62" i="234"/>
  <c r="P66" i="234" s="1"/>
  <c r="O62" i="234"/>
  <c r="N62" i="234"/>
  <c r="M62" i="234"/>
  <c r="L62" i="234"/>
  <c r="L66" i="234" s="1"/>
  <c r="K62" i="234"/>
  <c r="J62" i="234"/>
  <c r="I62" i="234"/>
  <c r="H62" i="234"/>
  <c r="H66" i="234" s="1"/>
  <c r="G62" i="234"/>
  <c r="E62" i="234"/>
  <c r="E66" i="234" s="1"/>
  <c r="D62" i="234"/>
  <c r="D66" i="234" s="1"/>
  <c r="C62" i="234"/>
  <c r="C66" i="234" s="1"/>
  <c r="AA34" i="234"/>
  <c r="Z34" i="234"/>
  <c r="Y34" i="234"/>
  <c r="X34" i="234"/>
  <c r="W34" i="234"/>
  <c r="V34" i="234"/>
  <c r="U34" i="234"/>
  <c r="T34" i="234"/>
  <c r="S34" i="234"/>
  <c r="R34" i="234"/>
  <c r="Q34" i="234"/>
  <c r="P34" i="234"/>
  <c r="O34" i="234"/>
  <c r="N34" i="234"/>
  <c r="M34" i="234"/>
  <c r="L34" i="234"/>
  <c r="K34" i="234"/>
  <c r="J34" i="234"/>
  <c r="I34" i="234"/>
  <c r="H34" i="234"/>
  <c r="G34" i="234"/>
  <c r="E34" i="234"/>
  <c r="D34" i="234"/>
  <c r="C34" i="234"/>
  <c r="G66" i="234"/>
  <c r="J66" i="234"/>
  <c r="N66" i="234"/>
  <c r="R66" i="234"/>
  <c r="V66" i="234"/>
  <c r="Z66" i="234"/>
  <c r="F61" i="230"/>
  <c r="J61" i="230"/>
  <c r="L61" i="230"/>
  <c r="N61" i="230"/>
  <c r="P61" i="230"/>
  <c r="R61" i="230"/>
  <c r="T61" i="230"/>
  <c r="V61" i="230"/>
  <c r="X61" i="230"/>
  <c r="Z61" i="230"/>
  <c r="AB61" i="230"/>
  <c r="I66" i="234"/>
  <c r="K66" i="234"/>
  <c r="M66" i="234"/>
  <c r="O66" i="234"/>
  <c r="Q66" i="234"/>
  <c r="S66" i="234"/>
  <c r="U66" i="234"/>
  <c r="W66" i="234"/>
  <c r="Y66" i="234"/>
  <c r="AA66" i="234"/>
  <c r="F25" i="230"/>
  <c r="J25" i="230"/>
  <c r="L25" i="230"/>
  <c r="P25" i="230"/>
  <c r="R25" i="230"/>
  <c r="T25" i="230"/>
  <c r="X25" i="230"/>
  <c r="Z25" i="230"/>
  <c r="AB25" i="230"/>
  <c r="H61" i="230"/>
  <c r="M61" i="230"/>
  <c r="Q61" i="230"/>
  <c r="U61" i="230"/>
  <c r="Y61" i="230"/>
  <c r="G35" i="216"/>
  <c r="G23" i="216"/>
  <c r="G24" i="216"/>
  <c r="G25" i="216"/>
  <c r="F49" i="216"/>
  <c r="G26" i="216"/>
  <c r="G27" i="216"/>
  <c r="H49" i="216" s="1"/>
  <c r="G28" i="216"/>
  <c r="G29" i="216"/>
  <c r="G30" i="216"/>
  <c r="G31" i="216"/>
  <c r="G32" i="216"/>
  <c r="G33" i="216"/>
  <c r="G34" i="216"/>
  <c r="G36" i="216"/>
  <c r="U50" i="216"/>
  <c r="V50" i="216"/>
  <c r="W50" i="216" s="1"/>
  <c r="G38" i="216"/>
  <c r="S49" i="216" s="1"/>
  <c r="S50" i="216" s="1"/>
  <c r="I31" i="203"/>
  <c r="N31" i="203"/>
  <c r="O31" i="203"/>
  <c r="Q31" i="203"/>
  <c r="P31" i="203"/>
  <c r="M33" i="203"/>
  <c r="I33" i="203"/>
  <c r="K33" i="203"/>
  <c r="E31" i="203"/>
  <c r="H33" i="203"/>
  <c r="H31" i="203"/>
  <c r="J33" i="203"/>
  <c r="D31" i="203"/>
  <c r="G33" i="203"/>
  <c r="D33" i="203"/>
  <c r="F33" i="203"/>
  <c r="E33" i="203"/>
  <c r="E49" i="216"/>
  <c r="G49" i="216"/>
  <c r="Q49" i="216"/>
  <c r="I49" i="216"/>
  <c r="J49" i="216"/>
  <c r="K49" i="216"/>
  <c r="L49" i="216"/>
  <c r="M49" i="216"/>
  <c r="N49" i="216"/>
  <c r="O49" i="216"/>
  <c r="P49" i="216"/>
  <c r="G37" i="216"/>
  <c r="R49" i="216"/>
  <c r="N33" i="203"/>
  <c r="E82" i="203"/>
  <c r="H82" i="203"/>
  <c r="F81" i="203"/>
  <c r="I81" i="203"/>
  <c r="G82" i="203"/>
  <c r="J82" i="203"/>
  <c r="L80" i="203"/>
  <c r="J81" i="203"/>
  <c r="I82" i="203"/>
  <c r="E81" i="203"/>
  <c r="D82" i="203"/>
  <c r="L82" i="203"/>
  <c r="H81" i="203"/>
  <c r="C82" i="203"/>
  <c r="K81" i="203"/>
  <c r="C81" i="203"/>
  <c r="D81" i="203"/>
  <c r="L81" i="203"/>
  <c r="K82" i="203"/>
  <c r="G81" i="203"/>
  <c r="F82" i="203"/>
  <c r="O33" i="203"/>
  <c r="P33" i="203"/>
  <c r="Q36" i="221"/>
  <c r="P36" i="221"/>
  <c r="O36" i="221"/>
  <c r="N36" i="221"/>
  <c r="M36" i="221"/>
  <c r="L36" i="221"/>
  <c r="J36" i="221"/>
  <c r="I36" i="221"/>
  <c r="H36" i="221"/>
  <c r="G36" i="221"/>
  <c r="F36" i="221"/>
  <c r="E36" i="221"/>
  <c r="D36" i="221"/>
  <c r="C36" i="221"/>
  <c r="Q23" i="221"/>
  <c r="P23" i="221"/>
  <c r="O23" i="221"/>
  <c r="N23" i="221"/>
  <c r="M23" i="221"/>
  <c r="L23" i="221"/>
  <c r="J23" i="221"/>
  <c r="I23" i="221"/>
  <c r="H23" i="221"/>
  <c r="G23" i="221"/>
  <c r="F23" i="221"/>
  <c r="E23" i="221"/>
  <c r="D23" i="221"/>
  <c r="Q33" i="203"/>
  <c r="C43" i="203"/>
  <c r="L45" i="224"/>
  <c r="K45" i="224"/>
  <c r="I45" i="224"/>
  <c r="H45" i="224"/>
  <c r="G45" i="224"/>
  <c r="F45" i="224"/>
  <c r="E45" i="224"/>
  <c r="D45" i="224"/>
  <c r="C45" i="224"/>
  <c r="L29" i="224"/>
  <c r="K29" i="224"/>
  <c r="I29" i="224"/>
  <c r="H29" i="224"/>
  <c r="G29" i="224"/>
  <c r="F29" i="224"/>
  <c r="E29" i="224"/>
  <c r="D29" i="224"/>
  <c r="C29" i="224"/>
  <c r="C46" i="210"/>
  <c r="C57" i="210" s="1"/>
  <c r="C56" i="210" s="1"/>
  <c r="D46" i="210"/>
  <c r="D57" i="210" s="1"/>
  <c r="D56" i="210" s="1"/>
  <c r="E46" i="210"/>
  <c r="E57" i="210" s="1"/>
  <c r="E56" i="210" s="1"/>
  <c r="F46" i="210"/>
  <c r="F57" i="210" s="1"/>
  <c r="F56" i="210" s="1"/>
  <c r="G46" i="210"/>
  <c r="G57" i="210" s="1"/>
  <c r="G56" i="210" s="1"/>
  <c r="H46" i="210"/>
  <c r="H57" i="210" s="1"/>
  <c r="H56" i="210" s="1"/>
  <c r="I46" i="210"/>
  <c r="J46" i="210"/>
  <c r="J57" i="210" s="1"/>
  <c r="L46" i="210"/>
  <c r="M46" i="210"/>
  <c r="N46" i="210"/>
  <c r="O46" i="210"/>
  <c r="P46" i="210"/>
  <c r="M21" i="203"/>
  <c r="M20" i="203"/>
  <c r="D65" i="203"/>
  <c r="E65" i="203"/>
  <c r="F65" i="203"/>
  <c r="G65" i="203"/>
  <c r="G100" i="203" s="1"/>
  <c r="J88" i="203"/>
  <c r="H88" i="203"/>
  <c r="L88" i="203"/>
  <c r="F89" i="203"/>
  <c r="E88" i="203"/>
  <c r="D88" i="203"/>
  <c r="C88" i="203"/>
  <c r="F90" i="203"/>
  <c r="F88" i="203"/>
  <c r="E89" i="203"/>
  <c r="D89" i="203"/>
  <c r="E90" i="203"/>
  <c r="D90" i="203"/>
  <c r="G90" i="203"/>
  <c r="G88" i="203"/>
  <c r="C90" i="203"/>
  <c r="G89" i="203"/>
  <c r="C89" i="203"/>
  <c r="C15" i="203"/>
  <c r="C50" i="203" s="1"/>
  <c r="C54" i="203" s="1"/>
  <c r="N15" i="203"/>
  <c r="O15" i="203"/>
  <c r="P15" i="203"/>
  <c r="M15" i="203"/>
  <c r="M50" i="203" s="1"/>
  <c r="M54" i="203" s="1"/>
  <c r="Q15" i="203"/>
  <c r="Q24" i="220"/>
  <c r="P24" i="220"/>
  <c r="O24" i="220"/>
  <c r="N24" i="220"/>
  <c r="M24" i="220"/>
  <c r="L24" i="220"/>
  <c r="K24" i="220"/>
  <c r="I24" i="220"/>
  <c r="H24" i="220"/>
  <c r="Q56" i="218"/>
  <c r="Q29" i="220" s="1"/>
  <c r="P56" i="218"/>
  <c r="P29" i="220" s="1"/>
  <c r="O56" i="218"/>
  <c r="O29" i="220" s="1"/>
  <c r="N56" i="218"/>
  <c r="N29" i="220" s="1"/>
  <c r="M56" i="218"/>
  <c r="M29" i="220" s="1"/>
  <c r="L56" i="218"/>
  <c r="L29" i="220" s="1"/>
  <c r="K56" i="218"/>
  <c r="K29" i="220" s="1"/>
  <c r="H56" i="218"/>
  <c r="H29" i="220" s="1"/>
  <c r="C26" i="217"/>
  <c r="D15" i="203"/>
  <c r="D66" i="203"/>
  <c r="D64" i="203"/>
  <c r="K15" i="203"/>
  <c r="G17" i="203"/>
  <c r="G15" i="203"/>
  <c r="G64" i="203"/>
  <c r="G99" i="203" s="1"/>
  <c r="F66" i="203"/>
  <c r="F64" i="203"/>
  <c r="I15" i="203"/>
  <c r="E17" i="203"/>
  <c r="E52" i="203" s="1"/>
  <c r="E55" i="203" s="1"/>
  <c r="E15" i="203"/>
  <c r="E66" i="203"/>
  <c r="E64" i="203"/>
  <c r="H15" i="203"/>
  <c r="H50" i="203" s="1"/>
  <c r="H54" i="203" s="1"/>
  <c r="R15" i="203"/>
  <c r="C64" i="203"/>
  <c r="J15" i="203"/>
  <c r="F17" i="203"/>
  <c r="F52" i="203" s="1"/>
  <c r="F55" i="203" s="1"/>
  <c r="F15" i="203"/>
  <c r="C17" i="203"/>
  <c r="N17" i="203"/>
  <c r="N52" i="203" s="1"/>
  <c r="N55" i="203" s="1"/>
  <c r="Q17" i="203"/>
  <c r="J17" i="203"/>
  <c r="P17" i="203"/>
  <c r="M17" i="203"/>
  <c r="M52" i="203" s="1"/>
  <c r="M55" i="203" s="1"/>
  <c r="O17" i="203"/>
  <c r="R17" i="203"/>
  <c r="C66" i="203"/>
  <c r="H17" i="203"/>
  <c r="H52" i="203" s="1"/>
  <c r="H55" i="203" s="1"/>
  <c r="I17" i="203"/>
  <c r="G66" i="203"/>
  <c r="K17" i="203"/>
  <c r="D17" i="203"/>
  <c r="T54" i="216"/>
  <c r="U54" i="216"/>
  <c r="V54" i="216"/>
  <c r="Q20" i="203"/>
  <c r="O20" i="203"/>
  <c r="N20" i="203"/>
  <c r="Q21" i="203"/>
  <c r="P20" i="203"/>
  <c r="O21" i="203"/>
  <c r="P21" i="203"/>
  <c r="N21" i="203"/>
  <c r="E93" i="203"/>
  <c r="G94" i="203"/>
  <c r="G93" i="203"/>
  <c r="C94" i="203"/>
  <c r="F94" i="203"/>
  <c r="E94" i="203"/>
  <c r="D93" i="203"/>
  <c r="D92" i="203"/>
  <c r="E92" i="203"/>
  <c r="F93" i="203"/>
  <c r="G92" i="203"/>
  <c r="F92" i="203"/>
  <c r="D94" i="203"/>
  <c r="D70" i="203"/>
  <c r="F69" i="203"/>
  <c r="E70" i="203"/>
  <c r="E69" i="203"/>
  <c r="G69" i="203"/>
  <c r="F70" i="203"/>
  <c r="C21" i="203"/>
  <c r="H21" i="203"/>
  <c r="G21" i="203"/>
  <c r="F21" i="203"/>
  <c r="E21" i="203"/>
  <c r="J21" i="203"/>
  <c r="I21" i="203"/>
  <c r="G70" i="203"/>
  <c r="D69" i="203"/>
  <c r="C70" i="203"/>
  <c r="K21" i="203"/>
  <c r="D21" i="203"/>
  <c r="H93" i="203"/>
  <c r="L92" i="203"/>
  <c r="J92" i="203"/>
  <c r="J94" i="203"/>
  <c r="L93" i="203"/>
  <c r="K94" i="203"/>
  <c r="I92" i="203"/>
  <c r="I93" i="203"/>
  <c r="I94" i="203"/>
  <c r="H92" i="203"/>
  <c r="J93" i="203"/>
  <c r="L94" i="203"/>
  <c r="K92" i="203"/>
  <c r="K93" i="203"/>
  <c r="H94" i="203"/>
  <c r="C93" i="203"/>
  <c r="C69" i="203"/>
  <c r="M100" i="203"/>
  <c r="I69" i="203"/>
  <c r="M101" i="203"/>
  <c r="M102" i="203" s="1"/>
  <c r="H70" i="203"/>
  <c r="J70" i="203"/>
  <c r="L70" i="203"/>
  <c r="L69" i="203"/>
  <c r="K70" i="203"/>
  <c r="H69" i="203"/>
  <c r="I70" i="203"/>
  <c r="L68" i="203"/>
  <c r="K69" i="203"/>
  <c r="J69" i="203"/>
  <c r="L72" i="203"/>
  <c r="L99" i="203"/>
  <c r="D99" i="203"/>
  <c r="K99" i="203"/>
  <c r="I99" i="203"/>
  <c r="F99" i="203"/>
  <c r="C99" i="203"/>
  <c r="H99" i="203"/>
  <c r="E73" i="203"/>
  <c r="E100" i="203"/>
  <c r="E99" i="203"/>
  <c r="D73" i="203"/>
  <c r="D100" i="203"/>
  <c r="I73" i="203"/>
  <c r="I100" i="203"/>
  <c r="J99" i="203"/>
  <c r="H73" i="203"/>
  <c r="H100" i="203"/>
  <c r="R24" i="203"/>
  <c r="R51" i="203"/>
  <c r="D24" i="203"/>
  <c r="N24" i="203"/>
  <c r="J73" i="203"/>
  <c r="J100" i="203"/>
  <c r="G73" i="203"/>
  <c r="K73" i="203"/>
  <c r="K100" i="203"/>
  <c r="Q24" i="203"/>
  <c r="F73" i="203"/>
  <c r="F100" i="203"/>
  <c r="L73" i="203"/>
  <c r="L100" i="203"/>
  <c r="H24" i="203"/>
  <c r="E24" i="203"/>
  <c r="C24" i="203"/>
  <c r="K24" i="203"/>
  <c r="O24" i="203"/>
  <c r="P24" i="203"/>
  <c r="I24" i="203"/>
  <c r="F24" i="203"/>
  <c r="M24" i="203"/>
  <c r="J24" i="203"/>
  <c r="G24" i="203"/>
  <c r="I101" i="203"/>
  <c r="J101" i="203"/>
  <c r="G101" i="203"/>
  <c r="K101" i="203"/>
  <c r="R52" i="203"/>
  <c r="R55" i="203" s="1"/>
  <c r="E101" i="203"/>
  <c r="F101" i="203"/>
  <c r="H101" i="203"/>
  <c r="L74" i="203"/>
  <c r="L101" i="203"/>
  <c r="D101" i="203"/>
  <c r="R50" i="203"/>
  <c r="R54" i="203" s="1"/>
  <c r="C73" i="203"/>
  <c r="C100" i="203"/>
  <c r="C101" i="203"/>
  <c r="D40" i="203"/>
  <c r="D39" i="203"/>
  <c r="E39" i="203"/>
  <c r="G40" i="203"/>
  <c r="E40" i="203"/>
  <c r="G39" i="203"/>
  <c r="F39" i="203"/>
  <c r="C39" i="203"/>
  <c r="F40" i="203"/>
  <c r="H39" i="203"/>
  <c r="H41" i="203"/>
  <c r="K39" i="203"/>
  <c r="K41" i="203"/>
  <c r="G41" i="203"/>
  <c r="M39" i="203"/>
  <c r="D41" i="203"/>
  <c r="I41" i="203"/>
  <c r="J40" i="203"/>
  <c r="I40" i="203"/>
  <c r="C41" i="203"/>
  <c r="F41" i="203"/>
  <c r="J41" i="203"/>
  <c r="P39" i="203"/>
  <c r="K40" i="203"/>
  <c r="H40" i="203"/>
  <c r="E41" i="203"/>
  <c r="F44" i="203"/>
  <c r="D43" i="203"/>
  <c r="E44" i="203"/>
  <c r="G43" i="203"/>
  <c r="E43" i="203"/>
  <c r="D44" i="203"/>
  <c r="F43" i="203"/>
  <c r="G44" i="203"/>
  <c r="G45" i="203"/>
  <c r="D45" i="203"/>
  <c r="F45" i="203"/>
  <c r="O44" i="203"/>
  <c r="O51" i="203"/>
  <c r="P45" i="203"/>
  <c r="P52" i="203"/>
  <c r="P55" i="203" s="1"/>
  <c r="N44" i="203"/>
  <c r="N51" i="203"/>
  <c r="I45" i="203"/>
  <c r="H45" i="203"/>
  <c r="M45" i="203"/>
  <c r="Q44" i="203"/>
  <c r="Q51" i="203"/>
  <c r="N45" i="203"/>
  <c r="E45" i="203"/>
  <c r="C45" i="203"/>
  <c r="Q45" i="203"/>
  <c r="Q52" i="203"/>
  <c r="Q55" i="203" s="1"/>
  <c r="M44" i="203"/>
  <c r="M51" i="203"/>
  <c r="Q43" i="203"/>
  <c r="J45" i="203"/>
  <c r="O43" i="203"/>
  <c r="O45" i="203"/>
  <c r="O52" i="203"/>
  <c r="O55" i="203" s="1"/>
  <c r="K45" i="203"/>
  <c r="N43" i="203"/>
  <c r="P44" i="203"/>
  <c r="P51" i="203"/>
  <c r="P43" i="203"/>
  <c r="M43" i="203"/>
  <c r="N50" i="203"/>
  <c r="N54" i="203" s="1"/>
  <c r="P50" i="203"/>
  <c r="P54" i="203" s="1"/>
  <c r="J52" i="203"/>
  <c r="J55" i="203" s="1"/>
  <c r="I52" i="203"/>
  <c r="I55" i="203" s="1"/>
  <c r="Q50" i="203"/>
  <c r="Q54" i="203" s="1"/>
  <c r="K52" i="203"/>
  <c r="K55" i="203" s="1"/>
  <c r="G50" i="203"/>
  <c r="G54" i="203" s="1"/>
  <c r="E50" i="203"/>
  <c r="E54" i="203" s="1"/>
  <c r="D50" i="203"/>
  <c r="D54" i="203" s="1"/>
  <c r="O50" i="203"/>
  <c r="O54" i="203" s="1"/>
  <c r="D52" i="203"/>
  <c r="D55" i="203" s="1"/>
  <c r="G52" i="203"/>
  <c r="G55" i="203" s="1"/>
  <c r="F51" i="203"/>
  <c r="F50" i="203"/>
  <c r="F54" i="203" s="1"/>
  <c r="E51" i="203"/>
  <c r="G51" i="203"/>
  <c r="D51" i="203"/>
  <c r="C52" i="203"/>
  <c r="C55" i="203" s="1"/>
  <c r="K43" i="203"/>
  <c r="K50" i="203"/>
  <c r="K54" i="203" s="1"/>
  <c r="H43" i="203"/>
  <c r="H44" i="203"/>
  <c r="H51" i="203"/>
  <c r="J44" i="203"/>
  <c r="J51" i="203"/>
  <c r="I44" i="203"/>
  <c r="I51" i="203"/>
  <c r="I43" i="203"/>
  <c r="I50" i="203"/>
  <c r="I54" i="203" s="1"/>
  <c r="J43" i="203"/>
  <c r="J50" i="203"/>
  <c r="J54" i="203" s="1"/>
  <c r="K44" i="203"/>
  <c r="K51" i="203"/>
  <c r="C44" i="203"/>
  <c r="C40" i="203"/>
  <c r="C51" i="203"/>
  <c r="J56" i="210" l="1"/>
  <c r="I57" i="210"/>
  <c r="M99" i="203"/>
  <c r="K102" i="203"/>
  <c r="K103" i="203" s="1"/>
  <c r="K105" i="203" s="1"/>
  <c r="F102" i="203"/>
  <c r="F103" i="203" s="1"/>
  <c r="F105" i="203" s="1"/>
  <c r="Q56" i="210"/>
  <c r="P57" i="210"/>
  <c r="P56" i="210" s="1"/>
  <c r="M57" i="210"/>
  <c r="M56" i="210" s="1"/>
  <c r="O57" i="210"/>
  <c r="O56" i="210" s="1"/>
  <c r="N57" i="210"/>
  <c r="N56" i="210" s="1"/>
  <c r="L57" i="210"/>
  <c r="L70" i="210" s="1"/>
  <c r="K47" i="203" s="1"/>
  <c r="Y289" i="206"/>
  <c r="AB289" i="206"/>
  <c r="AA249" i="206"/>
  <c r="W213" i="206"/>
  <c r="V289" i="206"/>
  <c r="AC213" i="206"/>
  <c r="V249" i="206"/>
  <c r="AC178" i="206"/>
  <c r="X250" i="206"/>
  <c r="X249" i="206"/>
  <c r="X251" i="206" s="1"/>
  <c r="W106" i="206"/>
  <c r="Z289" i="206"/>
  <c r="AC289" i="206"/>
  <c r="X109" i="206"/>
  <c r="AB106" i="206"/>
  <c r="AA213" i="206"/>
  <c r="AC250" i="206"/>
  <c r="AA250" i="206"/>
  <c r="X247" i="206"/>
  <c r="X289" i="206"/>
  <c r="AA289" i="206"/>
  <c r="D102" i="203"/>
  <c r="D103" i="203" s="1"/>
  <c r="D105" i="203" s="1"/>
  <c r="Y249" i="206"/>
  <c r="Y247" i="206"/>
  <c r="AA89" i="206"/>
  <c r="AA111" i="206" s="1"/>
  <c r="AA109" i="206"/>
  <c r="Z249" i="206"/>
  <c r="Z251" i="206" s="1"/>
  <c r="AC249" i="206"/>
  <c r="Y213" i="206"/>
  <c r="W250" i="206"/>
  <c r="AC247" i="206"/>
  <c r="Z247" i="206"/>
  <c r="Z106" i="206"/>
  <c r="AC76" i="206"/>
  <c r="AC78" i="206" s="1"/>
  <c r="V247" i="206"/>
  <c r="Y178" i="206"/>
  <c r="AB250" i="206"/>
  <c r="AB76" i="206"/>
  <c r="X111" i="206"/>
  <c r="Z76" i="206"/>
  <c r="Z109" i="206" s="1"/>
  <c r="AA106" i="206"/>
  <c r="I102" i="203"/>
  <c r="I103" i="203" s="1"/>
  <c r="I105" i="203" s="1"/>
  <c r="E102" i="203"/>
  <c r="E103" i="203" s="1"/>
  <c r="E105" i="203" s="1"/>
  <c r="AE93" i="238"/>
  <c r="AA64" i="238"/>
  <c r="AC93" i="238"/>
  <c r="AA92" i="238"/>
  <c r="AO228" i="242"/>
  <c r="AO231" i="242" s="1"/>
  <c r="AO233" i="242" s="1"/>
  <c r="AH132" i="242"/>
  <c r="AH135" i="242" s="1"/>
  <c r="AH137" i="242" s="1"/>
  <c r="AI219" i="242"/>
  <c r="AI222" i="242" s="1"/>
  <c r="AI224" i="242" s="1"/>
  <c r="AN228" i="242"/>
  <c r="AN231" i="242" s="1"/>
  <c r="AN233" i="242" s="1"/>
  <c r="AK103" i="242"/>
  <c r="AJ132" i="242"/>
  <c r="AJ135" i="242" s="1"/>
  <c r="AJ137" i="242" s="1"/>
  <c r="AM132" i="242"/>
  <c r="AJ161" i="242"/>
  <c r="AJ164" i="242" s="1"/>
  <c r="AJ166" i="242" s="1"/>
  <c r="AM161" i="242"/>
  <c r="AM164" i="242" s="1"/>
  <c r="AM166" i="242" s="1"/>
  <c r="AJ190" i="242"/>
  <c r="AJ193" i="242" s="1"/>
  <c r="AJ195" i="242" s="1"/>
  <c r="AM190" i="242"/>
  <c r="AM193" i="242" s="1"/>
  <c r="AM195" i="242" s="1"/>
  <c r="AJ219" i="242"/>
  <c r="AJ222" i="242" s="1"/>
  <c r="AJ224" i="242" s="1"/>
  <c r="AM219" i="242"/>
  <c r="AM222" i="242" s="1"/>
  <c r="AM224" i="242" s="1"/>
  <c r="I56" i="210"/>
  <c r="J102" i="203"/>
  <c r="J103" i="203" s="1"/>
  <c r="J105" i="203" s="1"/>
  <c r="L102" i="203"/>
  <c r="L103" i="203" s="1"/>
  <c r="L105" i="203" s="1"/>
  <c r="G102" i="203"/>
  <c r="G103" i="203" s="1"/>
  <c r="G105" i="203" s="1"/>
  <c r="H102" i="203"/>
  <c r="H103" i="203" s="1"/>
  <c r="H105" i="203" s="1"/>
  <c r="C102" i="203"/>
  <c r="C103" i="203" s="1"/>
  <c r="C105" i="203" s="1"/>
  <c r="S54" i="216"/>
  <c r="R50" i="216"/>
  <c r="E80" i="203"/>
  <c r="AS91" i="187"/>
  <c r="W54" i="216"/>
  <c r="X50" i="216"/>
  <c r="AC89" i="206"/>
  <c r="AC109" i="206"/>
  <c r="W249" i="206"/>
  <c r="W251" i="206" s="1"/>
  <c r="W247" i="206"/>
  <c r="W289" i="206"/>
  <c r="AG30" i="235"/>
  <c r="AG126" i="235" s="1"/>
  <c r="AG124" i="235"/>
  <c r="AF66" i="234"/>
  <c r="F80" i="203"/>
  <c r="J80" i="203"/>
  <c r="I80" i="203"/>
  <c r="G80" i="203"/>
  <c r="F31" i="203"/>
  <c r="K31" i="203"/>
  <c r="M31" i="203"/>
  <c r="O25" i="230"/>
  <c r="W25" i="230"/>
  <c r="P69" i="230"/>
  <c r="P71" i="230" s="1"/>
  <c r="X69" i="230"/>
  <c r="X71" i="230" s="1"/>
  <c r="Q19" i="203"/>
  <c r="J39" i="203"/>
  <c r="O39" i="203"/>
  <c r="AA63" i="238"/>
  <c r="AH64" i="238"/>
  <c r="AF64" i="238"/>
  <c r="AE64" i="238"/>
  <c r="AG65" i="238"/>
  <c r="AE67" i="238"/>
  <c r="AH62" i="238"/>
  <c r="AG62" i="238"/>
  <c r="AE61" i="238"/>
  <c r="AF63" i="238"/>
  <c r="AE63" i="238"/>
  <c r="AE65" i="238"/>
  <c r="AH66" i="238"/>
  <c r="AG66" i="238"/>
  <c r="AH65" i="238"/>
  <c r="AH67" i="238"/>
  <c r="AF62" i="238"/>
  <c r="AG64" i="238"/>
  <c r="AE62" i="238"/>
  <c r="AF61" i="238"/>
  <c r="AF65" i="238"/>
  <c r="AF94" i="238"/>
  <c r="AF89" i="238"/>
  <c r="AG90" i="238"/>
  <c r="AF90" i="238"/>
  <c r="AG93" i="238"/>
  <c r="AE90" i="238"/>
  <c r="AH89" i="238"/>
  <c r="AD95" i="238"/>
  <c r="AF92" i="238"/>
  <c r="AE89" i="238"/>
  <c r="AG91" i="238"/>
  <c r="AH91" i="238"/>
  <c r="AF93" i="238"/>
  <c r="AE91" i="238"/>
  <c r="AH90" i="238"/>
  <c r="AD93" i="238"/>
  <c r="AD90" i="238"/>
  <c r="AD91" i="238"/>
  <c r="AG92" i="238"/>
  <c r="AH92" i="238"/>
  <c r="AH94" i="238"/>
  <c r="AD89" i="238"/>
  <c r="AE95" i="238"/>
  <c r="AH95" i="238"/>
  <c r="AD92" i="238"/>
  <c r="AD94" i="238"/>
  <c r="Y87" i="206"/>
  <c r="Y89" i="206" s="1"/>
  <c r="Y111" i="206" s="1"/>
  <c r="Y106" i="206"/>
  <c r="V213" i="206"/>
  <c r="V178" i="206"/>
  <c r="AB249" i="206"/>
  <c r="AB251" i="206" s="1"/>
  <c r="AB247" i="206"/>
  <c r="AA120" i="235"/>
  <c r="AA126" i="235" s="1"/>
  <c r="AA124" i="235"/>
  <c r="AQ98" i="187"/>
  <c r="AS97" i="187"/>
  <c r="AR145" i="187" s="1"/>
  <c r="AS100" i="187"/>
  <c r="N19" i="203"/>
  <c r="M19" i="203"/>
  <c r="C80" i="203"/>
  <c r="K80" i="203"/>
  <c r="H80" i="203"/>
  <c r="J31" i="203"/>
  <c r="H69" i="230"/>
  <c r="H71" i="230" s="1"/>
  <c r="K88" i="203"/>
  <c r="AF91" i="238"/>
  <c r="AD67" i="238"/>
  <c r="AA66" i="238"/>
  <c r="AD65" i="238"/>
  <c r="AD62" i="238"/>
  <c r="AC67" i="238"/>
  <c r="AA61" i="238"/>
  <c r="AB67" i="238"/>
  <c r="AD63" i="238"/>
  <c r="AA65" i="238"/>
  <c r="AB62" i="238"/>
  <c r="AB61" i="238"/>
  <c r="AD64" i="238"/>
  <c r="AC65" i="238"/>
  <c r="AB63" i="238"/>
  <c r="AC62" i="238"/>
  <c r="AD66" i="238"/>
  <c r="AD61" i="238"/>
  <c r="AB64" i="238"/>
  <c r="AC63" i="238"/>
  <c r="AA62" i="238"/>
  <c r="AB66" i="238"/>
  <c r="AC64" i="238"/>
  <c r="AA67" i="238"/>
  <c r="AB65" i="238"/>
  <c r="AC66" i="238"/>
  <c r="AC61" i="238"/>
  <c r="AC90" i="238"/>
  <c r="AB91" i="238"/>
  <c r="AA93" i="238"/>
  <c r="AA91" i="238"/>
  <c r="AC94" i="238"/>
  <c r="AB89" i="238"/>
  <c r="AC95" i="238"/>
  <c r="AA95" i="238"/>
  <c r="AA94" i="238"/>
  <c r="AB93" i="238"/>
  <c r="AB90" i="238"/>
  <c r="AC89" i="238"/>
  <c r="AB95" i="238"/>
  <c r="F74" i="203"/>
  <c r="J23" i="203"/>
  <c r="AL100" i="187"/>
  <c r="AP99" i="187"/>
  <c r="AN99" i="187"/>
  <c r="AL98" i="187"/>
  <c r="AP98" i="187"/>
  <c r="AS98" i="187"/>
  <c r="AQ148" i="187"/>
  <c r="AL146" i="187"/>
  <c r="P19" i="203"/>
  <c r="D80" i="203"/>
  <c r="G31" i="203"/>
  <c r="V25" i="230"/>
  <c r="N25" i="230"/>
  <c r="H25" i="230"/>
  <c r="K25" i="230"/>
  <c r="S25" i="230"/>
  <c r="AA25" i="230"/>
  <c r="AE92" i="238"/>
  <c r="I39" i="203"/>
  <c r="N39" i="203"/>
  <c r="AF66" i="238"/>
  <c r="AF95" i="238"/>
  <c r="AC92" i="238"/>
  <c r="F56" i="230"/>
  <c r="H69" i="231"/>
  <c r="H74" i="231" s="1"/>
  <c r="W69" i="231"/>
  <c r="W74" i="231" s="1"/>
  <c r="V56" i="230"/>
  <c r="D82" i="217"/>
  <c r="D88" i="217" s="1"/>
  <c r="F82" i="217" s="1"/>
  <c r="F88" i="217" s="1"/>
  <c r="G82" i="217" s="1"/>
  <c r="G88" i="217" s="1"/>
  <c r="G43" i="230"/>
  <c r="G45" i="230" s="1"/>
  <c r="G25" i="230"/>
  <c r="I69" i="230"/>
  <c r="I71" i="230" s="1"/>
  <c r="L51" i="230"/>
  <c r="L69" i="230"/>
  <c r="L71" i="230" s="1"/>
  <c r="Q69" i="230"/>
  <c r="Q71" i="230" s="1"/>
  <c r="T51" i="230"/>
  <c r="T69" i="230"/>
  <c r="T71" i="230" s="1"/>
  <c r="Y69" i="230"/>
  <c r="Y71" i="230" s="1"/>
  <c r="AB51" i="230"/>
  <c r="AB69" i="230"/>
  <c r="AB71" i="230" s="1"/>
  <c r="O69" i="231"/>
  <c r="O74" i="231" s="1"/>
  <c r="N56" i="230"/>
  <c r="AI135" i="242"/>
  <c r="AI137" i="242" s="1"/>
  <c r="AC91" i="238"/>
  <c r="AB92" i="238"/>
  <c r="AA89" i="238"/>
  <c r="AA90" i="238"/>
  <c r="AB94" i="238"/>
  <c r="AG67" i="238"/>
  <c r="AE94" i="238"/>
  <c r="AG89" i="238"/>
  <c r="AG95" i="238"/>
  <c r="AG94" i="238"/>
  <c r="AH93" i="238"/>
  <c r="AG61" i="238"/>
  <c r="AG63" i="238"/>
  <c r="AH63" i="238"/>
  <c r="AF67" i="238"/>
  <c r="AH61" i="238"/>
  <c r="AE66" i="238"/>
  <c r="G69" i="230"/>
  <c r="G71" i="230" s="1"/>
  <c r="O69" i="230"/>
  <c r="O71" i="230" s="1"/>
  <c r="W69" i="230"/>
  <c r="W71" i="230" s="1"/>
  <c r="J56" i="230"/>
  <c r="R56" i="230"/>
  <c r="Z56" i="230"/>
  <c r="J69" i="230"/>
  <c r="J71" i="230" s="1"/>
  <c r="R69" i="230"/>
  <c r="R71" i="230" s="1"/>
  <c r="Z69" i="230"/>
  <c r="Z71" i="230" s="1"/>
  <c r="AK106" i="242"/>
  <c r="AK108" i="242" s="1"/>
  <c r="E69" i="230"/>
  <c r="E71" i="230" s="1"/>
  <c r="M69" i="230"/>
  <c r="M71" i="230" s="1"/>
  <c r="U69" i="230"/>
  <c r="U71" i="230" s="1"/>
  <c r="AO106" i="242"/>
  <c r="AO108" i="242" s="1"/>
  <c r="AL228" i="242"/>
  <c r="AL231" i="242" s="1"/>
  <c r="AL233" i="242" s="1"/>
  <c r="AH106" i="242"/>
  <c r="AH108" i="242" s="1"/>
  <c r="AH228" i="242"/>
  <c r="AH231" i="242" s="1"/>
  <c r="AH233" i="242" s="1"/>
  <c r="AJ106" i="242"/>
  <c r="AJ108" i="242" s="1"/>
  <c r="K69" i="230"/>
  <c r="K71" i="230" s="1"/>
  <c r="S69" i="230"/>
  <c r="S71" i="230" s="1"/>
  <c r="AA69" i="230"/>
  <c r="AA71" i="230" s="1"/>
  <c r="E54" i="231"/>
  <c r="F69" i="230"/>
  <c r="F71" i="230" s="1"/>
  <c r="N69" i="230"/>
  <c r="N71" i="230" s="1"/>
  <c r="V69" i="230"/>
  <c r="V71" i="230" s="1"/>
  <c r="AK132" i="242"/>
  <c r="AK135" i="242" s="1"/>
  <c r="AK137" i="242" s="1"/>
  <c r="AK161" i="242"/>
  <c r="AK164" i="242" s="1"/>
  <c r="AK166" i="242" s="1"/>
  <c r="AK190" i="242"/>
  <c r="AK193" i="242" s="1"/>
  <c r="AK195" i="242" s="1"/>
  <c r="AK219" i="242"/>
  <c r="AK222" i="242" s="1"/>
  <c r="AK224" i="242" s="1"/>
  <c r="AB60" i="205"/>
  <c r="AB28" i="205"/>
  <c r="AB62" i="205" s="1"/>
  <c r="AG62" i="205"/>
  <c r="AC37" i="205"/>
  <c r="AC62" i="205" s="1"/>
  <c r="AC60" i="205"/>
  <c r="AG37" i="205"/>
  <c r="AG60" i="205"/>
  <c r="AP130" i="187"/>
  <c r="AP138" i="187"/>
  <c r="AP140" i="187" s="1"/>
  <c r="AH60" i="205"/>
  <c r="AH28" i="205"/>
  <c r="AH62" i="205" s="1"/>
  <c r="E56" i="230"/>
  <c r="AE37" i="205"/>
  <c r="AE62" i="205" s="1"/>
  <c r="AE60" i="205"/>
  <c r="AN130" i="187"/>
  <c r="AN138" i="187"/>
  <c r="AN140" i="187" s="1"/>
  <c r="AA62" i="205"/>
  <c r="AS138" i="187"/>
  <c r="AS140" i="187" s="1"/>
  <c r="AS119" i="187"/>
  <c r="AA60" i="205"/>
  <c r="Z178" i="206"/>
  <c r="V76" i="206"/>
  <c r="W87" i="206"/>
  <c r="M50" i="217"/>
  <c r="M20" i="217" s="1"/>
  <c r="K26" i="217"/>
  <c r="V56" i="218"/>
  <c r="Z56" i="218"/>
  <c r="X56" i="218"/>
  <c r="W56" i="218"/>
  <c r="Y56" i="218"/>
  <c r="D90" i="217"/>
  <c r="D96" i="217" s="1"/>
  <c r="F90" i="217" s="1"/>
  <c r="F96" i="217" s="1"/>
  <c r="G90" i="217" s="1"/>
  <c r="G96" i="217" s="1"/>
  <c r="M56" i="217"/>
  <c r="M26" i="217" s="1"/>
  <c r="L50" i="217"/>
  <c r="L20" i="217" s="1"/>
  <c r="L74" i="217"/>
  <c r="L80" i="217" s="1"/>
  <c r="M103" i="203"/>
  <c r="M105" i="203" s="1"/>
  <c r="AC54" i="231"/>
  <c r="Y54" i="231"/>
  <c r="AB54" i="231"/>
  <c r="Z54" i="231"/>
  <c r="X54" i="231"/>
  <c r="V54" i="231"/>
  <c r="F54" i="231"/>
  <c r="W54" i="231"/>
  <c r="AA54" i="231"/>
  <c r="I95" i="222"/>
  <c r="G17" i="245"/>
  <c r="L48" i="217"/>
  <c r="AA20" i="201"/>
  <c r="AB258" i="206"/>
  <c r="AN239" i="242"/>
  <c r="AG16" i="223"/>
  <c r="AB67" i="206"/>
  <c r="AR21" i="187"/>
  <c r="AG19" i="205"/>
  <c r="AN59" i="242"/>
  <c r="I62" i="243"/>
  <c r="I81" i="210"/>
  <c r="F24" i="232"/>
  <c r="F20" i="231"/>
  <c r="D51" i="234"/>
  <c r="O16" i="223"/>
  <c r="D24" i="234"/>
  <c r="I20" i="224"/>
  <c r="I19" i="218"/>
  <c r="I30" i="221"/>
  <c r="I15" i="220"/>
  <c r="D18" i="217"/>
  <c r="I20" i="201"/>
  <c r="I55" i="201"/>
  <c r="O109" i="223"/>
  <c r="O47" i="223"/>
  <c r="O74" i="223"/>
  <c r="I64" i="210"/>
  <c r="M19" i="239"/>
  <c r="I13" i="203"/>
  <c r="AF42" i="234"/>
  <c r="AF24" i="234"/>
  <c r="AA19" i="243"/>
  <c r="AA55" i="201"/>
  <c r="AG32" i="223"/>
  <c r="AG109" i="223"/>
  <c r="AG47" i="223"/>
  <c r="AA54" i="210"/>
  <c r="AA18" i="210"/>
  <c r="AF19" i="239"/>
  <c r="AG69" i="205"/>
  <c r="AR108" i="187"/>
  <c r="AG19" i="238"/>
  <c r="AB50" i="206"/>
  <c r="AB170" i="206"/>
  <c r="AF20" i="235"/>
  <c r="AA64" i="210"/>
  <c r="AG61" i="223"/>
  <c r="L18" i="217"/>
  <c r="AA19" i="218"/>
  <c r="AA15" i="220"/>
  <c r="AF51" i="234"/>
  <c r="V20" i="224"/>
  <c r="K46" i="210" l="1"/>
  <c r="L56" i="210"/>
  <c r="AC111" i="206"/>
  <c r="Y109" i="206"/>
  <c r="AC251" i="206"/>
  <c r="AA251" i="206"/>
  <c r="V251" i="206"/>
  <c r="Z78" i="206"/>
  <c r="Z111" i="206" s="1"/>
  <c r="Y251" i="206"/>
  <c r="AB109" i="206"/>
  <c r="AB78" i="206"/>
  <c r="AB111" i="206" s="1"/>
  <c r="AE180" i="238"/>
  <c r="AA179" i="238"/>
  <c r="AC180" i="238"/>
  <c r="AS148" i="187"/>
  <c r="AQ101" i="187"/>
  <c r="G72" i="203"/>
  <c r="AR91" i="187"/>
  <c r="AQ100" i="187"/>
  <c r="AR98" i="187"/>
  <c r="AN91" i="187"/>
  <c r="AQ91" i="187"/>
  <c r="AS101" i="187"/>
  <c r="C25" i="203"/>
  <c r="AR101" i="187"/>
  <c r="AO98" i="187"/>
  <c r="AM139" i="187"/>
  <c r="AM140" i="187" s="1"/>
  <c r="AR93" i="187"/>
  <c r="AM146" i="187"/>
  <c r="R23" i="203"/>
  <c r="O25" i="203"/>
  <c r="AS93" i="187"/>
  <c r="AO101" i="187"/>
  <c r="P25" i="203"/>
  <c r="F25" i="203"/>
  <c r="AO100" i="187"/>
  <c r="AO97" i="187"/>
  <c r="AO145" i="187" s="1"/>
  <c r="AR100" i="187"/>
  <c r="AJ228" i="242"/>
  <c r="AJ231" i="242" s="1"/>
  <c r="AJ233" i="242" s="1"/>
  <c r="AI228" i="242"/>
  <c r="AI231" i="242" s="1"/>
  <c r="AI233" i="242" s="1"/>
  <c r="AM135" i="242"/>
  <c r="AM137" i="242" s="1"/>
  <c r="AM228" i="242"/>
  <c r="AM231" i="242" s="1"/>
  <c r="AM233" i="242" s="1"/>
  <c r="AD178" i="238"/>
  <c r="AF182" i="238"/>
  <c r="AD177" i="238"/>
  <c r="AH177" i="238"/>
  <c r="AB180" i="238"/>
  <c r="AE177" i="238"/>
  <c r="AB177" i="238"/>
  <c r="AH180" i="238"/>
  <c r="AE178" i="238"/>
  <c r="AF179" i="238"/>
  <c r="AG177" i="238"/>
  <c r="C72" i="203"/>
  <c r="AF181" i="238"/>
  <c r="AD179" i="238"/>
  <c r="AD182" i="238"/>
  <c r="AC178" i="238"/>
  <c r="AA180" i="238"/>
  <c r="AG179" i="238"/>
  <c r="AF180" i="238"/>
  <c r="AH181" i="238"/>
  <c r="AG180" i="238"/>
  <c r="AF178" i="238"/>
  <c r="AF177" i="238"/>
  <c r="AE181" i="238"/>
  <c r="AG178" i="238"/>
  <c r="AB182" i="238"/>
  <c r="AA178" i="238"/>
  <c r="AD181" i="238"/>
  <c r="AH182" i="238"/>
  <c r="AE182" i="238"/>
  <c r="AE179" i="238"/>
  <c r="AH179" i="238"/>
  <c r="AA182" i="238"/>
  <c r="AS145" i="187"/>
  <c r="AH178" i="238"/>
  <c r="AG181" i="238"/>
  <c r="AD180" i="238"/>
  <c r="AC97" i="205"/>
  <c r="AG95" i="205"/>
  <c r="AB99" i="205"/>
  <c r="D68" i="203"/>
  <c r="C68" i="203"/>
  <c r="AF95" i="205"/>
  <c r="AD96" i="205"/>
  <c r="AF96" i="205"/>
  <c r="AA96" i="205"/>
  <c r="J68" i="203"/>
  <c r="G68" i="203"/>
  <c r="F68" i="203"/>
  <c r="AG96" i="205"/>
  <c r="AG97" i="205"/>
  <c r="AE99" i="205"/>
  <c r="K68" i="203"/>
  <c r="E68" i="203"/>
  <c r="AA98" i="205"/>
  <c r="AD94" i="205"/>
  <c r="AP147" i="187"/>
  <c r="AC177" i="238"/>
  <c r="AC179" i="238"/>
  <c r="AB179" i="238"/>
  <c r="AC182" i="238"/>
  <c r="AE97" i="205"/>
  <c r="AG98" i="205"/>
  <c r="AC99" i="205"/>
  <c r="AD99" i="205"/>
  <c r="AB96" i="205"/>
  <c r="AD95" i="205"/>
  <c r="I68" i="203"/>
  <c r="AA94" i="205"/>
  <c r="AF94" i="205"/>
  <c r="AC98" i="205"/>
  <c r="AP100" i="187"/>
  <c r="AO91" i="187"/>
  <c r="W109" i="206"/>
  <c r="W89" i="206"/>
  <c r="W111" i="206" s="1"/>
  <c r="V109" i="206"/>
  <c r="V78" i="206"/>
  <c r="V111" i="206" s="1"/>
  <c r="AK228" i="242"/>
  <c r="AK231" i="242" s="1"/>
  <c r="AK233" i="242" s="1"/>
  <c r="AG182" i="238"/>
  <c r="E26" i="217"/>
  <c r="E20" i="217"/>
  <c r="AN147" i="187"/>
  <c r="AC181" i="238"/>
  <c r="AB181" i="238"/>
  <c r="AF98" i="205"/>
  <c r="AH98" i="205"/>
  <c r="AB95" i="205"/>
  <c r="AE95" i="205"/>
  <c r="AH95" i="205"/>
  <c r="AH97" i="205"/>
  <c r="AA97" i="205"/>
  <c r="AB97" i="205"/>
  <c r="AC94" i="205"/>
  <c r="AH99" i="205"/>
  <c r="H25" i="203"/>
  <c r="AO146" i="187"/>
  <c r="AP146" i="187"/>
  <c r="H72" i="203"/>
  <c r="H74" i="203"/>
  <c r="I72" i="203"/>
  <c r="AM97" i="187"/>
  <c r="AM100" i="187"/>
  <c r="AP91" i="187"/>
  <c r="K25" i="203"/>
  <c r="G74" i="203"/>
  <c r="J72" i="203"/>
  <c r="AN98" i="187"/>
  <c r="AO148" i="187"/>
  <c r="AN101" i="187"/>
  <c r="AL97" i="187"/>
  <c r="AN100" i="187"/>
  <c r="H23" i="203"/>
  <c r="I25" i="203"/>
  <c r="D72" i="203"/>
  <c r="AN146" i="187"/>
  <c r="AP97" i="187"/>
  <c r="AP145" i="187" s="1"/>
  <c r="AO99" i="187"/>
  <c r="AO147" i="187" s="1"/>
  <c r="N25" i="203"/>
  <c r="E74" i="203"/>
  <c r="AM148" i="187"/>
  <c r="K72" i="203"/>
  <c r="AQ146" i="187"/>
  <c r="I74" i="203"/>
  <c r="J74" i="203"/>
  <c r="Q25" i="203"/>
  <c r="AN148" i="187"/>
  <c r="AM91" i="187"/>
  <c r="AL91" i="187"/>
  <c r="G25" i="203"/>
  <c r="AP101" i="187"/>
  <c r="E72" i="203"/>
  <c r="AN97" i="187"/>
  <c r="AN145" i="187" s="1"/>
  <c r="AP148" i="187"/>
  <c r="D74" i="203"/>
  <c r="E25" i="203"/>
  <c r="K74" i="203"/>
  <c r="J25" i="203"/>
  <c r="AM98" i="187"/>
  <c r="F72" i="203"/>
  <c r="AB178" i="238"/>
  <c r="AF99" i="205"/>
  <c r="AE94" i="205"/>
  <c r="AH94" i="205"/>
  <c r="H68" i="203"/>
  <c r="AC96" i="205"/>
  <c r="AG99" i="205"/>
  <c r="AB98" i="205"/>
  <c r="AE98" i="205"/>
  <c r="AC95" i="205"/>
  <c r="AA95" i="205"/>
  <c r="AA177" i="238"/>
  <c r="AA181" i="238"/>
  <c r="AB94" i="205"/>
  <c r="AD97" i="205"/>
  <c r="AF97" i="205"/>
  <c r="AE96" i="205"/>
  <c r="AH96" i="205"/>
  <c r="AD98" i="205"/>
  <c r="AA99" i="205"/>
  <c r="AG94" i="205"/>
  <c r="AS96" i="187"/>
  <c r="AR148" i="187"/>
  <c r="AQ97" i="187"/>
  <c r="AQ145" i="187" s="1"/>
  <c r="AS95" i="187"/>
  <c r="AQ94" i="187"/>
  <c r="AQ93" i="187"/>
  <c r="R54" i="216"/>
  <c r="Q50" i="216"/>
  <c r="O19" i="203"/>
  <c r="D20" i="217"/>
  <c r="AR97" i="187"/>
  <c r="AR96" i="187"/>
  <c r="AR146" i="187"/>
  <c r="AR94" i="187"/>
  <c r="Y50" i="216"/>
  <c r="Y54" i="216" s="1"/>
  <c r="X54" i="216"/>
  <c r="AQ99" i="187"/>
  <c r="AQ147" i="187" s="1"/>
  <c r="AQ149" i="187" s="1"/>
  <c r="AS94" i="187"/>
  <c r="AQ96" i="187"/>
  <c r="AQ144" i="187" s="1"/>
  <c r="AQ95" i="187"/>
  <c r="AR95" i="187"/>
  <c r="AS99" i="187"/>
  <c r="AR99" i="187"/>
  <c r="AS146" i="187"/>
  <c r="L56" i="217"/>
  <c r="L26" i="217" s="1"/>
  <c r="Q54" i="231"/>
  <c r="N54" i="231"/>
  <c r="J54" i="231"/>
  <c r="O54" i="231"/>
  <c r="T54" i="231"/>
  <c r="G54" i="231"/>
  <c r="K54" i="231"/>
  <c r="M54" i="231"/>
  <c r="I54" i="231"/>
  <c r="S54" i="231"/>
  <c r="U54" i="231"/>
  <c r="L54" i="231"/>
  <c r="R54" i="231"/>
  <c r="H54" i="231"/>
  <c r="P54" i="231"/>
  <c r="J95" i="222"/>
  <c r="H17" i="245"/>
  <c r="F62" i="203"/>
  <c r="F13" i="203"/>
  <c r="F42" i="234"/>
  <c r="K43" i="221"/>
  <c r="K72" i="201"/>
  <c r="K62" i="203"/>
  <c r="Q109" i="223"/>
  <c r="H24" i="232"/>
  <c r="Q47" i="223"/>
  <c r="W20" i="224"/>
  <c r="AG51" i="234"/>
  <c r="AB15" i="220"/>
  <c r="AB19" i="218"/>
  <c r="M48" i="217"/>
  <c r="M18" i="217"/>
  <c r="AB20" i="201"/>
  <c r="AH16" i="223"/>
  <c r="AH61" i="223"/>
  <c r="AB64" i="210"/>
  <c r="AG42" i="234"/>
  <c r="AH109" i="223"/>
  <c r="AC258" i="206"/>
  <c r="AC67" i="206"/>
  <c r="AS21" i="187"/>
  <c r="AH19" i="205"/>
  <c r="AO239" i="242"/>
  <c r="AG24" i="234"/>
  <c r="AB19" i="243"/>
  <c r="AB55" i="201"/>
  <c r="AH32" i="223"/>
  <c r="AH47" i="223"/>
  <c r="AB54" i="210"/>
  <c r="AB18" i="210"/>
  <c r="AG19" i="239"/>
  <c r="AG20" i="235"/>
  <c r="AC170" i="206"/>
  <c r="AC50" i="206"/>
  <c r="AH19" i="238"/>
  <c r="AS108" i="187"/>
  <c r="AH69" i="205"/>
  <c r="J62" i="243"/>
  <c r="J81" i="210"/>
  <c r="G24" i="232"/>
  <c r="F20" i="230"/>
  <c r="P32" i="223"/>
  <c r="E42" i="234"/>
  <c r="J36" i="224"/>
  <c r="J30" i="221"/>
  <c r="J15" i="220"/>
  <c r="J19" i="218"/>
  <c r="E18" i="217"/>
  <c r="J55" i="201"/>
  <c r="J20" i="201"/>
  <c r="J77" i="210"/>
  <c r="J54" i="210"/>
  <c r="P127" i="223"/>
  <c r="P61" i="223"/>
  <c r="J18" i="210"/>
  <c r="N19" i="239"/>
  <c r="J13" i="203"/>
  <c r="AO59" i="242"/>
  <c r="E15" i="237"/>
  <c r="E51" i="234"/>
  <c r="E24" i="234"/>
  <c r="J17" i="221"/>
  <c r="E48" i="217"/>
  <c r="J38" i="201"/>
  <c r="P74" i="223"/>
  <c r="P47" i="223"/>
  <c r="J62" i="203"/>
  <c r="J19" i="243"/>
  <c r="G20" i="231"/>
  <c r="P16" i="223"/>
  <c r="J20" i="224"/>
  <c r="J43" i="221"/>
  <c r="J62" i="218"/>
  <c r="J72" i="201"/>
  <c r="J64" i="210"/>
  <c r="P109" i="223"/>
  <c r="G62" i="203"/>
  <c r="G13" i="203"/>
  <c r="K57" i="210" l="1"/>
  <c r="AO149" i="187"/>
  <c r="AN149" i="187"/>
  <c r="AS144" i="187"/>
  <c r="AR144" i="187"/>
  <c r="D25" i="203"/>
  <c r="R25" i="203"/>
  <c r="C74" i="203"/>
  <c r="AP149" i="187"/>
  <c r="D26" i="217"/>
  <c r="P50" i="216"/>
  <c r="Q54" i="216"/>
  <c r="AL99" i="187"/>
  <c r="AL145" i="187"/>
  <c r="AM145" i="187"/>
  <c r="AM99" i="187"/>
  <c r="AS147" i="187"/>
  <c r="AS149" i="187" s="1"/>
  <c r="AR147" i="187"/>
  <c r="AR149" i="187" s="1"/>
  <c r="I23" i="203"/>
  <c r="F18" i="217"/>
  <c r="K64" i="210"/>
  <c r="K15" i="220"/>
  <c r="Q16" i="223"/>
  <c r="K81" i="210"/>
  <c r="K54" i="210"/>
  <c r="Q61" i="223"/>
  <c r="F48" i="217"/>
  <c r="F15" i="237"/>
  <c r="K95" i="222"/>
  <c r="I17" i="245"/>
  <c r="K13" i="203"/>
  <c r="Q74" i="223"/>
  <c r="K55" i="201"/>
  <c r="K30" i="221"/>
  <c r="K20" i="224"/>
  <c r="F51" i="234"/>
  <c r="K62" i="243"/>
  <c r="O19" i="239"/>
  <c r="K20" i="201"/>
  <c r="K19" i="218"/>
  <c r="F24" i="234"/>
  <c r="H20" i="231"/>
  <c r="K77" i="210"/>
  <c r="K18" i="210"/>
  <c r="Q127" i="223"/>
  <c r="K38" i="201"/>
  <c r="K17" i="221"/>
  <c r="K62" i="218"/>
  <c r="K36" i="224"/>
  <c r="Q32" i="223"/>
  <c r="G20" i="230"/>
  <c r="K19" i="243"/>
  <c r="G51" i="234"/>
  <c r="H51" i="234" s="1"/>
  <c r="I51" i="234" s="1"/>
  <c r="J51" i="234" s="1"/>
  <c r="K51" i="234" s="1"/>
  <c r="L51" i="234" s="1"/>
  <c r="M51" i="234" s="1"/>
  <c r="N51" i="234" s="1"/>
  <c r="O51" i="234" s="1"/>
  <c r="P51" i="234" s="1"/>
  <c r="Q51" i="234" s="1"/>
  <c r="R51" i="234" s="1"/>
  <c r="S51" i="234" s="1"/>
  <c r="T51" i="234" s="1"/>
  <c r="U51" i="234" s="1"/>
  <c r="V51" i="234" s="1"/>
  <c r="W51" i="234" s="1"/>
  <c r="X51" i="234" s="1"/>
  <c r="Y51" i="234" s="1"/>
  <c r="Z51" i="234" s="1"/>
  <c r="AA51" i="234" s="1"/>
  <c r="L36" i="224"/>
  <c r="R16" i="223"/>
  <c r="L30" i="221"/>
  <c r="L72" i="201"/>
  <c r="L64" i="210"/>
  <c r="R127" i="223"/>
  <c r="L19" i="218"/>
  <c r="R61" i="223"/>
  <c r="E13" i="203"/>
  <c r="E62" i="203"/>
  <c r="K56" i="210" l="1"/>
  <c r="K70" i="210"/>
  <c r="J47" i="203" s="1"/>
  <c r="P23" i="203"/>
  <c r="N23" i="203"/>
  <c r="Q23" i="203"/>
  <c r="M23" i="203"/>
  <c r="O23" i="203"/>
  <c r="K23" i="203"/>
  <c r="AL101" i="187"/>
  <c r="AL147" i="187"/>
  <c r="F20" i="217"/>
  <c r="AM101" i="187"/>
  <c r="AM147" i="187"/>
  <c r="AM149" i="187" s="1"/>
  <c r="O50" i="216"/>
  <c r="P54" i="216"/>
  <c r="L13" i="203"/>
  <c r="P19" i="239"/>
  <c r="L20" i="201"/>
  <c r="L62" i="203"/>
  <c r="R109" i="223"/>
  <c r="L62" i="218"/>
  <c r="G24" i="234"/>
  <c r="H24" i="234" s="1"/>
  <c r="I24" i="234" s="1"/>
  <c r="J24" i="234" s="1"/>
  <c r="K24" i="234" s="1"/>
  <c r="L24" i="234" s="1"/>
  <c r="M24" i="234" s="1"/>
  <c r="N24" i="234" s="1"/>
  <c r="O24" i="234" s="1"/>
  <c r="P24" i="234" s="1"/>
  <c r="Q24" i="234" s="1"/>
  <c r="R24" i="234" s="1"/>
  <c r="S24" i="234" s="1"/>
  <c r="T24" i="234" s="1"/>
  <c r="U24" i="234" s="1"/>
  <c r="V24" i="234" s="1"/>
  <c r="W24" i="234" s="1"/>
  <c r="X24" i="234" s="1"/>
  <c r="Y24" i="234" s="1"/>
  <c r="Z24" i="234" s="1"/>
  <c r="AA24" i="234" s="1"/>
  <c r="R32" i="223"/>
  <c r="L81" i="210"/>
  <c r="L95" i="222"/>
  <c r="J17" i="245"/>
  <c r="L54" i="210"/>
  <c r="L55" i="201"/>
  <c r="L17" i="221"/>
  <c r="L18" i="210"/>
  <c r="L77" i="210"/>
  <c r="G18" i="217"/>
  <c r="L43" i="221"/>
  <c r="R47" i="223"/>
  <c r="R74" i="223"/>
  <c r="L38" i="201"/>
  <c r="G48" i="217"/>
  <c r="L15" i="220"/>
  <c r="L20" i="224"/>
  <c r="I24" i="232"/>
  <c r="J24" i="232" s="1"/>
  <c r="K24" i="232" s="1"/>
  <c r="L24" i="232" s="1"/>
  <c r="M24" i="232" s="1"/>
  <c r="N24" i="232" s="1"/>
  <c r="O24" i="232" s="1"/>
  <c r="P24" i="232" s="1"/>
  <c r="Q24" i="232" s="1"/>
  <c r="R24" i="232" s="1"/>
  <c r="S24" i="232" s="1"/>
  <c r="T24" i="232" s="1"/>
  <c r="U24" i="232" s="1"/>
  <c r="V24" i="232" s="1"/>
  <c r="W24" i="232" s="1"/>
  <c r="X24" i="232" s="1"/>
  <c r="Y24" i="232" s="1"/>
  <c r="Z24" i="232" s="1"/>
  <c r="AA24" i="232" s="1"/>
  <c r="AB24" i="232" s="1"/>
  <c r="AC24" i="232" s="1"/>
  <c r="G15" i="237"/>
  <c r="G42" i="234"/>
  <c r="H42" i="234" s="1"/>
  <c r="I42" i="234" s="1"/>
  <c r="J42" i="234" s="1"/>
  <c r="K42" i="234" s="1"/>
  <c r="L42" i="234" s="1"/>
  <c r="M42" i="234" s="1"/>
  <c r="N42" i="234" s="1"/>
  <c r="O42" i="234" s="1"/>
  <c r="P42" i="234" s="1"/>
  <c r="Q42" i="234" s="1"/>
  <c r="R42" i="234" s="1"/>
  <c r="S42" i="234" s="1"/>
  <c r="T42" i="234" s="1"/>
  <c r="U42" i="234" s="1"/>
  <c r="V42" i="234" s="1"/>
  <c r="W42" i="234" s="1"/>
  <c r="X42" i="234" s="1"/>
  <c r="Y42" i="234" s="1"/>
  <c r="Z42" i="234" s="1"/>
  <c r="AA42" i="234" s="1"/>
  <c r="H20" i="230"/>
  <c r="I20" i="230" s="1"/>
  <c r="J20" i="230" s="1"/>
  <c r="K20" i="230" s="1"/>
  <c r="L20" i="230" s="1"/>
  <c r="M20" i="230" s="1"/>
  <c r="N20" i="230" s="1"/>
  <c r="O20" i="230" s="1"/>
  <c r="P20" i="230" s="1"/>
  <c r="Q20" i="230" s="1"/>
  <c r="R20" i="230" s="1"/>
  <c r="S20" i="230" s="1"/>
  <c r="T20" i="230" s="1"/>
  <c r="U20" i="230" s="1"/>
  <c r="V20" i="230" s="1"/>
  <c r="W20" i="230" s="1"/>
  <c r="X20" i="230" s="1"/>
  <c r="Y20" i="230" s="1"/>
  <c r="Z20" i="230" s="1"/>
  <c r="AA20" i="230" s="1"/>
  <c r="AB20" i="230" s="1"/>
  <c r="L19" i="243"/>
  <c r="I20" i="231"/>
  <c r="J20" i="231" s="1"/>
  <c r="K20" i="231" s="1"/>
  <c r="L20" i="231" s="1"/>
  <c r="M20" i="231" s="1"/>
  <c r="N20" i="231" s="1"/>
  <c r="O20" i="231" s="1"/>
  <c r="P20" i="231" s="1"/>
  <c r="Q20" i="231" s="1"/>
  <c r="R20" i="231" s="1"/>
  <c r="S20" i="231" s="1"/>
  <c r="T20" i="231" s="1"/>
  <c r="U20" i="231" s="1"/>
  <c r="V20" i="231" s="1"/>
  <c r="W20" i="231" s="1"/>
  <c r="X20" i="231" s="1"/>
  <c r="Y20" i="231" s="1"/>
  <c r="Z20" i="231" s="1"/>
  <c r="AA20" i="231" s="1"/>
  <c r="AB20" i="231" s="1"/>
  <c r="AC20" i="231" s="1"/>
  <c r="L62" i="243"/>
  <c r="D62" i="203"/>
  <c r="D13" i="203"/>
  <c r="H15" i="237"/>
  <c r="AE49" i="234"/>
  <c r="AE22" i="234"/>
  <c r="U17" i="243"/>
  <c r="K16" i="217"/>
  <c r="U18" i="201"/>
  <c r="AA45" i="223"/>
  <c r="AA14" i="223"/>
  <c r="U52" i="210"/>
  <c r="U16" i="210"/>
  <c r="Z17" i="239"/>
  <c r="AE40" i="234"/>
  <c r="U53" i="201"/>
  <c r="AA30" i="223"/>
  <c r="Z18" i="235"/>
  <c r="V256" i="206"/>
  <c r="V65" i="206"/>
  <c r="AL19" i="187"/>
  <c r="C60" i="243"/>
  <c r="C70" i="201"/>
  <c r="I125" i="223"/>
  <c r="AA17" i="205"/>
  <c r="P18" i="224"/>
  <c r="C34" i="224"/>
  <c r="U13" i="220"/>
  <c r="U17" i="218"/>
  <c r="K46" i="217"/>
  <c r="U66" i="210"/>
  <c r="K16" i="210"/>
  <c r="V168" i="206"/>
  <c r="V48" i="206"/>
  <c r="AA17" i="238"/>
  <c r="AL106" i="187"/>
  <c r="C60" i="218"/>
  <c r="C79" i="210"/>
  <c r="AA67" i="205"/>
  <c r="F49" i="234"/>
  <c r="F22" i="234"/>
  <c r="K17" i="243"/>
  <c r="K17" i="218"/>
  <c r="F16" i="217"/>
  <c r="K18" i="201"/>
  <c r="Q107" i="223"/>
  <c r="Q30" i="223"/>
  <c r="K66" i="210"/>
  <c r="C36" i="201"/>
  <c r="AH237" i="242"/>
  <c r="AH57" i="242"/>
  <c r="K18" i="224"/>
  <c r="F40" i="234"/>
  <c r="K13" i="220"/>
  <c r="F46" i="217"/>
  <c r="K53" i="201"/>
  <c r="Q45" i="223"/>
  <c r="Q14" i="223"/>
  <c r="K52" i="210"/>
  <c r="O17" i="239"/>
  <c r="H60" i="203"/>
  <c r="N11" i="203"/>
  <c r="C50" i="216"/>
  <c r="L11" i="203"/>
  <c r="F26" i="217" l="1"/>
  <c r="N50" i="216"/>
  <c r="O54" i="216"/>
  <c r="C95" i="222" a="1"/>
  <c r="E95" i="222" s="1"/>
  <c r="U15" i="220" a="1"/>
  <c r="U15" i="220" s="1"/>
  <c r="U19" i="243" a="1"/>
  <c r="U19" i="243" s="1"/>
  <c r="U19" i="218" a="1"/>
  <c r="U19" i="218" s="1"/>
  <c r="U20" i="201" a="1"/>
  <c r="U20" i="201" s="1"/>
  <c r="AA32" i="223" a="1"/>
  <c r="AA32" i="223" s="1"/>
  <c r="V258" i="206" a="1"/>
  <c r="V258" i="206" s="1"/>
  <c r="V170" i="206" a="1"/>
  <c r="V170" i="206" s="1"/>
  <c r="AA19" i="238" a="1"/>
  <c r="AA19" i="238" s="1"/>
  <c r="AL108" i="187" a="1"/>
  <c r="AA69" i="205" a="1"/>
  <c r="AA69" i="205" s="1"/>
  <c r="AH239" i="242" a="1"/>
  <c r="AH239" i="242" s="1"/>
  <c r="P20" i="224" a="1"/>
  <c r="P20" i="224" s="1"/>
  <c r="U55" i="201" a="1"/>
  <c r="U55" i="201" s="1"/>
  <c r="AA16" i="223" a="1"/>
  <c r="AA16" i="223" s="1"/>
  <c r="AA109" i="223" a="1"/>
  <c r="AA109" i="223" s="1"/>
  <c r="AA61" i="223" a="1"/>
  <c r="AA61" i="223" s="1"/>
  <c r="AA47" i="223" a="1"/>
  <c r="U64" i="210" a="1"/>
  <c r="U64" i="210" s="1"/>
  <c r="U54" i="210" a="1"/>
  <c r="U54" i="210" s="1"/>
  <c r="U18" i="210" a="1"/>
  <c r="U18" i="210" s="1"/>
  <c r="Z19" i="239" a="1"/>
  <c r="Z20" i="235" a="1"/>
  <c r="Z20" i="235" s="1"/>
  <c r="V67" i="206" a="1"/>
  <c r="V67" i="206" s="1"/>
  <c r="V50" i="206" a="1"/>
  <c r="V50" i="206" s="1"/>
  <c r="AL21" i="187" a="1"/>
  <c r="AA19" i="205" a="1"/>
  <c r="AA19" i="205" s="1"/>
  <c r="AH59" i="242" a="1"/>
  <c r="AH59" i="242" s="1"/>
  <c r="C19" i="243" a="1"/>
  <c r="C19" i="243" s="1"/>
  <c r="I32" i="223" a="1"/>
  <c r="I32" i="223" s="1"/>
  <c r="C36" i="224" a="1"/>
  <c r="C36" i="224" s="1"/>
  <c r="C20" i="224" a="1"/>
  <c r="C62" i="218" a="1"/>
  <c r="C62" i="218" s="1"/>
  <c r="C43" i="221" a="1"/>
  <c r="C43" i="221" s="1"/>
  <c r="C15" i="220" a="1"/>
  <c r="C15" i="220" s="1"/>
  <c r="C20" i="201" a="1"/>
  <c r="C20" i="201" s="1"/>
  <c r="C62" i="243" a="1"/>
  <c r="C62" i="243" s="1"/>
  <c r="I16" i="223" a="1"/>
  <c r="I16" i="223" s="1"/>
  <c r="C17" i="221" a="1"/>
  <c r="C17" i="221" s="1"/>
  <c r="C30" i="221" a="1"/>
  <c r="C30" i="221" s="1"/>
  <c r="C72" i="201" a="1"/>
  <c r="C72" i="201" s="1"/>
  <c r="I127" i="223" a="1"/>
  <c r="I127" i="223" s="1"/>
  <c r="I61" i="223" a="1"/>
  <c r="I61" i="223" s="1"/>
  <c r="C18" i="210" a="1"/>
  <c r="C18" i="210" s="1"/>
  <c r="C77" i="210" a="1"/>
  <c r="C77" i="210" s="1"/>
  <c r="C54" i="210" a="1"/>
  <c r="C54" i="210" s="1"/>
  <c r="C81" i="210" a="1"/>
  <c r="C81" i="210" s="1"/>
  <c r="C19" i="218" a="1"/>
  <c r="C19" i="218" s="1"/>
  <c r="C38" i="201" a="1"/>
  <c r="C38" i="201" s="1"/>
  <c r="C55" i="201" a="1"/>
  <c r="C55" i="201" s="1"/>
  <c r="I109" i="223" a="1"/>
  <c r="I109" i="223" s="1"/>
  <c r="I47" i="223" a="1"/>
  <c r="I47" i="223" s="1"/>
  <c r="I74" i="223" a="1"/>
  <c r="I74" i="223" s="1"/>
  <c r="C64" i="210" a="1"/>
  <c r="C64" i="210" s="1"/>
  <c r="G19" i="239" a="1"/>
  <c r="G19" i="239" s="1"/>
  <c r="AL139" i="187"/>
  <c r="AL140" i="187" s="1"/>
  <c r="AL148" i="187"/>
  <c r="AL149" i="187" s="1"/>
  <c r="I15" i="237"/>
  <c r="AA47" i="223"/>
  <c r="AL21" i="187"/>
  <c r="Z19" i="239"/>
  <c r="AL108" i="187"/>
  <c r="C62" i="203"/>
  <c r="B12" i="201"/>
  <c r="C13" i="203"/>
  <c r="C20" i="224"/>
  <c r="G20" i="217" l="1"/>
  <c r="G26" i="217"/>
  <c r="N54" i="216"/>
  <c r="M50" i="216"/>
  <c r="F95" i="222"/>
  <c r="D95" i="222"/>
  <c r="G95" i="222"/>
  <c r="C95" i="222"/>
  <c r="K19" i="239"/>
  <c r="J19" i="239"/>
  <c r="I19" i="239"/>
  <c r="H19" i="239"/>
  <c r="L74" i="223"/>
  <c r="M74" i="223"/>
  <c r="K74" i="223"/>
  <c r="J74" i="223"/>
  <c r="L47" i="223"/>
  <c r="M47" i="223"/>
  <c r="K47" i="223"/>
  <c r="J47" i="223"/>
  <c r="G55" i="201"/>
  <c r="F55" i="201"/>
  <c r="E55" i="201"/>
  <c r="D55" i="201"/>
  <c r="F19" i="218"/>
  <c r="G19" i="218"/>
  <c r="E19" i="218"/>
  <c r="D19" i="218"/>
  <c r="F54" i="210"/>
  <c r="G54" i="210"/>
  <c r="E54" i="210"/>
  <c r="D54" i="210"/>
  <c r="L61" i="223"/>
  <c r="M61" i="223"/>
  <c r="K61" i="223"/>
  <c r="J61" i="223"/>
  <c r="F72" i="201"/>
  <c r="G72" i="201"/>
  <c r="E72" i="201"/>
  <c r="D72" i="201"/>
  <c r="F17" i="221"/>
  <c r="G17" i="221"/>
  <c r="E17" i="221"/>
  <c r="D17" i="221"/>
  <c r="L16" i="223"/>
  <c r="M16" i="223"/>
  <c r="K16" i="223"/>
  <c r="J16" i="223"/>
  <c r="F20" i="201"/>
  <c r="G20" i="201"/>
  <c r="E20" i="201"/>
  <c r="D20" i="201"/>
  <c r="F43" i="221"/>
  <c r="G43" i="221"/>
  <c r="E43" i="221"/>
  <c r="D43" i="221"/>
  <c r="F20" i="224"/>
  <c r="G20" i="224"/>
  <c r="E20" i="224"/>
  <c r="D20" i="224"/>
  <c r="L32" i="223"/>
  <c r="M32" i="223"/>
  <c r="K32" i="223"/>
  <c r="J32" i="223"/>
  <c r="AK59" i="242"/>
  <c r="AL59" i="242"/>
  <c r="AJ59" i="242"/>
  <c r="AI59" i="242"/>
  <c r="AP21" i="187"/>
  <c r="AO21" i="187"/>
  <c r="AN21" i="187"/>
  <c r="AM21" i="187"/>
  <c r="Y67" i="206"/>
  <c r="Z67" i="206"/>
  <c r="X67" i="206"/>
  <c r="W67" i="206"/>
  <c r="AD19" i="239"/>
  <c r="AC19" i="239"/>
  <c r="AB19" i="239"/>
  <c r="AA19" i="239"/>
  <c r="Y64" i="210"/>
  <c r="X64" i="210"/>
  <c r="W64" i="210"/>
  <c r="V64" i="210"/>
  <c r="AD61" i="223"/>
  <c r="AE61" i="223"/>
  <c r="AC61" i="223"/>
  <c r="AB61" i="223"/>
  <c r="AE16" i="223"/>
  <c r="AD16" i="223"/>
  <c r="AC16" i="223"/>
  <c r="AB16" i="223"/>
  <c r="X55" i="201"/>
  <c r="Y55" i="201"/>
  <c r="W55" i="201"/>
  <c r="V55" i="201"/>
  <c r="AK239" i="242"/>
  <c r="AL239" i="242"/>
  <c r="AJ239" i="242"/>
  <c r="AI239" i="242"/>
  <c r="AO108" i="187"/>
  <c r="AP108" i="187"/>
  <c r="AN108" i="187"/>
  <c r="AM108" i="187"/>
  <c r="Y170" i="206"/>
  <c r="Z170" i="206"/>
  <c r="X170" i="206"/>
  <c r="W170" i="206"/>
  <c r="AD32" i="223"/>
  <c r="AE32" i="223"/>
  <c r="AC32" i="223"/>
  <c r="AB32" i="223"/>
  <c r="X19" i="218"/>
  <c r="Y19" i="218"/>
  <c r="W19" i="218"/>
  <c r="V19" i="218"/>
  <c r="X15" i="220"/>
  <c r="Y15" i="220"/>
  <c r="W15" i="220"/>
  <c r="V15" i="220"/>
  <c r="F64" i="210"/>
  <c r="G64" i="210"/>
  <c r="E64" i="210"/>
  <c r="D64" i="210"/>
  <c r="L109" i="223"/>
  <c r="M109" i="223"/>
  <c r="K109" i="223"/>
  <c r="J109" i="223"/>
  <c r="F38" i="201"/>
  <c r="G38" i="201"/>
  <c r="E38" i="201"/>
  <c r="D38" i="201"/>
  <c r="F81" i="210"/>
  <c r="G81" i="210"/>
  <c r="E81" i="210"/>
  <c r="D81" i="210"/>
  <c r="F77" i="210"/>
  <c r="G77" i="210"/>
  <c r="E77" i="210"/>
  <c r="D77" i="210"/>
  <c r="G18" i="210"/>
  <c r="F18" i="210"/>
  <c r="E18" i="210"/>
  <c r="D18" i="210"/>
  <c r="L127" i="223"/>
  <c r="M127" i="223"/>
  <c r="K127" i="223"/>
  <c r="J127" i="223"/>
  <c r="F30" i="221"/>
  <c r="G30" i="221"/>
  <c r="E30" i="221"/>
  <c r="D30" i="221"/>
  <c r="F62" i="243"/>
  <c r="G62" i="243"/>
  <c r="E62" i="243"/>
  <c r="D62" i="243"/>
  <c r="G15" i="220"/>
  <c r="F15" i="220"/>
  <c r="E15" i="220"/>
  <c r="D15" i="220"/>
  <c r="F62" i="218"/>
  <c r="G62" i="218"/>
  <c r="E62" i="218"/>
  <c r="D62" i="218"/>
  <c r="F36" i="224"/>
  <c r="G36" i="224"/>
  <c r="E36" i="224"/>
  <c r="D36" i="224"/>
  <c r="F19" i="243"/>
  <c r="G19" i="243"/>
  <c r="E19" i="243"/>
  <c r="D19" i="243"/>
  <c r="AD19" i="205"/>
  <c r="AE19" i="205"/>
  <c r="AC19" i="205"/>
  <c r="AB19" i="205"/>
  <c r="Y50" i="206"/>
  <c r="Z50" i="206"/>
  <c r="X50" i="206"/>
  <c r="W50" i="206"/>
  <c r="AC20" i="235"/>
  <c r="AD20" i="235"/>
  <c r="AB20" i="235"/>
  <c r="AA20" i="235"/>
  <c r="X18" i="210"/>
  <c r="Y18" i="210"/>
  <c r="W18" i="210"/>
  <c r="V18" i="210"/>
  <c r="X54" i="210"/>
  <c r="Y54" i="210"/>
  <c r="W54" i="210"/>
  <c r="V54" i="210"/>
  <c r="AD47" i="223"/>
  <c r="AE47" i="223"/>
  <c r="AC47" i="223"/>
  <c r="AB47" i="223"/>
  <c r="AE109" i="223"/>
  <c r="AD109" i="223"/>
  <c r="AC109" i="223"/>
  <c r="AB109" i="223"/>
  <c r="S20" i="224"/>
  <c r="T20" i="224"/>
  <c r="R20" i="224"/>
  <c r="Q20" i="224"/>
  <c r="AD69" i="205"/>
  <c r="AE69" i="205"/>
  <c r="AC69" i="205"/>
  <c r="AB69" i="205"/>
  <c r="AD19" i="238"/>
  <c r="AE19" i="238"/>
  <c r="AC19" i="238"/>
  <c r="AB19" i="238"/>
  <c r="Y258" i="206"/>
  <c r="Z258" i="206"/>
  <c r="X258" i="206"/>
  <c r="W258" i="206"/>
  <c r="X20" i="201"/>
  <c r="Y20" i="201"/>
  <c r="W20" i="201"/>
  <c r="V20" i="201"/>
  <c r="X19" i="243"/>
  <c r="Y19" i="243"/>
  <c r="W19" i="243"/>
  <c r="V19" i="243"/>
  <c r="J15" i="237"/>
  <c r="L50" i="216" l="1"/>
  <c r="M54" i="216"/>
  <c r="K15" i="237"/>
  <c r="L54" i="216" l="1"/>
  <c r="K50" i="216"/>
  <c r="M43" i="221" a="1"/>
  <c r="O43" i="221" s="1"/>
  <c r="M95" i="222" a="1"/>
  <c r="K17" i="245" a="1"/>
  <c r="M64" i="210" a="1"/>
  <c r="Q64" i="210" s="1"/>
  <c r="N13" i="203" a="1"/>
  <c r="M19" i="243" a="1"/>
  <c r="Q19" i="243" s="1"/>
  <c r="M19" i="218" a="1"/>
  <c r="Q19" i="218" s="1"/>
  <c r="M17" i="221" a="1"/>
  <c r="Q17" i="221" s="1"/>
  <c r="S74" i="223" a="1"/>
  <c r="W74" i="223" s="1"/>
  <c r="M15" i="220" a="1"/>
  <c r="Q15" i="220" s="1"/>
  <c r="S16" i="223" a="1"/>
  <c r="W16" i="223" s="1"/>
  <c r="S47" i="223" a="1"/>
  <c r="W47" i="223" s="1"/>
  <c r="M54" i="210" a="1"/>
  <c r="Q54" i="210" s="1"/>
  <c r="M30" i="221" a="1"/>
  <c r="S32" i="223" a="1"/>
  <c r="M55" i="201" a="1"/>
  <c r="Q55" i="201" s="1"/>
  <c r="M20" i="201" a="1"/>
  <c r="Q20" i="201" s="1"/>
  <c r="Q19" i="239" a="1"/>
  <c r="U19" i="239" s="1"/>
  <c r="M18" i="210" a="1"/>
  <c r="Q18" i="210" s="1"/>
  <c r="S109" i="223" a="1"/>
  <c r="W109" i="223" s="1"/>
  <c r="R13" i="203"/>
  <c r="L15" i="237"/>
  <c r="AG3" i="223"/>
  <c r="F3" i="205"/>
  <c r="I3" i="223"/>
  <c r="I3" i="210"/>
  <c r="K3" i="239"/>
  <c r="C3" i="203"/>
  <c r="AD3" i="239"/>
  <c r="H9" i="137"/>
  <c r="I3" i="201"/>
  <c r="H3" i="210"/>
  <c r="B3" i="203"/>
  <c r="F3" i="206"/>
  <c r="F3" i="187"/>
  <c r="C3" i="242"/>
  <c r="H3" i="201"/>
  <c r="K3" i="235"/>
  <c r="K54" i="216" l="1"/>
  <c r="J50" i="216"/>
  <c r="N43" i="221"/>
  <c r="Q43" i="221"/>
  <c r="M43" i="221"/>
  <c r="P43" i="221"/>
  <c r="Q95" i="222"/>
  <c r="P95" i="222"/>
  <c r="M95" i="222"/>
  <c r="N95" i="222"/>
  <c r="O95" i="222"/>
  <c r="K17" i="245"/>
  <c r="N17" i="245"/>
  <c r="O17" i="245"/>
  <c r="L17" i="245"/>
  <c r="M17" i="245"/>
  <c r="M18" i="210"/>
  <c r="N18" i="210"/>
  <c r="O18" i="210"/>
  <c r="P18" i="210"/>
  <c r="M55" i="201"/>
  <c r="N55" i="201"/>
  <c r="O55" i="201"/>
  <c r="P55" i="201"/>
  <c r="S16" i="223"/>
  <c r="T16" i="223"/>
  <c r="U16" i="223"/>
  <c r="V16" i="223"/>
  <c r="S74" i="223"/>
  <c r="T74" i="223"/>
  <c r="U74" i="223"/>
  <c r="V74" i="223"/>
  <c r="M19" i="243"/>
  <c r="N19" i="243"/>
  <c r="O19" i="243"/>
  <c r="P19" i="243"/>
  <c r="N13" i="203"/>
  <c r="O13" i="203"/>
  <c r="P13" i="203"/>
  <c r="Q13" i="203"/>
  <c r="M64" i="210"/>
  <c r="N64" i="210"/>
  <c r="O64" i="210"/>
  <c r="P64" i="210"/>
  <c r="S109" i="223"/>
  <c r="T109" i="223"/>
  <c r="U109" i="223"/>
  <c r="V109" i="223"/>
  <c r="M20" i="201"/>
  <c r="N20" i="201"/>
  <c r="O20" i="201"/>
  <c r="P20" i="201"/>
  <c r="S32" i="223"/>
  <c r="T32" i="223"/>
  <c r="U32" i="223"/>
  <c r="V32" i="223"/>
  <c r="M30" i="221"/>
  <c r="N30" i="221"/>
  <c r="O30" i="221"/>
  <c r="P30" i="221"/>
  <c r="Q30" i="221"/>
  <c r="W32" i="223"/>
  <c r="Q19" i="239"/>
  <c r="R19" i="239"/>
  <c r="S19" i="239"/>
  <c r="T19" i="239"/>
  <c r="M54" i="210"/>
  <c r="N54" i="210"/>
  <c r="O54" i="210"/>
  <c r="P54" i="210"/>
  <c r="S47" i="223"/>
  <c r="T47" i="223"/>
  <c r="U47" i="223"/>
  <c r="V47" i="223"/>
  <c r="M15" i="220"/>
  <c r="N15" i="220"/>
  <c r="O15" i="220"/>
  <c r="P15" i="220"/>
  <c r="M17" i="221"/>
  <c r="N17" i="221"/>
  <c r="O17" i="221"/>
  <c r="P17" i="221"/>
  <c r="M19" i="218"/>
  <c r="N19" i="218"/>
  <c r="O19" i="218"/>
  <c r="P19" i="218"/>
  <c r="I50" i="216" l="1"/>
  <c r="J54" i="216"/>
  <c r="E51" i="248"/>
  <c r="E48" i="248"/>
  <c r="E49" i="248"/>
  <c r="H50" i="216" l="1"/>
  <c r="I54" i="216"/>
  <c r="E55" i="248"/>
  <c r="E53" i="248"/>
  <c r="E52" i="248"/>
  <c r="G50" i="216" l="1"/>
  <c r="H54" i="216"/>
  <c r="C57" i="247"/>
  <c r="G54" i="216" l="1"/>
  <c r="F50" i="216"/>
  <c r="E50" i="216" l="1"/>
  <c r="E54" i="216" s="1"/>
  <c r="F54" i="216"/>
</calcChain>
</file>

<file path=xl/comments1.xml><?xml version="1.0" encoding="utf-8"?>
<comments xmlns="http://schemas.openxmlformats.org/spreadsheetml/2006/main">
  <authors>
    <author>Hogan, Susan</author>
  </authors>
  <commentList>
    <comment ref="I66" authorId="0" shapeId="0">
      <text>
        <r>
          <rPr>
            <b/>
            <sz val="9"/>
            <color rgb="FF000000"/>
            <rFont val="Tahoma"/>
            <family val="2"/>
          </rPr>
          <t>Hogan, Susan:</t>
        </r>
        <r>
          <rPr>
            <sz val="9"/>
            <color rgb="FF000000"/>
            <rFont val="Tahoma"/>
            <family val="2"/>
          </rPr>
          <t xml:space="preserve">
This is populated from FRCP_y1 which is selected by the business on the cover sheet.</t>
        </r>
      </text>
    </comment>
    <comment ref="K66" authorId="0" shapeId="0">
      <text>
        <r>
          <rPr>
            <b/>
            <sz val="9"/>
            <color rgb="FF000000"/>
            <rFont val="Tahoma"/>
            <family val="2"/>
          </rPr>
          <t>Hogan, Susan:</t>
        </r>
        <r>
          <rPr>
            <sz val="9"/>
            <color rgb="FF000000"/>
            <rFont val="Tahoma"/>
            <family val="2"/>
          </rPr>
          <t xml:space="preserve">
This is the last year in the CRCP. The years count backward from FRCP_y1.
</t>
        </r>
      </text>
    </comment>
  </commentList>
</comments>
</file>

<file path=xl/sharedStrings.xml><?xml version="1.0" encoding="utf-8"?>
<sst xmlns="http://schemas.openxmlformats.org/spreadsheetml/2006/main" count="6219" uniqueCount="1716">
  <si>
    <t>If the service provider proposes changes to its tariff structure for the next access arrangement period, please provide an explanation in this template or in the proposal submission as to how historical consumption and demand data reconciles with the new tariff stucture.</t>
  </si>
  <si>
    <t>The pro formas in this spreadsheet must be filled out as part of an access arrangement proposal</t>
  </si>
  <si>
    <t>Identify the dollar unit used in the template.</t>
  </si>
  <si>
    <t>Standalone cost per unit of reference service</t>
  </si>
  <si>
    <t>Avoidable cost per unit of reference service</t>
  </si>
  <si>
    <t>This template asks for information regarding changes in provisions</t>
  </si>
  <si>
    <t>This template asks for information relating to operating expenditure inclusive of related party margins.</t>
  </si>
  <si>
    <t>This template asks for information relating to ancillary reference services</t>
  </si>
  <si>
    <t>This template asks for information on customers numbers</t>
  </si>
  <si>
    <t>This template asks for information on network characteristics.</t>
  </si>
  <si>
    <t xml:space="preserve">Services Provided  </t>
  </si>
  <si>
    <t>select</t>
  </si>
  <si>
    <t>Total Overhead cost</t>
  </si>
  <si>
    <t xml:space="preserve"> This may require the insertion of new lines in each table.</t>
  </si>
  <si>
    <t>CPI Index</t>
  </si>
  <si>
    <t>Annual CPI</t>
  </si>
  <si>
    <t>Example</t>
  </si>
  <si>
    <t>Costs ($nominal)</t>
  </si>
  <si>
    <t>City Gate</t>
  </si>
  <si>
    <t>Total cost</t>
  </si>
  <si>
    <t>Recurrent?</t>
  </si>
  <si>
    <t>Field Regulator</t>
  </si>
  <si>
    <t>District Regulator</t>
  </si>
  <si>
    <t>Total network length</t>
  </si>
  <si>
    <t xml:space="preserve">                           </t>
  </si>
  <si>
    <t>Name of related party</t>
  </si>
  <si>
    <t>Description of how this transaction amount was determined</t>
  </si>
  <si>
    <t>Description of how this amount is reflected in the Regulatory Templates, including the asset class or cost category</t>
  </si>
  <si>
    <t>Business address</t>
  </si>
  <si>
    <t>Suburb</t>
  </si>
  <si>
    <t>State</t>
  </si>
  <si>
    <t>Postal address</t>
  </si>
  <si>
    <t>Contact name/s</t>
  </si>
  <si>
    <t>Contact phone/s</t>
  </si>
  <si>
    <t>Contact email address/s</t>
  </si>
  <si>
    <t>Less customer contributions</t>
  </si>
  <si>
    <t>Previous access arrangement period</t>
  </si>
  <si>
    <t>Current access arrangement period</t>
  </si>
  <si>
    <t>Capital expenditure</t>
  </si>
  <si>
    <t>Nominal risk free rate</t>
  </si>
  <si>
    <t>Inflation rate</t>
  </si>
  <si>
    <t>Credit rating</t>
  </si>
  <si>
    <t>Market risk premium</t>
  </si>
  <si>
    <t>Corporate tax rate</t>
  </si>
  <si>
    <t>Debt to equity ratio</t>
  </si>
  <si>
    <t>Total operating expenditure - including RPM</t>
  </si>
  <si>
    <t>Step Changes</t>
  </si>
  <si>
    <t>Total step changes</t>
  </si>
  <si>
    <t>Fixed customer tariff numbers</t>
  </si>
  <si>
    <t>Total operating expenditure - Ancillary reference services</t>
  </si>
  <si>
    <t>Unit used in this sheet</t>
  </si>
  <si>
    <t>Opening Balance</t>
  </si>
  <si>
    <t>Other adjustments</t>
  </si>
  <si>
    <t>Closing Balance</t>
  </si>
  <si>
    <t>Movement in total provisions</t>
  </si>
  <si>
    <t>Total contributions</t>
  </si>
  <si>
    <t>Actual</t>
  </si>
  <si>
    <t>Forecast</t>
  </si>
  <si>
    <t>IT</t>
  </si>
  <si>
    <t>Distribution mains</t>
  </si>
  <si>
    <t>Gross customer disconnections</t>
  </si>
  <si>
    <t>Instructions</t>
  </si>
  <si>
    <t>Service Pipes</t>
  </si>
  <si>
    <t>Meters</t>
  </si>
  <si>
    <t>Other</t>
  </si>
  <si>
    <t>Total</t>
  </si>
  <si>
    <t>Cast Iron</t>
  </si>
  <si>
    <t>PVC</t>
  </si>
  <si>
    <t>Unprotected steel</t>
  </si>
  <si>
    <t>Protected steel</t>
  </si>
  <si>
    <t>Average customer numbers</t>
  </si>
  <si>
    <t>Gross customer connections</t>
  </si>
  <si>
    <t>Band definition</t>
  </si>
  <si>
    <t>Equity beta</t>
  </si>
  <si>
    <t>Please follow the instructions below when completing the pro formas in this spreadsheet:</t>
  </si>
  <si>
    <t>Next access arrangement period</t>
  </si>
  <si>
    <t>Approved</t>
  </si>
  <si>
    <t>.</t>
  </si>
  <si>
    <t>Regulatory templates</t>
  </si>
  <si>
    <t>for access arrangement period</t>
  </si>
  <si>
    <t>Gas Distribution Regulatory Information Notice</t>
  </si>
  <si>
    <t>Special Meter reads</t>
  </si>
  <si>
    <t>Actual cost incurred by related party</t>
  </si>
  <si>
    <t>Step changes should be EXCLUSIVE of base level opex</t>
  </si>
  <si>
    <t>&lt;insert material type&gt;</t>
  </si>
  <si>
    <t>Polyamide</t>
  </si>
  <si>
    <t>Payment made by distributor</t>
  </si>
  <si>
    <t>Payment made to distributor</t>
  </si>
  <si>
    <t>Actual cost incurred by distributor</t>
  </si>
  <si>
    <t>Overheads</t>
  </si>
  <si>
    <t>&lt;insert step change&gt;</t>
  </si>
  <si>
    <t>&lt;insert project name&gt;</t>
  </si>
  <si>
    <t>&lt;insert meter type&gt;</t>
  </si>
  <si>
    <t>Refurbishable meters</t>
  </si>
  <si>
    <t>Volume</t>
  </si>
  <si>
    <t>Total cost of new meters acquired for meter replacement</t>
  </si>
  <si>
    <t>Total number of new meters acquired for meter replacement</t>
  </si>
  <si>
    <t>Unit cost</t>
  </si>
  <si>
    <t xml:space="preserve">The asset classes currently listed are from service providers' 2010 RAB RFM. </t>
  </si>
  <si>
    <t>This template asks for information relating to capitalised overhead expenditure.</t>
  </si>
  <si>
    <t>2005-06</t>
  </si>
  <si>
    <t>2006-07</t>
  </si>
  <si>
    <t>2007-08</t>
  </si>
  <si>
    <t>2008-09</t>
  </si>
  <si>
    <t>2009-10</t>
  </si>
  <si>
    <t>2010-11</t>
  </si>
  <si>
    <t>2011-12</t>
  </si>
  <si>
    <t>2012-13</t>
  </si>
  <si>
    <t>2013-14</t>
  </si>
  <si>
    <t>2014-15</t>
  </si>
  <si>
    <t>2015-16</t>
  </si>
  <si>
    <t>2016-17</t>
  </si>
  <si>
    <t>2017-18</t>
  </si>
  <si>
    <t>2018-19</t>
  </si>
  <si>
    <t>2019-20</t>
  </si>
  <si>
    <t>2004-05</t>
  </si>
  <si>
    <t>Services replaced (number)</t>
  </si>
  <si>
    <t>Length of mains replaced (metres)</t>
  </si>
  <si>
    <t>%</t>
  </si>
  <si>
    <t>Actual v approved</t>
  </si>
  <si>
    <t>Variance</t>
  </si>
  <si>
    <t>Number of new I&amp;C contract connections</t>
  </si>
  <si>
    <t>Number of new I&amp;C tariff connections</t>
  </si>
  <si>
    <t>Difference</t>
  </si>
  <si>
    <t>Total number of new connections</t>
  </si>
  <si>
    <t>Average demand throughput consumption</t>
  </si>
  <si>
    <t>Total demand throughput consumption</t>
  </si>
  <si>
    <t>Source(s) of data:</t>
  </si>
  <si>
    <t>&lt;insert pass through event&gt;</t>
  </si>
  <si>
    <t>This template asks for information relating to cost pass through events.</t>
  </si>
  <si>
    <t>This template asks the service provider to allocate total revenue to reference and non-reference services.</t>
  </si>
  <si>
    <t>&lt;Insert rebateable services&gt;</t>
  </si>
  <si>
    <t>&lt;Insert non-reference services&gt;</t>
  </si>
  <si>
    <t>Total meters removed</t>
  </si>
  <si>
    <t>Total costs</t>
  </si>
  <si>
    <t>Equity raising costs</t>
  </si>
  <si>
    <t>Debt term</t>
  </si>
  <si>
    <t>Equity term -risk free rate</t>
  </si>
  <si>
    <t>Total direct costs (excl escalation)</t>
  </si>
  <si>
    <t>Escalation</t>
  </si>
  <si>
    <t>Total direct costs (incl escalation)</t>
  </si>
  <si>
    <t>Less: Contributions</t>
  </si>
  <si>
    <t>Total of all projects</t>
  </si>
  <si>
    <t>Gross total capex (incl escalation)</t>
  </si>
  <si>
    <t>Total escalation</t>
  </si>
  <si>
    <t>Gross total capex (excl escalation)</t>
  </si>
  <si>
    <t>Net total capex (excl escalation)</t>
  </si>
  <si>
    <t>Net total capex (incl escalation)</t>
  </si>
  <si>
    <t>EBA</t>
  </si>
  <si>
    <t>Aluminium</t>
  </si>
  <si>
    <t>Steel</t>
  </si>
  <si>
    <t>Concrete</t>
  </si>
  <si>
    <t>Non-EBA</t>
  </si>
  <si>
    <t>Plastic</t>
  </si>
  <si>
    <t>Connections/ Market expansion</t>
  </si>
  <si>
    <t>Augmentation/ Growth capacity development</t>
  </si>
  <si>
    <t>Mains and service renewal</t>
  </si>
  <si>
    <t>Facilities renewal and upgrade</t>
  </si>
  <si>
    <t>Meter renewal and upgrade</t>
  </si>
  <si>
    <t>Related party margin</t>
  </si>
  <si>
    <t>Reported expenditure is to be entered EXCLUSIVE of any profit margins or management fees paid directly or indirectly to related party contractors (which is not an actual incurred cost of the related party contractor). Include any related party margins or management fees in the separate 'Related party margin' line item.</t>
  </si>
  <si>
    <t>Capital expenditure amounts entered should be GROSS of customer contributions. There is a separate line item for customer contributions from which net capital expenditure is derived.</t>
  </si>
  <si>
    <t>Supporting documentation (business case, costing spreadsheet, contracts)</t>
  </si>
  <si>
    <t>Overhead rate</t>
  </si>
  <si>
    <t xml:space="preserve">Mains &amp; services renewal </t>
  </si>
  <si>
    <t>Facilities renewal &amp; upgrade</t>
  </si>
  <si>
    <t>IT &amp; communications</t>
  </si>
  <si>
    <t>Rate of contributions</t>
  </si>
  <si>
    <t>Value of contribution</t>
  </si>
  <si>
    <t>Average value of contribution</t>
  </si>
  <si>
    <t>Contribution (rate of contributions x number of connections x average value)</t>
  </si>
  <si>
    <t>Total number of new connections (from tab 27 - Customer numbers)</t>
  </si>
  <si>
    <t>Total number of refurbished meters used for meter replacement</t>
  </si>
  <si>
    <t>Opex overheads</t>
  </si>
  <si>
    <t>Capex overheads</t>
  </si>
  <si>
    <t>Total overheads</t>
  </si>
  <si>
    <t>This template asks for information relating to meter replacement</t>
  </si>
  <si>
    <t>&lt;insert meter family&gt;</t>
  </si>
  <si>
    <t>Original installation year</t>
  </si>
  <si>
    <t>Total units within network</t>
  </si>
  <si>
    <t>Expected life</t>
  </si>
  <si>
    <t>Original installation date</t>
  </si>
  <si>
    <t>Result</t>
  </si>
  <si>
    <t>Next access arrangement</t>
  </si>
  <si>
    <t>Liabilities paid from provision charged to opex</t>
  </si>
  <si>
    <t>Liabilities paid from provision charged to capex</t>
  </si>
  <si>
    <t>Increase /decrease in provision charged to opex</t>
  </si>
  <si>
    <t>Increase/decrease in provision charged to capex</t>
  </si>
  <si>
    <t>Meters decommissioned</t>
  </si>
  <si>
    <t>&lt;insert other meter replacement cost&gt;</t>
  </si>
  <si>
    <t>Volume (of compliance tests)</t>
  </si>
  <si>
    <t>Internal identification code</t>
  </si>
  <si>
    <t>Asset category</t>
  </si>
  <si>
    <t>Customer numbers as at 30 June</t>
  </si>
  <si>
    <t>Customer numbers as at 1 July</t>
  </si>
  <si>
    <t>CM</t>
  </si>
  <si>
    <t>HPM</t>
  </si>
  <si>
    <t>HPS</t>
  </si>
  <si>
    <t>MPM</t>
  </si>
  <si>
    <t>MPS</t>
  </si>
  <si>
    <t>TM</t>
  </si>
  <si>
    <t>Contract meters</t>
  </si>
  <si>
    <t>HP mains</t>
  </si>
  <si>
    <t>HP services</t>
  </si>
  <si>
    <t>MP mains</t>
  </si>
  <si>
    <t>MP services</t>
  </si>
  <si>
    <t>Tariff meters</t>
  </si>
  <si>
    <t>Percent allocation</t>
  </si>
  <si>
    <t>Volume of meter replacements</t>
  </si>
  <si>
    <t>Total opex</t>
  </si>
  <si>
    <t>Gross total capex (excl escalation) excluding overheads and RPM</t>
  </si>
  <si>
    <t>Gross total capex (incl escalation) excluding overheads and RPM</t>
  </si>
  <si>
    <t>Gross total capex (incl escalation) including overheads, excluding RPM</t>
  </si>
  <si>
    <t>Gross total capex (incl escalation) including overheads and RPM</t>
  </si>
  <si>
    <t>Net total capex (incl escalation) including overheads and RPM</t>
  </si>
  <si>
    <t>Reasons for the removal</t>
  </si>
  <si>
    <t>TJ</t>
  </si>
  <si>
    <t>2020-21</t>
  </si>
  <si>
    <t>Total revenue</t>
  </si>
  <si>
    <t>Surcharge or premium revenue</t>
  </si>
  <si>
    <t>Government contributions</t>
  </si>
  <si>
    <t>Customer contributions</t>
  </si>
  <si>
    <t>$/day</t>
  </si>
  <si>
    <t>Tariff type</t>
  </si>
  <si>
    <t>Description of tariff type</t>
  </si>
  <si>
    <t>&lt;NSP to insert any additional items&gt;</t>
  </si>
  <si>
    <t>Average</t>
  </si>
  <si>
    <t>Annual price path (per cent, nominal)</t>
  </si>
  <si>
    <t>Annual impact on customer bill (%)</t>
  </si>
  <si>
    <t>Annual change</t>
  </si>
  <si>
    <t>&lt;Service provider to insert any additional items&gt;</t>
  </si>
  <si>
    <t>Distribution costs as a proportion of a typical customer's gas bill (per cent)</t>
  </si>
  <si>
    <t>This template asks for an estimate of the service provider's proposal on indicative gas bills. It includes entries for various major tariff structures.</t>
  </si>
  <si>
    <t>This template asks for information on the service provider's capex including related party margins. It is divided into tables for actual/forecast capex and for approved capex.</t>
  </si>
  <si>
    <t>eg Residential customer bill - reference service</t>
  </si>
  <si>
    <t>In table 21 enter the required details into the yellow cells.</t>
  </si>
  <si>
    <t>In table 31.1 report the actual costs incurred as a result of an event that gave rise to a cost pass through.</t>
  </si>
  <si>
    <t>In table 31.2 report the costs approved by the relevant regulator for the cost pass through event.</t>
  </si>
  <si>
    <t>In tables 31.1 and 31.2 enter the required details into the yellow cells. This may require the insertion of new lines in each table. Provide details/links to supporting information.</t>
  </si>
  <si>
    <t>This template applies to gas extensions that commenced in the CURRENT access arrangement period or are forecast for the NEXT access arrangement period</t>
  </si>
  <si>
    <t>Table 1.1 provides CPI index figures used to calculate CPI escalators to be used in the RIN</t>
  </si>
  <si>
    <t xml:space="preserve">All input amounts should be gross of contributions. Contributions are to be separately entered on the allocated line. </t>
  </si>
  <si>
    <t>The asset classes listed are sourced from service provider's 2010 RAB RFM. Service providers are to change/add to these asset classes if deemed necessary and backcast the data accordingly.</t>
  </si>
  <si>
    <t>In tables 20.1 and 20.2 reported expenditure is to be entered INCLUSIVE of any profit margins or management fees paid directly or indirectly to related party contractors (which is not an actual incurred cost of the related party contractor).</t>
  </si>
  <si>
    <t>Historical tariff band information should be provided on the same basis as the tariff band forecasts for the next access arrangment period are provided.</t>
  </si>
  <si>
    <t xml:space="preserve">Provide the assumptions used where necessary in the proposal submission or in this template. </t>
  </si>
  <si>
    <t>2003-04</t>
  </si>
  <si>
    <t>2002-03</t>
  </si>
  <si>
    <t>2001-02</t>
  </si>
  <si>
    <t>2000-01</t>
  </si>
  <si>
    <t>1999-00</t>
  </si>
  <si>
    <t>Expected testing year</t>
  </si>
  <si>
    <t>Expected removal year</t>
  </si>
  <si>
    <t>Capex overhead amount</t>
  </si>
  <si>
    <t>Ensure all dependent links are correct.</t>
  </si>
  <si>
    <t>Change/add to these asset classes if deemed necessary and backcast the data accordingly.</t>
  </si>
  <si>
    <t>In tables 25.1 and 25.2 enter the required details into the yellow cells. This may require the insertion of new lines in each table.</t>
  </si>
  <si>
    <t xml:space="preserve">Fixed Customer tariff </t>
  </si>
  <si>
    <t xml:space="preserve">ABS series ID A2325846C, 25/1/12 release
</t>
  </si>
  <si>
    <t>ABS series ID A2325846C, 22/1/14 release</t>
  </si>
  <si>
    <t>Costs (real $2015)</t>
  </si>
  <si>
    <t>Estimated</t>
  </si>
  <si>
    <t>SERVICE PROVIDERS ARE NOT TO MAKE ANY CHANGES TO THIS TEMPLATE EXCEPT AS INDICATED</t>
  </si>
  <si>
    <t>Service providers should insert inflation forecasts (yellow cells)</t>
  </si>
  <si>
    <t>Tables 1.2 provide the CPI escalators for converting nominal values to real values.</t>
  </si>
  <si>
    <t>Extension name</t>
  </si>
  <si>
    <t>Extension description</t>
  </si>
  <si>
    <t>Following years for NPV analysis</t>
  </si>
  <si>
    <t>O&amp;M incl. contributions</t>
  </si>
  <si>
    <t>O&amp;M excl. contributions</t>
  </si>
  <si>
    <t>The tariffs should include any new town surcharges or premiums applied to the extension in excess of the reference tariffs usually applied to the relevant customer calss.</t>
  </si>
  <si>
    <t>This template asks for divisions between cost categories used to escalate unit costs. The expenditure is to include related party margins and overheads.</t>
  </si>
  <si>
    <t>Brass</t>
  </si>
  <si>
    <t>General</t>
  </si>
  <si>
    <t>TRS &amp; DRS - valves &amp; regulators</t>
  </si>
  <si>
    <t>Regulatory costs</t>
  </si>
  <si>
    <t>IT system</t>
  </si>
  <si>
    <t>Capitalised regulatory costs</t>
  </si>
  <si>
    <t>Labour</t>
  </si>
  <si>
    <t>Materials</t>
  </si>
  <si>
    <t>TRS</t>
  </si>
  <si>
    <t>RC</t>
  </si>
  <si>
    <t>ITS</t>
  </si>
  <si>
    <t>IT System</t>
  </si>
  <si>
    <t>ERC</t>
  </si>
  <si>
    <t>[insert project name]</t>
  </si>
  <si>
    <t>Nature of the relationship - eg. percentage ownership by/of related party of/by Gas Distributor</t>
  </si>
  <si>
    <t>[capex category]</t>
  </si>
  <si>
    <t>&lt;enter band definition&gt;</t>
  </si>
  <si>
    <t>&lt;enter band name&gt;</t>
  </si>
  <si>
    <t>Average  tariff business consumption</t>
  </si>
  <si>
    <t>ActewAGL Distribution</t>
  </si>
  <si>
    <t>ACN / ABN</t>
  </si>
  <si>
    <t>CA</t>
  </si>
  <si>
    <t>CATEGORY ANALYSIS</t>
  </si>
  <si>
    <t>REGULATORY REPORTING STATEMENT</t>
  </si>
  <si>
    <t>CPI</t>
  </si>
  <si>
    <t>Address 1</t>
  </si>
  <si>
    <t>EB</t>
  </si>
  <si>
    <t>ECONOMIC BENCHMARKING</t>
  </si>
  <si>
    <t>Address 2</t>
  </si>
  <si>
    <t>PTRM</t>
  </si>
  <si>
    <t>POST TAX REVENUE MODEL</t>
  </si>
  <si>
    <t>Reset</t>
  </si>
  <si>
    <t>RFM</t>
  </si>
  <si>
    <t>ROLL FORWARD MODEL</t>
  </si>
  <si>
    <t>WACC</t>
  </si>
  <si>
    <t>WEIGHTED AVERAGE COST OF CAPITAL</t>
  </si>
  <si>
    <t>p/code</t>
  </si>
  <si>
    <t>Ausgrid</t>
  </si>
  <si>
    <t>AusNet (D)</t>
  </si>
  <si>
    <t>AusNet (T)</t>
  </si>
  <si>
    <t>Endeavour Energy</t>
  </si>
  <si>
    <t>Energex</t>
  </si>
  <si>
    <t>Forthcoming regulatory control period</t>
  </si>
  <si>
    <t>Ergon Energy</t>
  </si>
  <si>
    <t>Essential Energy</t>
  </si>
  <si>
    <t>Jemena Electricity</t>
  </si>
  <si>
    <t>Current regulatory control period</t>
  </si>
  <si>
    <t>Powercor Australia</t>
  </si>
  <si>
    <t>Powerlink</t>
  </si>
  <si>
    <t>Previous regulatory control period</t>
  </si>
  <si>
    <t>SA Power Networks</t>
  </si>
  <si>
    <t>TasNetworks (D)</t>
  </si>
  <si>
    <t>TasNetworks (T)</t>
  </si>
  <si>
    <t>Sector</t>
  </si>
  <si>
    <t>Gas</t>
  </si>
  <si>
    <t>TransGrid</t>
  </si>
  <si>
    <t>Segment</t>
  </si>
  <si>
    <t>Distribution</t>
  </si>
  <si>
    <t>United Energy</t>
  </si>
  <si>
    <t>Source</t>
  </si>
  <si>
    <t>Regulatory proposal</t>
  </si>
  <si>
    <t>Regulatory Year Ending</t>
  </si>
  <si>
    <t>Reporting Period Type</t>
  </si>
  <si>
    <t>Model or RIN Type</t>
  </si>
  <si>
    <t>Security Classification</t>
  </si>
  <si>
    <t>Consolidated</t>
  </si>
  <si>
    <t>RIN response - version no.</t>
  </si>
  <si>
    <t>Amended RIN submission - amendment reason</t>
  </si>
  <si>
    <t>Template - version no.</t>
  </si>
  <si>
    <t>Table 2.1 - Real cost escalators ( % )</t>
  </si>
  <si>
    <t xml:space="preserve">Current access arrangement </t>
  </si>
  <si>
    <t>Table 2.2 - Input / Cost Mix (Weights)</t>
  </si>
  <si>
    <t>Cumulative Factor</t>
  </si>
  <si>
    <t>Table 3.1 - Capex by driver (forecast)</t>
  </si>
  <si>
    <t>Table 3.2 - Capex by driver (approved)</t>
  </si>
  <si>
    <t>Actual vs Approved</t>
  </si>
  <si>
    <t>Number of mains metres per connection</t>
  </si>
  <si>
    <t>Number of meters per connection</t>
  </si>
  <si>
    <t>Unit rates per metre of mains per connection</t>
  </si>
  <si>
    <t>Unit rates per service per connection</t>
  </si>
  <si>
    <t>Table 4.2.6 - I&amp;C contract</t>
  </si>
  <si>
    <t>TABLE 4.3 -  CUSTOMER CONTRIBUTIONS</t>
  </si>
  <si>
    <t>TABLE 4.1 -  NEW CUSTOMER CONNECTIONS</t>
  </si>
  <si>
    <t>Table 4.1.1 - Number of new customer connections</t>
  </si>
  <si>
    <t xml:space="preserve">Variance </t>
  </si>
  <si>
    <t>0's</t>
  </si>
  <si>
    <t xml:space="preserve">Mains </t>
  </si>
  <si>
    <t>Services</t>
  </si>
  <si>
    <t>TOTALS</t>
  </si>
  <si>
    <t>&lt; insert sub-category &gt;</t>
  </si>
  <si>
    <t xml:space="preserve">4. CAPITAL EXPENDITURE SUMMARY (by driver) </t>
  </si>
  <si>
    <t>2. REAL COST ESCALATORS</t>
  </si>
  <si>
    <t>1. CPI ESCALATION</t>
  </si>
  <si>
    <t>Table 1.2 - CPI p.a.</t>
  </si>
  <si>
    <t xml:space="preserve">% </t>
  </si>
  <si>
    <t>Augmentation growth capacity</t>
  </si>
  <si>
    <t>Table 17.2 - Gross capex including RPM (approved)</t>
  </si>
  <si>
    <t>17. GROSS CAPITAL EXPENDITURE</t>
  </si>
  <si>
    <t>Table 17.4 - Gross capex excluding RPM (approved)</t>
  </si>
  <si>
    <t>2016-2021</t>
  </si>
  <si>
    <t>16. CAPITAL EXPENDITURE ALLOCATION</t>
  </si>
  <si>
    <t>20. CHANGES IN PROVISIONS</t>
  </si>
  <si>
    <t>Table 20.2 - Changes in provisions by provision incl. RPM</t>
  </si>
  <si>
    <t>Table 20.1.1 - Total Provisions</t>
  </si>
  <si>
    <t>Operating and maintenance expenditure</t>
  </si>
  <si>
    <t>&lt; Insert name of provision &gt;</t>
  </si>
  <si>
    <t>$0, Nominal</t>
  </si>
  <si>
    <t>$0's, Nominal</t>
  </si>
  <si>
    <t>Table 16.1 - Allocation of capital expenditure driver classes  to asset classes</t>
  </si>
  <si>
    <t>21. INDICATIVE BILL IMPACTS</t>
  </si>
  <si>
    <t>22. WACC AND CAPM PARAMETERS</t>
  </si>
  <si>
    <t>24. COST CATEGORY MATRIX</t>
  </si>
  <si>
    <t>25. ANCILLARY REFERENCE SERVICES</t>
  </si>
  <si>
    <t>26. ALLOCATION OF TOTAL REVENUE</t>
  </si>
  <si>
    <t>27. CUSTOMER NUMBERS</t>
  </si>
  <si>
    <t>28. CONSUMPTION AND DEMAND</t>
  </si>
  <si>
    <t>30. NETWORKS CHARACTERISTICS</t>
  </si>
  <si>
    <t>31. PASS THROUGHS</t>
  </si>
  <si>
    <t>Table 21.1 - Typical gas bill - Residential customer</t>
  </si>
  <si>
    <t>Table 22.2 - Rate of return on debt - Transition - 'trailing average' approach</t>
  </si>
  <si>
    <t>Table 22.1 - Rate of return on equity</t>
  </si>
  <si>
    <t>Table 22.3 - Other WACC parameters</t>
  </si>
  <si>
    <t>This template asks for inputs used to determine the weighted average cost of capital  (WACC) and capital asset pricing model (CAPM).</t>
  </si>
  <si>
    <t>Table 25.3 - Price</t>
  </si>
  <si>
    <t xml:space="preserve">Total </t>
  </si>
  <si>
    <t xml:space="preserve">Forecast </t>
  </si>
  <si>
    <t>Table 30.2 - City Gates/Regulators</t>
  </si>
  <si>
    <t>Table 31.2 - Pass through event costs (approved)</t>
  </si>
  <si>
    <r>
      <t xml:space="preserve">Instructions
</t>
    </r>
    <r>
      <rPr>
        <sz val="10"/>
        <rFont val="Arial"/>
        <family val="2"/>
      </rPr>
      <t xml:space="preserve">This template aggregates information relating to capital expenditure inclusive of related party margins from tabs 4 to 15.
</t>
    </r>
    <r>
      <rPr>
        <b/>
        <sz val="10"/>
        <color rgb="FFFF0000"/>
        <rFont val="Arial"/>
        <family val="2"/>
      </rPr>
      <t>No input is required</t>
    </r>
    <r>
      <rPr>
        <sz val="10"/>
        <rFont val="Arial"/>
        <family val="2"/>
      </rPr>
      <t>. Please check that the forecast capex aligns with the AAI proposed totals and the capex totals in the PTRM and RFM models.</t>
    </r>
  </si>
  <si>
    <t xml:space="preserve"> </t>
  </si>
  <si>
    <r>
      <rPr>
        <b/>
        <sz val="10"/>
        <color rgb="FFFF0000"/>
        <rFont val="Arial"/>
        <family val="2"/>
      </rPr>
      <t xml:space="preserve">ONE EXTENSION PER SHEET. </t>
    </r>
    <r>
      <rPr>
        <sz val="10"/>
        <color rgb="FFFF0000"/>
        <rFont val="Arial"/>
        <family val="2"/>
      </rPr>
      <t>Please copy and begin a new sheet if more than one extension applies.</t>
    </r>
  </si>
  <si>
    <t>YYYY</t>
  </si>
  <si>
    <t>DD/MM/YYYY</t>
  </si>
  <si>
    <t>Connections / market expansion</t>
  </si>
  <si>
    <r>
      <rPr>
        <b/>
        <sz val="10"/>
        <color rgb="FFFF0000"/>
        <rFont val="Arial"/>
        <family val="2"/>
      </rPr>
      <t>ONE EXTENSION PER SHEET.</t>
    </r>
    <r>
      <rPr>
        <sz val="10"/>
        <color rgb="FFFF0000"/>
        <rFont val="Arial"/>
        <family val="2"/>
      </rPr>
      <t xml:space="preserve"> Please copy and begin a new sheet if more than one extension applies.</t>
    </r>
  </si>
  <si>
    <r>
      <rPr>
        <b/>
        <sz val="10"/>
        <color rgb="FFFF0000"/>
        <rFont val="Arial"/>
        <family val="2"/>
      </rPr>
      <t>ONE EXTENSION PER SHEET</t>
    </r>
    <r>
      <rPr>
        <sz val="10"/>
        <color rgb="FFFF0000"/>
        <rFont val="Arial"/>
        <family val="2"/>
      </rPr>
      <t>. Please copy and begin a new sheet if more than one extension applies.</t>
    </r>
  </si>
  <si>
    <t>Form of control</t>
  </si>
  <si>
    <t>Actual and estimated inflation</t>
  </si>
  <si>
    <t>Estimate</t>
  </si>
  <si>
    <t>ED_EBS751_00001</t>
  </si>
  <si>
    <t>ED_EBS751_00002</t>
  </si>
  <si>
    <t>Previous period</t>
  </si>
  <si>
    <t>ED_EBS751_00003</t>
  </si>
  <si>
    <t>Total opex allowance</t>
  </si>
  <si>
    <t>ED_EBS751_00008</t>
  </si>
  <si>
    <t>ED_EBS751_00011</t>
  </si>
  <si>
    <t>$m, Actual</t>
  </si>
  <si>
    <t>ED_EBS751_00012</t>
  </si>
  <si>
    <t>Total opex (actual)</t>
  </si>
  <si>
    <t>Less approved excludable costs</t>
  </si>
  <si>
    <t>ED_EBS751_00016</t>
  </si>
  <si>
    <t>ED_EBS751_00017</t>
  </si>
  <si>
    <t>ED_EBS751_00018</t>
  </si>
  <si>
    <t>ED_EBS751_00021</t>
  </si>
  <si>
    <t>Carryover</t>
  </si>
  <si>
    <t>Total Carryover Amount ($million, 2015-16)</t>
  </si>
  <si>
    <t>PTRM inputs</t>
  </si>
  <si>
    <t>ED_EBS752_00001</t>
  </si>
  <si>
    <t xml:space="preserve">Less excluded costs </t>
  </si>
  <si>
    <t>ED_EBS752_00002</t>
  </si>
  <si>
    <t>&lt; Enter category proposed for exclusion &gt;  eg. Debt raising costs</t>
  </si>
  <si>
    <t>ED_EBS752_00003</t>
  </si>
  <si>
    <t>&lt;category proposed for exclusion&gt;</t>
  </si>
  <si>
    <t>ED_EBS752_00004</t>
  </si>
  <si>
    <t>ED_EBS752_00005</t>
  </si>
  <si>
    <t>ED_EBS752_00006</t>
  </si>
  <si>
    <t>ED_EBS752_00007</t>
  </si>
  <si>
    <t>ED_EBS752_00008</t>
  </si>
  <si>
    <t>ED_EBS752_00009</t>
  </si>
  <si>
    <t>ED_EBS752_00010</t>
  </si>
  <si>
    <t>ED_EBS752_00011</t>
  </si>
  <si>
    <t>ED_EBS752_99999</t>
  </si>
  <si>
    <t>Adjusted forecast opex ($million, 2015-16)</t>
  </si>
  <si>
    <t>Reported expenditure is to be entered EXCLUSIVE of any profit margins or management fees paid pursuant to arrangements or contracts with any related parties. Include any related party margins or management fees in the separate 'Related party margin' line item.</t>
  </si>
  <si>
    <t>Table 1.1 - CPI   (actual/estimated)</t>
  </si>
  <si>
    <t>4. NEW CUSTOMER CONNECTIONS / GROWTH CAPTIAL EXPENDITURE</t>
  </si>
  <si>
    <t>Number of inlets/services per connection</t>
  </si>
  <si>
    <t>Table 4.2.5 - I&amp;C volume</t>
  </si>
  <si>
    <t>5. MAINS AUGMENTATION CAPITAL EXPENDITURE</t>
  </si>
  <si>
    <t>6. MAINS REPLACEMENT CAPITAL EXPENDITURE</t>
  </si>
  <si>
    <t>Table 6.1.2 - Ad hoc/reactive mains replacement</t>
  </si>
  <si>
    <t>This template asks for information relating to mains replacement capital expenditure.</t>
  </si>
  <si>
    <t>This template asks for information relating to network augmentation capital expenditure</t>
  </si>
  <si>
    <r>
      <rPr>
        <b/>
        <sz val="10"/>
        <rFont val="Arial"/>
        <family val="2"/>
      </rPr>
      <t>Instructions</t>
    </r>
    <r>
      <rPr>
        <sz val="10"/>
        <rFont val="Arial"/>
        <family val="2"/>
      </rPr>
      <t xml:space="preserve">
This template asks for information relating to new connections/ market growth capital expenditure. This does not include expenditure relating to network capacity expansion, which should be included at tab 5 relating to augmentation. </t>
    </r>
  </si>
  <si>
    <t>9. REGULATORS CAPITAL EXPENDITURE</t>
  </si>
  <si>
    <t>8. METER REPLACEMENT CAPITAL EXPENDITURE</t>
  </si>
  <si>
    <t xml:space="preserve">Record data on the meters removed from service as part of the service provider's meter replacement program in Table 8.1. The data should be INCLUSIVE of meters removed through providing ancillary services. </t>
  </si>
  <si>
    <t>Record data on the cost and volume of meters refurbished and procured for the service provider's meter replacement program in Table 8.6. These data are to be exclusive of meters procured for new connections.</t>
  </si>
  <si>
    <t>Table 8.5.1 - New meters acquired</t>
  </si>
  <si>
    <t>Table 8.5.2 - Meters refurbished</t>
  </si>
  <si>
    <t>7. TELEMETRY CAPITAL EXPENDITURE</t>
  </si>
  <si>
    <t>This template asks for information relating to telemetry capital expenditure</t>
  </si>
  <si>
    <t>12. IT CAPITAL EXPENDITURE</t>
  </si>
  <si>
    <t>This template asks for information relating to IT capital expenditure</t>
  </si>
  <si>
    <t>Mains augmentation</t>
  </si>
  <si>
    <t xml:space="preserve">Mains replacement </t>
  </si>
  <si>
    <t>Telemetry</t>
  </si>
  <si>
    <t>Meter replacement</t>
  </si>
  <si>
    <r>
      <rPr>
        <b/>
        <sz val="10"/>
        <rFont val="Times New Roman"/>
        <family val="1"/>
      </rPr>
      <t>Instructions</t>
    </r>
    <r>
      <rPr>
        <sz val="10"/>
        <rFont val="Times New Roman"/>
        <family val="1"/>
      </rPr>
      <t xml:space="preserve">
This template asks for real cost escalators used to escalate unit costs.
Please identify the unit used in this sheet.
</t>
    </r>
  </si>
  <si>
    <t>New homes</t>
  </si>
  <si>
    <t>I&amp;C tariff</t>
  </si>
  <si>
    <t>I&amp;C contract</t>
  </si>
  <si>
    <t>Reported expenditure is to be entered INCLUSIVE of any profit margins or management fees paid pursuant to arrangements or contracts with any related parties.</t>
  </si>
  <si>
    <t>Output growth ($0's)</t>
  </si>
  <si>
    <t>Productivity growth ($0's)</t>
  </si>
  <si>
    <t xml:space="preserve"> Only input data into the yellow input cells.</t>
  </si>
  <si>
    <t>Check all pre-entered formulas to ensure they are operating correctly and as intended.</t>
  </si>
  <si>
    <t>Ensure all links within each worksheet and between worksheets are correct.</t>
  </si>
  <si>
    <t xml:space="preserve"> As stated in the notice, further information must be provided in the accompanying proposal.</t>
  </si>
  <si>
    <t>The service provider is encouraged to add extra rows in a regulatory template if it considers that this is necessary to fully complete the regulatory template in question.</t>
  </si>
  <si>
    <t>INSTRUCTIONS</t>
  </si>
  <si>
    <r>
      <t xml:space="preserve">Complete the </t>
    </r>
    <r>
      <rPr>
        <i/>
        <sz val="11"/>
        <rFont val="Calibri"/>
        <family val="2"/>
        <scheme val="minor"/>
      </rPr>
      <t xml:space="preserve">Business Details </t>
    </r>
    <r>
      <rPr>
        <sz val="11"/>
        <rFont val="Calibri"/>
        <family val="2"/>
        <scheme val="minor"/>
      </rPr>
      <t>pro forma first.</t>
    </r>
  </si>
  <si>
    <t>Metres, 0's</t>
  </si>
  <si>
    <t>23.3 - OPERATING EXPENDITURE RATE OF CHANGE</t>
  </si>
  <si>
    <t>23.2 - OPERATING EXPENDITURE EXCLUDING RPM</t>
  </si>
  <si>
    <t>23.1 - OPERATING EXPENDITURE INCLUDING RPM</t>
  </si>
  <si>
    <t xml:space="preserve">In table 23.1.2, only enter amounts APPROVED BY THE RELEVANT REGULATOR. </t>
  </si>
  <si>
    <t xml:space="preserve">In table 23.2.2, only enter amounts APPROVED BY THE RELEVANT REGULATOR. </t>
  </si>
  <si>
    <t>Table 23.3.1 - Total opex rate of change by item</t>
  </si>
  <si>
    <t>In tables 29.1.1 to 29.1.3 enter the required data in the yellow cells. This may require the insertion of new rows.</t>
  </si>
  <si>
    <t>Table 29.1.1 - Revenue Information (incl. surcharge or premium revenue)</t>
  </si>
  <si>
    <t>Table 29.1.2 - Operations and Maintenance Cost</t>
  </si>
  <si>
    <t>Table 29.1.3 - Capital expenditure</t>
  </si>
  <si>
    <t>In tables 29.2 enter the required data in the yellow cells. This may require the insertion of new rows.</t>
  </si>
  <si>
    <t>29.3 - GAS EXTENSIONS - DEMAND</t>
  </si>
  <si>
    <t>In table 29.3 enter the required data in the yellow cells. This may require the insertion of new rows</t>
  </si>
  <si>
    <t>Table 29.3 - Gas Extensions - Demand</t>
  </si>
  <si>
    <t>Table 29.1 - Gas Extensions - Financial Information</t>
  </si>
  <si>
    <t>In tables 29.4 enter the required data in the yellow cells. This may require the insertion of new rows.</t>
  </si>
  <si>
    <t>29.4 - GAS EXTENSIONS - TARIFFS</t>
  </si>
  <si>
    <t>Table 1 - CPI ESCALATION</t>
  </si>
  <si>
    <t>TABLE 4 - NEW CUSTOMER CONNECTIONS / MARKET EXPANSION CAPITAL EXPENDITURE</t>
  </si>
  <si>
    <t>Table 6 - MAINS REPLACEMENT CAPITAL EXPENDITURE</t>
  </si>
  <si>
    <t>Table 6.1.3 - Total Mains replacement</t>
  </si>
  <si>
    <t>Table 7 - TELEMETRY CAPITAL EXPENDITURE</t>
  </si>
  <si>
    <t>Table 8 - METER REPLACEMENT CAPITAL EXPENDITURE</t>
  </si>
  <si>
    <t>Table 8.9 - Meter removals</t>
  </si>
  <si>
    <t>Table 8.9.1 - Time expired meter removals</t>
  </si>
  <si>
    <t>Table 8.9.2 - Voluntary meter removals</t>
  </si>
  <si>
    <t>Table 8.8 - In service compliance testing results</t>
  </si>
  <si>
    <t>Table 12 - IT CAPITAL EXPENDITURE</t>
  </si>
  <si>
    <t>Table 12.1 - IT Capex (actual/forecast)</t>
  </si>
  <si>
    <t>Table 12.2 - IT Capex (approved)</t>
  </si>
  <si>
    <t>14. CAPITALISED OVERHEAD EXPENDITURE</t>
  </si>
  <si>
    <t xml:space="preserve">For tables 14.1 to 14.5 enter the required details into the yellow cells. This may require the insertion of new lines in each table.
</t>
  </si>
  <si>
    <t>Table  14 - CAPITALISED OVERHEAD EXPENDITURE</t>
  </si>
  <si>
    <t>Table  14.1 - Total overhead expenditure (actual/forecast)</t>
  </si>
  <si>
    <t>15. RELATED PARTY TRANSACTIONS</t>
  </si>
  <si>
    <t>In Table 15.1 and 15.2 enter the required data in the yellow cells. This may require the insertion of new rows.</t>
  </si>
  <si>
    <t>Table 15.4 - Related party margin (approved)</t>
  </si>
  <si>
    <t>Table 15.6 - Per cent of capex outsourced to related party (approved)</t>
  </si>
  <si>
    <t>Table 15.7 - Capex outsourced to related party (actual)</t>
  </si>
  <si>
    <t>Table 15.8 - Capex outsourced to related party (approved)</t>
  </si>
  <si>
    <t>Table 15 - RELATED PARTY TRANSACTIONS</t>
  </si>
  <si>
    <t>Table 16 - CAPITAL EXPENDITURE ALLOCATION</t>
  </si>
  <si>
    <t>Table 17 - GROSS CAPITAL EXPENDITURE</t>
  </si>
  <si>
    <t>Table 20 - CHANGES IN PROVISIONS</t>
  </si>
  <si>
    <t>Table 20.1 - Changes in provisions (including RPM)</t>
  </si>
  <si>
    <t>Table 20.1.2 - Allocation of movement in total provisions</t>
  </si>
  <si>
    <t>Land</t>
  </si>
  <si>
    <t>Table 20.1.3 - Allocation of movements in provisions for capex</t>
  </si>
  <si>
    <t>Table 22 - WACC AND CAPM PARAMETERS</t>
  </si>
  <si>
    <t>Table 23 - OPERATING EXPENDITURE</t>
  </si>
  <si>
    <t>Table 23.1.1 - Operating and maintenance expenditure (actual/forecast)</t>
  </si>
  <si>
    <t>Table 23.1 - Operating expenditure including RPM</t>
  </si>
  <si>
    <t>Table 23.1.2 - Operating and maintenance expenditure (approved)</t>
  </si>
  <si>
    <t>Table 23.2 - Operating expenditure excluding RPM</t>
  </si>
  <si>
    <t>Table 23.2.1 - Operating and maintenance expenditure (actual/forecast)</t>
  </si>
  <si>
    <t>Table 23.2.2 - Operating and maintenance expenditure (approved)</t>
  </si>
  <si>
    <t>Table 23.3 - OPERATING EXPENDITURE RATE OF CHANGE</t>
  </si>
  <si>
    <t>Table 24 - COST CATEGORY MATRIX</t>
  </si>
  <si>
    <t>Table 24.1 - Capex</t>
  </si>
  <si>
    <t>Table 24.2 - Opex</t>
  </si>
  <si>
    <t>Table 25 - ANCILLARY REFERENCE SERVICES</t>
  </si>
  <si>
    <t>Table 25.1 - Volume</t>
  </si>
  <si>
    <t>Table 25.2 - Revenue</t>
  </si>
  <si>
    <t>Table 26 - ALLOCATION OF TOTAL REVENUE</t>
  </si>
  <si>
    <t>Table 26.1 - Reference services</t>
  </si>
  <si>
    <t>Table 26.2 - Ancillary reference services</t>
  </si>
  <si>
    <t>Table 26.3 - Rebateable services</t>
  </si>
  <si>
    <t>Table 26.4 - Non-reference services</t>
  </si>
  <si>
    <t>Table 27 - CUSTOMER NUMBERS</t>
  </si>
  <si>
    <t>Table 27.1 - Tariff Customer Numbers</t>
  </si>
  <si>
    <t>Table 28 - CONSUMPTION AND DEMAND</t>
  </si>
  <si>
    <t>Table 29.2 - GAS EXTENSIONS - CUSTOMER NUMBERS</t>
  </si>
  <si>
    <t>29.2 - GAS EXTENSIONS - CUSTOMER NUMBERS</t>
  </si>
  <si>
    <t>Table 29.2.1 - Tariff customer numbers</t>
  </si>
  <si>
    <t>Table 29.2.2 - Contract customer numbers</t>
  </si>
  <si>
    <t>Table 29.4 - GAS EXTENSIONS - TARIFFS</t>
  </si>
  <si>
    <t>Table 29.4.1 - Residential tariffs</t>
  </si>
  <si>
    <t>Table 29.4.2 - Business tariffs</t>
  </si>
  <si>
    <t>Table 29.4.3 - Contract tariffs</t>
  </si>
  <si>
    <t>Table 30 - NETWORK CHARACTERISTICS</t>
  </si>
  <si>
    <t>Table 30.3 - Unaccounted for Gas - transmission and distribution</t>
  </si>
  <si>
    <t>Table 31 - PASS THROUGHS</t>
  </si>
  <si>
    <t>Table 31.1 - Pass through event costs (actual)</t>
  </si>
  <si>
    <t>$0's, real June 2016</t>
  </si>
  <si>
    <t>$0's, nominal</t>
  </si>
  <si>
    <t>SUBMISSION PARTICULARS INPUT SHEETS</t>
  </si>
  <si>
    <t>BUSINESS &amp; OTHER DETAILS</t>
  </si>
  <si>
    <t>Table 5 - MAINS AUGMENTATION CAPITAL EXPENDITURE</t>
  </si>
  <si>
    <t>Data quality (actual, estimate, public, consolidated)</t>
  </si>
  <si>
    <t>Table 15.3 - Related party margin (actual/forecast)</t>
  </si>
  <si>
    <t>Table 15.5 - Per cent of capex outsourced to related party (actual/forecast)</t>
  </si>
  <si>
    <t>Table 17.1 - Gross capex including RPM (actual/forecast)</t>
  </si>
  <si>
    <t>Table 17.3 - Gross capex excluding RPM (actual/forecast)</t>
  </si>
  <si>
    <t>Table of Contents</t>
  </si>
  <si>
    <t>Electricity to gas</t>
  </si>
  <si>
    <t>Table 4.1.2 -  Volume of mains / services / meters per connection</t>
  </si>
  <si>
    <t>Table 4.2.1 -  Unit rates - mains / services / meters</t>
  </si>
  <si>
    <t>New medium density / high rise</t>
  </si>
  <si>
    <t>Table 4.2.7 - Total New Customer Connection expenditure</t>
  </si>
  <si>
    <t>Direct contractor expenditure</t>
  </si>
  <si>
    <t>Direct internal labour expenditure</t>
  </si>
  <si>
    <t>Total labour expenditure</t>
  </si>
  <si>
    <t>TABLE 4.2 -  NEW CUSTOMER CONNECTION EXPENDITURE</t>
  </si>
  <si>
    <t>Inlet / service pipes</t>
  </si>
  <si>
    <t xml:space="preserve">Total contractor expenditure </t>
  </si>
  <si>
    <t xml:space="preserve">Other internal direct expenditure </t>
  </si>
  <si>
    <t xml:space="preserve">Total material expenditure </t>
  </si>
  <si>
    <t xml:space="preserve">Total direct expenditure </t>
  </si>
  <si>
    <t>Total overhead cost</t>
  </si>
  <si>
    <t xml:space="preserve">Total other direct expenditure </t>
  </si>
  <si>
    <t>Total gross expenditure on I&amp;C volume connections</t>
  </si>
  <si>
    <t>Total Net expenditure on I&amp;C volume connections</t>
  </si>
  <si>
    <t>Total gross expenditure on new I&amp;C contract connections</t>
  </si>
  <si>
    <t>Total Net expenditure on new I&amp;C contract connections</t>
  </si>
  <si>
    <t>Total gross expenditure on new connections</t>
  </si>
  <si>
    <t>Total Net expenditure on new connections</t>
  </si>
  <si>
    <t>Number of connections that made a contribution</t>
  </si>
  <si>
    <t>If the expenditure for the connection is not split by the line items specified, provide assumptions on how the expenditure is split between line items. This can be provided as a note to this template or in the written RIN submission.</t>
  </si>
  <si>
    <t>Table 5.1 - Mains augmentation expenditure (actual/forecast)</t>
  </si>
  <si>
    <t>Other internal direct expenditure</t>
  </si>
  <si>
    <t>Total direct expenditure</t>
  </si>
  <si>
    <t>Total Direct expenditure</t>
  </si>
  <si>
    <t>Related party margin expenditure</t>
  </si>
  <si>
    <t>Reported expenditure is to be entered EXCLUSIVE of any profit margins or management fees paid pursuant to arrangements or contracts with any related parties. Include any Related party margin expenditure or management fees in the separate 'Related party margin expenditure' line item.</t>
  </si>
  <si>
    <t>Total overhead expenditure</t>
  </si>
  <si>
    <t>Total gross expenditure</t>
  </si>
  <si>
    <t>Total net expenditure</t>
  </si>
  <si>
    <t>Table 5.2 - Mains augmentation expenditure (approved)</t>
  </si>
  <si>
    <t>Total volume</t>
  </si>
  <si>
    <t>Low pressure - high pressure</t>
  </si>
  <si>
    <t>Low pressure - medium pressure</t>
  </si>
  <si>
    <t>Low pressure - low pressure</t>
  </si>
  <si>
    <t>Medium pressure - medium pressure</t>
  </si>
  <si>
    <t>Medium pressure - high pressure</t>
  </si>
  <si>
    <t>Direct expenditure</t>
  </si>
  <si>
    <t>Total direct contractor expenditure</t>
  </si>
  <si>
    <t xml:space="preserve">Total direct internal labor expenditure </t>
  </si>
  <si>
    <t xml:space="preserve">Total Other internal direct expenditure </t>
  </si>
  <si>
    <t>Equity raising expenditure</t>
  </si>
  <si>
    <t xml:space="preserve">Direct expenditure </t>
  </si>
  <si>
    <t>Total Gross expenditure</t>
  </si>
  <si>
    <t>Record Other internal expenditure attributable to the service provider's meter replacement program in tables 8.8.</t>
  </si>
  <si>
    <t>Contractor expenditure</t>
  </si>
  <si>
    <t>Other expenditure</t>
  </si>
  <si>
    <t>Table 8.6 - Other meter replacement expenditure (actual/forecast)</t>
  </si>
  <si>
    <t>Total other meter replacement expenditure</t>
  </si>
  <si>
    <t>Less contributions</t>
  </si>
  <si>
    <t>Table 8.2 - Meter replacement expenditure  (actual/forecast)</t>
  </si>
  <si>
    <t>Table 8.3 - Replacement meter installation expenditure (actual/forecast)</t>
  </si>
  <si>
    <t>Table 8.3.1 - Residential meter replacement installation expenditure</t>
  </si>
  <si>
    <t>Table 8.3.2 - Industrial and commercial meter replacement installation expenditure</t>
  </si>
  <si>
    <t>Table 8.3.3 - Water meter replacement installation expenditure</t>
  </si>
  <si>
    <t>Table 8.3.4 - Total meter replacement installation expenditure</t>
  </si>
  <si>
    <t>Table 8.5 - Meter replacement expenditure by meter type (actual/forecast)</t>
  </si>
  <si>
    <t>Table 8.4 - Meter replacement expenditure by category / project  (approved)</t>
  </si>
  <si>
    <t>&lt;enter meter type 3&gt;</t>
  </si>
  <si>
    <t>Total number of meters refurbished and acquired</t>
  </si>
  <si>
    <t xml:space="preserve">Total gross expenditure on refurbishing and acquiring meters </t>
  </si>
  <si>
    <t>Total gross expenditure on refurbished meters used for meter replacement</t>
  </si>
  <si>
    <t>Total Overhead expenditure</t>
  </si>
  <si>
    <t>This template asks for information relating to regulatory capital expenditure</t>
  </si>
  <si>
    <t xml:space="preserve">Total net expenditure </t>
  </si>
  <si>
    <t>Regulatory expenditure</t>
  </si>
  <si>
    <t xml:space="preserve">This template asks for information on forecast payments by the service provider to a related party or vice versa over the next access arrangement period. </t>
  </si>
  <si>
    <t>Table 14.1.1 - Network overhead expenditure</t>
  </si>
  <si>
    <t>Table 14.1.2 - Corporate overhead expenditure</t>
  </si>
  <si>
    <t>Capitalised regulatory expenditure</t>
  </si>
  <si>
    <t>Where the related party expenditure has been allocated to different asset classes or cost categories, the description of the basis of allocation and the quantum of the allocator</t>
  </si>
  <si>
    <t>Table 22.4 - Debt and equity raising  expenditure</t>
  </si>
  <si>
    <t>Debt raising expenditure</t>
  </si>
  <si>
    <t>Total expenditure</t>
  </si>
  <si>
    <t>Internal labour expenditure</t>
  </si>
  <si>
    <t>Total quantities</t>
  </si>
  <si>
    <t>Contract customers</t>
  </si>
  <si>
    <t>Total gross capital expenditure</t>
  </si>
  <si>
    <t>Total net capital expenditure</t>
  </si>
  <si>
    <t>Table 29.3.1 - Residential tariff</t>
  </si>
  <si>
    <t>Table 29.3.2 - Business tariff</t>
  </si>
  <si>
    <t>Table 29.3.3 - Contract tariff</t>
  </si>
  <si>
    <t>Band (Gj)</t>
  </si>
  <si>
    <t>Table 30.1.1 - Low pressure</t>
  </si>
  <si>
    <t>Table 30.1.3 - High pressure</t>
  </si>
  <si>
    <t>Table 30.1.4 - Transmission</t>
  </si>
  <si>
    <t>Table 29.2.1.1 - Residential tariff</t>
  </si>
  <si>
    <t>Table 29.2.1.2 - Business tariff</t>
  </si>
  <si>
    <t>Table 6.1.1 - Proactive mains replacement expenditure</t>
  </si>
  <si>
    <t>Table 6.1 - Mains replacement expenditure (actual/forecast)</t>
  </si>
  <si>
    <t>Table 7.2 - Telemetry expenditure (approved)</t>
  </si>
  <si>
    <t>Table 7.1 - Telemetry expenditure (actual / forecast)</t>
  </si>
  <si>
    <t xml:space="preserve">REAL $ CONVERSION OF HISTORICAL DATA </t>
  </si>
  <si>
    <t>Table 8.1 - Number of meters removed (actual/forecast)</t>
  </si>
  <si>
    <t>Variance (actual vs approved)
%</t>
  </si>
  <si>
    <t>Date last modified:</t>
  </si>
  <si>
    <t>dms_ABN_List</t>
  </si>
  <si>
    <t>dms_State_List</t>
  </si>
  <si>
    <t>dms_Sector_List</t>
  </si>
  <si>
    <t>dms_Segment_List</t>
  </si>
  <si>
    <t>dms_FormControl</t>
  </si>
  <si>
    <t>ACT</t>
  </si>
  <si>
    <t>Electricity</t>
  </si>
  <si>
    <t>Revenue yield</t>
  </si>
  <si>
    <t>ActewAGL Distribution (Tx Assets)</t>
  </si>
  <si>
    <t>Revenue cap</t>
  </si>
  <si>
    <t>SA</t>
  </si>
  <si>
    <t>NSW</t>
  </si>
  <si>
    <t>Ausgrid (Tx Assets)</t>
  </si>
  <si>
    <t>Vic</t>
  </si>
  <si>
    <t>Transmission</t>
  </si>
  <si>
    <t>Australian Distribution Co.</t>
  </si>
  <si>
    <t>Australian Transmission Co.</t>
  </si>
  <si>
    <t>CitiPower</t>
  </si>
  <si>
    <t>Weighted average price cap</t>
  </si>
  <si>
    <t>Directlink</t>
  </si>
  <si>
    <t>Qld</t>
  </si>
  <si>
    <t>ElectraNet</t>
  </si>
  <si>
    <t>Murraylink</t>
  </si>
  <si>
    <t>Tas</t>
  </si>
  <si>
    <t>Revised regulatory proposal</t>
  </si>
  <si>
    <t>Draft decision</t>
  </si>
  <si>
    <t>Final decision</t>
  </si>
  <si>
    <t>After appeal</t>
  </si>
  <si>
    <t>Total customer numbers</t>
  </si>
  <si>
    <t>Broken pipe - cracked</t>
  </si>
  <si>
    <t>Broken pipe - full break</t>
  </si>
  <si>
    <t>Corrosion</t>
  </si>
  <si>
    <t>Joint leak</t>
  </si>
  <si>
    <t>3rd party damage</t>
  </si>
  <si>
    <t>High density polyethylene (250)</t>
  </si>
  <si>
    <t>High density polyethylene (575)</t>
  </si>
  <si>
    <t>Medium density polyethylene</t>
  </si>
  <si>
    <t>Table 28.1 - Consumption and demand</t>
  </si>
  <si>
    <t>In tables 30.1 to 30.5 enter the required data in the yellow cells. This may require the insertion of new rows.</t>
  </si>
  <si>
    <t>Table 30.1 - Network Length by pressure</t>
  </si>
  <si>
    <t>Number of leaks per kilometre</t>
  </si>
  <si>
    <t>Crack related leaks per kilometre</t>
  </si>
  <si>
    <t>Table 26.5 - Total revenue</t>
  </si>
  <si>
    <t>Total reference services revenue</t>
  </si>
  <si>
    <t>Total ancillary reference services revenue</t>
  </si>
  <si>
    <t>Total rebateable services revenue</t>
  </si>
  <si>
    <t>Total non-reference services revenue</t>
  </si>
  <si>
    <t>Table 30.2.1</t>
  </si>
  <si>
    <t>Low pressure</t>
  </si>
  <si>
    <t>Medium pressure</t>
  </si>
  <si>
    <t>High pressure</t>
  </si>
  <si>
    <t>Table 30.1.2 - Medium pressure</t>
  </si>
  <si>
    <t>Table 30.4 - Network Length by suburb/post code</t>
  </si>
  <si>
    <t xml:space="preserve">In table 30.4 insert the length of each asset type in each suburb/post code in AGN's service area in kilometres. </t>
  </si>
  <si>
    <t>[Insert suburb/post code]</t>
  </si>
  <si>
    <t>Description</t>
  </si>
  <si>
    <t>Residential customer</t>
  </si>
  <si>
    <t>Business customer</t>
  </si>
  <si>
    <t>Table 21.2 - Typical gas bill - Residential customer</t>
  </si>
  <si>
    <t>Table 21.4 - Indicative annual average distribution price impact</t>
  </si>
  <si>
    <t>Table 21.5 - Distribution bill component - Residential customer</t>
  </si>
  <si>
    <t xml:space="preserve">Less approved excludable costs - allowance </t>
  </si>
  <si>
    <t>ABS CPI index - December (old base)</t>
  </si>
  <si>
    <t>Inflation rate (per cent)</t>
  </si>
  <si>
    <t>ABS CPI index - December (rebased index in March 2012)</t>
  </si>
  <si>
    <t>Forecast opex ($million, 2017)</t>
  </si>
  <si>
    <t>Customer numbers as at 1 January</t>
  </si>
  <si>
    <t>Customer numbers as at 31 December</t>
  </si>
  <si>
    <t>[Insert residential customer type 1]</t>
  </si>
  <si>
    <t>[Insert commercial/industrial customer type 1]</t>
  </si>
  <si>
    <t>ONE ZONE PER TABLE. If the service provider has more than one zone, copy and paste Table 27.1 accordingly.</t>
  </si>
  <si>
    <t xml:space="preserve">In table 27.1 enter the customer types and required data in the yellow cells. This may require the insertion of new rows for additional customer types and tariff types. For example, commercial customers that have are on a volume based tariff should be identified separately to business customers on a demand based tariff. </t>
  </si>
  <si>
    <t>Table 28.1.1</t>
  </si>
  <si>
    <t>Band name</t>
  </si>
  <si>
    <t>The band name must specify the units (eg. GJ or MHQ).</t>
  </si>
  <si>
    <t>Identified water in main</t>
  </si>
  <si>
    <t>Table 9 - OTHER CAPITAL EXPENDITURE</t>
  </si>
  <si>
    <t>Table 9.1 - Other capital expenditure (actual / forecast )</t>
  </si>
  <si>
    <t>Table 9.2 - Other capital expenditure  (approved)</t>
  </si>
  <si>
    <t>Include all other non-residential customer types in the commercial/industrial customers section.</t>
  </si>
  <si>
    <t>2018</t>
  </si>
  <si>
    <t>2019</t>
  </si>
  <si>
    <t>2020</t>
  </si>
  <si>
    <t>2021</t>
  </si>
  <si>
    <t>2022</t>
  </si>
  <si>
    <t>2014</t>
  </si>
  <si>
    <t>2015</t>
  </si>
  <si>
    <t>2016</t>
  </si>
  <si>
    <t>2017</t>
  </si>
  <si>
    <t>2008</t>
  </si>
  <si>
    <t>2009</t>
  </si>
  <si>
    <t>2010</t>
  </si>
  <si>
    <t>2011</t>
  </si>
  <si>
    <t>2012</t>
  </si>
  <si>
    <t>Calendar</t>
  </si>
  <si>
    <r>
      <t xml:space="preserve">Complete the following business details regulatory template </t>
    </r>
    <r>
      <rPr>
        <b/>
        <sz val="10"/>
        <color indexed="10"/>
        <rFont val="Arial"/>
        <family val="2"/>
      </rPr>
      <t>before</t>
    </r>
    <r>
      <rPr>
        <sz val="10"/>
        <rFont val="Arial"/>
        <family val="2"/>
      </rPr>
      <t xml:space="preserve"> entering data or values in any other regulatory template. This regulatory template is linked to other cells within the spreadsheet and automatically generates column headings and conditional formatting to distinguish business specific input and non-input cells. </t>
    </r>
  </si>
  <si>
    <t>ENTITY DETAILS</t>
  </si>
  <si>
    <t>Short name</t>
  </si>
  <si>
    <t>Select business name from drop down list first</t>
  </si>
  <si>
    <t>REGULATORY CONTROL PERIODS</t>
  </si>
  <si>
    <t>Current regulatory year</t>
  </si>
  <si>
    <t>CRY</t>
  </si>
  <si>
    <t>DELETE NR 'CRY' IF NOT AN ANNUAL RIN (EB, CA , ARR)</t>
  </si>
  <si>
    <t>APPLY NR 'CRY' IF AN ANNUAL RIN (EB, CA , ARR) - including multi year annual RINs eg. Recast CA. EB</t>
  </si>
  <si>
    <t>Reporting</t>
  </si>
  <si>
    <t>Please select the correct submission type from the dropdown list.</t>
  </si>
  <si>
    <t>Submission Date</t>
  </si>
  <si>
    <t>dd/mm/yyyy</t>
  </si>
  <si>
    <t>dms_SubmissionDate</t>
  </si>
  <si>
    <t>Please enter date this file submitted to AER (dd/mm/yyyy)</t>
  </si>
  <si>
    <t>EBSS - First application of scheme in forthcoming period?</t>
  </si>
  <si>
    <t>No</t>
  </si>
  <si>
    <t>dms_Sector</t>
  </si>
  <si>
    <t>=INDEX(dms_Sector_List,MATCH(dms_TradingName,dms_TradingName_List))</t>
  </si>
  <si>
    <t>dms_Segment</t>
  </si>
  <si>
    <t>=INDEX(dms_Segment_List,MATCH(dms_TradingName,dms_TradingName_List))</t>
  </si>
  <si>
    <t>dms_RYE</t>
  </si>
  <si>
    <t>=IF(dms_MultiYear_Flag=1,LEFT(dms_Specified_FinalYear,2)&amp;RIGHT(dms_Specified_FinalYear,2),INDEX(dms_RYE_Formula_Result,MATCH(dms_Model,dms_Model_List)))</t>
  </si>
  <si>
    <t>dms_RPT</t>
  </si>
  <si>
    <t>=INDEX(dms_RPT_List,MATCH(dms_TradingName,dms_TradingName_List))</t>
  </si>
  <si>
    <t>dms_Model</t>
  </si>
  <si>
    <t>Drop down selection</t>
  </si>
  <si>
    <t>Public</t>
  </si>
  <si>
    <t>dms_Classification</t>
  </si>
  <si>
    <t>Always Public</t>
  </si>
  <si>
    <t>dms_TemplateNumber</t>
  </si>
  <si>
    <t>Dollar $ real month</t>
  </si>
  <si>
    <t>dms_RPTMonth</t>
  </si>
  <si>
    <t>=INDEX(dms_RPTMonth_List,MATCH(dms_TradingName,dms_TradingName_List))</t>
  </si>
  <si>
    <t>Dollar $ real  (the last month before the FRCP_y1)</t>
  </si>
  <si>
    <t>dms_DollarReal</t>
  </si>
  <si>
    <t>=IF(SUM(dms_SingleYear_Model)&gt;0,CONCATENATE(dms_RPTMonth)&amp;" "&amp;VALUE((LEFT(CRY,2))&amp;RIGHT(CRY,2)),CONCATENATE(dms_RPTMonth)&amp;" "&amp;VALUE((LEFT(dms_CRCP_FinalYear_Result,2)&amp;RIGHT(dms_CRCP_FinalYear_Result,2))))</t>
  </si>
  <si>
    <t>=INDEX(dms_FormControl_List,MATCH(dms_TradingName,dms_TradingName_List))</t>
  </si>
  <si>
    <t>dms_RINversion</t>
  </si>
  <si>
    <t>Jurisdiction</t>
  </si>
  <si>
    <t>dms_Jurisdiction</t>
  </si>
  <si>
    <t>=INDEX(dms_JurisdictionList,MATCH(dms_TradingName,dms_TradingName_List))</t>
  </si>
  <si>
    <t>Backcast Multiyear EB, CA or ARR?</t>
  </si>
  <si>
    <t>dms_MultiYear_Flag</t>
  </si>
  <si>
    <t>1=y, 0-n</t>
  </si>
  <si>
    <t>dms_Specified_FinalYear</t>
  </si>
  <si>
    <t>The result here is returned to dms_CRCP_FinalYear_Result if dms_MultiYear_Flag is set to 1</t>
  </si>
  <si>
    <t>Single Year Model T/F</t>
  </si>
  <si>
    <t>dms_EB</t>
  </si>
  <si>
    <t>dms_CA</t>
  </si>
  <si>
    <t>=dms_SingleYear_Model</t>
  </si>
  <si>
    <t>dms_ARR</t>
  </si>
  <si>
    <t>Single Year Final Year Reference</t>
  </si>
  <si>
    <t>dms_SingleYear_FinalYear_Ref</t>
  </si>
  <si>
    <t>This is the reference for EB, CA &amp; ARR RINs</t>
  </si>
  <si>
    <t>Single Year Final Year Result</t>
  </si>
  <si>
    <t>dms_SingleYear_FinalYear_Result</t>
  </si>
  <si>
    <t>=INDIRECT(dms_SingleYear_FinalYear_Ref)</t>
  </si>
  <si>
    <t>Formula errors OK</t>
  </si>
  <si>
    <t>FRCP length in years</t>
  </si>
  <si>
    <t>dms_FRCPlength_Num</t>
  </si>
  <si>
    <t>=INDEX(dms_FRCPlength_List,MATCH(dms_TradingName,dms_TradingName_List))</t>
  </si>
  <si>
    <t>Multi Year Final Year Reference</t>
  </si>
  <si>
    <t>dms_MultiYear_FinalYear_Ref</t>
  </si>
  <si>
    <t>=INDEX(dms_FinalYear_List,MATCH(dms_FRCPlength_Num,dms_FRCPlength_Num_List))</t>
  </si>
  <si>
    <t>Multi Year Final Year Result</t>
  </si>
  <si>
    <t>dms_MultiYear_FinalYear_Result</t>
  </si>
  <si>
    <t>=IF(dms_MultiYear_Flag=0,INDIRECT(dms_MultiYear_FinalYear_Ref),dms_Specified_FinalYear)</t>
  </si>
  <si>
    <t>CRCP length in years</t>
  </si>
  <si>
    <t>dms_CRCPlength_Num</t>
  </si>
  <si>
    <t>=INDEX(dms_CRCPlength_List,MATCH(dms_TradingName,dms_TradingName_List))</t>
  </si>
  <si>
    <t>CRCP Final Year Reference</t>
  </si>
  <si>
    <t>dms_CRCP_FinalYear_Ref</t>
  </si>
  <si>
    <t>=INDEX(dms_CFinalYear_List,MATCH(dms_CRCPlength_Num,dms_CRCPlength_Num_List))</t>
  </si>
  <si>
    <t>CRCP First Year Result</t>
  </si>
  <si>
    <t>dms_CRCP_FirstYear_Result</t>
  </si>
  <si>
    <t>=INDEX(dms_CRCP_years,MATCH(dms_CRCPlength_Num,dms_CRCP_index))</t>
  </si>
  <si>
    <t>CRCP Final Year Result</t>
  </si>
  <si>
    <t>dms_CRCP_FinalYear_Result</t>
  </si>
  <si>
    <t>=IF(dms_MultiYear_Flag=0,(IF(SUM(dms_SingleYear_Model)&gt;0,CRY,dms_CRCP_yZ)),dms_Specified_FinalYear)</t>
  </si>
  <si>
    <t>Table 6.6.3 - Public lighting repair - no. business days</t>
  </si>
  <si>
    <t>dms_663</t>
  </si>
  <si>
    <t>Distribution Determination Reference</t>
  </si>
  <si>
    <t xml:space="preserve">Backcast templates only - unit of measure </t>
  </si>
  <si>
    <t>$0s</t>
  </si>
  <si>
    <t>dms_Backcast_UOM</t>
  </si>
  <si>
    <r>
      <t xml:space="preserve">If the cover sheet is for </t>
    </r>
    <r>
      <rPr>
        <b/>
        <sz val="11"/>
        <color theme="5" tint="-0.249977111117893"/>
        <rFont val="Arial"/>
        <family val="2"/>
      </rPr>
      <t>Backcast</t>
    </r>
    <r>
      <rPr>
        <sz val="11"/>
        <color theme="5" tint="-0.249977111117893"/>
        <rFont val="Arial"/>
        <family val="2"/>
      </rPr>
      <t xml:space="preserve"> data ensure to apply </t>
    </r>
    <r>
      <rPr>
        <b/>
        <sz val="11"/>
        <color theme="5" tint="-0.249977111117893"/>
        <rFont val="Arial"/>
        <family val="2"/>
      </rPr>
      <t xml:space="preserve">dms_Backcast_UOM </t>
    </r>
    <r>
      <rPr>
        <sz val="11"/>
        <color theme="5" tint="-0.249977111117893"/>
        <rFont val="Arial"/>
        <family val="2"/>
      </rPr>
      <t>named range to this field. Otherwise, do not apply this named range.</t>
    </r>
  </si>
  <si>
    <t>EB/CA Unit of Measure for Monetary Values</t>
  </si>
  <si>
    <t>dms_dollar_nom_UOM</t>
  </si>
  <si>
    <t>If the cover sheet is attached to an EB files make sure this field is set</t>
  </si>
  <si>
    <t>discard this record?</t>
  </si>
  <si>
    <t>NO</t>
  </si>
  <si>
    <t>dms_DISCARD</t>
  </si>
  <si>
    <t>If record is to be discarded from DB set this flag to YES</t>
  </si>
  <si>
    <t>USES NAMED RANGES FLAG</t>
  </si>
  <si>
    <t>yes</t>
  </si>
  <si>
    <t>dms_Defined_Names_Used</t>
  </si>
  <si>
    <t>Data in these columns used for data validation and database purposes.</t>
  </si>
  <si>
    <t>added new business names, improved column heading formatting</t>
  </si>
  <si>
    <t>FOR ELECTRICITY BUSINESSES ONLY</t>
  </si>
  <si>
    <t>Feeder Types</t>
  </si>
  <si>
    <t>MAIFI flag</t>
  </si>
  <si>
    <t>Feeder Names</t>
  </si>
  <si>
    <t>CBD</t>
  </si>
  <si>
    <t>Urban</t>
  </si>
  <si>
    <t>Short rural</t>
  </si>
  <si>
    <t>long rural</t>
  </si>
  <si>
    <t>EXTRA</t>
  </si>
  <si>
    <t>dms_TradingName_List</t>
  </si>
  <si>
    <t>dms_TradingNameFull_List</t>
  </si>
  <si>
    <t>dms_JurisdictionList</t>
  </si>
  <si>
    <t>dms_FormControl_List</t>
  </si>
  <si>
    <t>dms_RPT_List</t>
  </si>
  <si>
    <t>dms_RPTMonth_List</t>
  </si>
  <si>
    <t>dms_CRCPlength_List</t>
  </si>
  <si>
    <t>dms_FRCPlength_List</t>
  </si>
  <si>
    <t>dms_663_List</t>
  </si>
  <si>
    <t>dms_DeterminationRef_List</t>
  </si>
  <si>
    <t>dms_Addr1_List</t>
  </si>
  <si>
    <t>dms_Addr2_List</t>
  </si>
  <si>
    <t>dms_Suburb_List</t>
  </si>
  <si>
    <t>dms_PostCode_List</t>
  </si>
  <si>
    <t>dms_PAddr1_List</t>
  </si>
  <si>
    <t>dms_PAddr2_List</t>
  </si>
  <si>
    <t>dms_PSuburb_List</t>
  </si>
  <si>
    <t>dms_PState_List</t>
  </si>
  <si>
    <t>dms_PPostCode_List</t>
  </si>
  <si>
    <t>dms_ContactName1_List</t>
  </si>
  <si>
    <t>dms_ContactPh1_List</t>
  </si>
  <si>
    <t>dms_ContactEmail_List</t>
  </si>
  <si>
    <t>dms_CBD_flag</t>
  </si>
  <si>
    <t>dms_Urban_flag</t>
  </si>
  <si>
    <t>dms_ShortRural_flag</t>
  </si>
  <si>
    <t>dms_LongRural_flag</t>
  </si>
  <si>
    <t>dms_FeederType_5_flag</t>
  </si>
  <si>
    <t>dms_MAIFI_flag_List</t>
  </si>
  <si>
    <t>dms_FeederName_1</t>
  </si>
  <si>
    <t>dms_FeederName_2</t>
  </si>
  <si>
    <t>dms_FeederName_3</t>
  </si>
  <si>
    <t>dms_FeederName_4</t>
  </si>
  <si>
    <t>dms_FeederName_5</t>
  </si>
  <si>
    <t>Financial</t>
  </si>
  <si>
    <t>June</t>
  </si>
  <si>
    <t>2014-19 Distribution Determination</t>
  </si>
  <si>
    <t>40 Bunda Street</t>
  </si>
  <si>
    <t>CANBERRA</t>
  </si>
  <si>
    <t>2600</t>
  </si>
  <si>
    <t>GPO BOX 366</t>
  </si>
  <si>
    <t>Robert Walker</t>
  </si>
  <si>
    <t>02 6248 3847</t>
  </si>
  <si>
    <t>robert.walker@actewagle.com.au</t>
  </si>
  <si>
    <t>YES</t>
  </si>
  <si>
    <t>Long rural</t>
  </si>
  <si>
    <t>distribution determination</t>
  </si>
  <si>
    <t>ActewAGL Gas</t>
  </si>
  <si>
    <t>x</t>
  </si>
  <si>
    <t>Philip Deamer</t>
  </si>
  <si>
    <t>02 6248 3438</t>
  </si>
  <si>
    <t>GasAAReview@actewagl.com.au</t>
  </si>
  <si>
    <t>AGN (SA)</t>
  </si>
  <si>
    <t>AGN (Victoria)</t>
  </si>
  <si>
    <t>Australian Gas Networks Limited</t>
  </si>
  <si>
    <t>December</t>
  </si>
  <si>
    <t>Level 10</t>
  </si>
  <si>
    <t>81 Flinders Street</t>
  </si>
  <si>
    <t>ADELAIDE</t>
  </si>
  <si>
    <t>5000</t>
  </si>
  <si>
    <t>08 8227 1500</t>
  </si>
  <si>
    <t>Amadeus</t>
  </si>
  <si>
    <t>APT Pipelines (NT) Pty Ltd</t>
  </si>
  <si>
    <t>NT</t>
  </si>
  <si>
    <t>n/a</t>
  </si>
  <si>
    <t>Level 19, HSBC Building</t>
  </si>
  <si>
    <t>580 George Street</t>
  </si>
  <si>
    <t>SYDNEY</t>
  </si>
  <si>
    <t>2000</t>
  </si>
  <si>
    <t>Alexandra Curran</t>
  </si>
  <si>
    <t>02 9275 0020</t>
  </si>
  <si>
    <t>alexandra.curran@apa.com.au</t>
  </si>
  <si>
    <t>APA GasNet</t>
  </si>
  <si>
    <t>APA VTS Australia Limited</t>
  </si>
  <si>
    <t>PO Box R41</t>
  </si>
  <si>
    <t>ROYAL EXCHANGE</t>
  </si>
  <si>
    <t>1225</t>
  </si>
  <si>
    <t>02 9693 0000</t>
  </si>
  <si>
    <t>570 George St</t>
  </si>
  <si>
    <t>John Thomson</t>
  </si>
  <si>
    <t>(02) 9269 2312</t>
  </si>
  <si>
    <t>john.thomson@ausgrid.com.au</t>
  </si>
  <si>
    <t>AusNet Services (D)</t>
  </si>
  <si>
    <t>2016-20 Distribution Determination</t>
  </si>
  <si>
    <t>Level 32</t>
  </si>
  <si>
    <t>2 Southbank Boulevard</t>
  </si>
  <si>
    <t>SOUTHBANK</t>
  </si>
  <si>
    <t>3006</t>
  </si>
  <si>
    <t>Locked Bag 14051</t>
  </si>
  <si>
    <t>MELBOURNE CITY MAIL CENTRE</t>
  </si>
  <si>
    <t>VIC</t>
  </si>
  <si>
    <t>Hannah Williams</t>
  </si>
  <si>
    <t>03 9683 4088</t>
  </si>
  <si>
    <t>hwilliams@powercor.com.au</t>
  </si>
  <si>
    <t>AusNet (Gas)</t>
  </si>
  <si>
    <t>AusNet Gas Services</t>
  </si>
  <si>
    <t>X</t>
  </si>
  <si>
    <t>March</t>
  </si>
  <si>
    <t>transmission determination</t>
  </si>
  <si>
    <t>8001</t>
  </si>
  <si>
    <t>Clare Thompson</t>
  </si>
  <si>
    <t>03 9695 6670</t>
  </si>
  <si>
    <t>clare.e.thompson@ausnetservices.com.au</t>
  </si>
  <si>
    <t>-</t>
  </si>
  <si>
    <t>123 Straight Street</t>
  </si>
  <si>
    <t>PO Box 123</t>
  </si>
  <si>
    <t>Bob Smith</t>
  </si>
  <si>
    <t>02 1234 5678</t>
  </si>
  <si>
    <t>bob@auselec.net.au</t>
  </si>
  <si>
    <t>40 Market Street</t>
  </si>
  <si>
    <t>MELBOURNE</t>
  </si>
  <si>
    <t>3000</t>
  </si>
  <si>
    <t>Locked Bag 14090</t>
  </si>
  <si>
    <t>52-55 East Terrace</t>
  </si>
  <si>
    <t>Rymill Park</t>
  </si>
  <si>
    <t>PO Box 7096</t>
  </si>
  <si>
    <t>Hutt Street Post Office</t>
  </si>
  <si>
    <t>Bill Jackson</t>
  </si>
  <si>
    <t>08 8404 7969</t>
  </si>
  <si>
    <t>jackson.bill@electranet.com.au</t>
  </si>
  <si>
    <t>51 Huntingwood Drive</t>
  </si>
  <si>
    <t>HUNTINGWOOD</t>
  </si>
  <si>
    <t>2148</t>
  </si>
  <si>
    <t>PO Box 811</t>
  </si>
  <si>
    <t>SEVEN HILLS</t>
  </si>
  <si>
    <t>1730</t>
  </si>
  <si>
    <t>Jon Hocking</t>
  </si>
  <si>
    <t>02 9853 4386 / 0407 348 156</t>
  </si>
  <si>
    <t>Jon.Hocking@Endeavourenergy.com.au</t>
  </si>
  <si>
    <t>2015-20 Distribution Determination</t>
  </si>
  <si>
    <t>26 Reddacliff Street</t>
  </si>
  <si>
    <t>NEWSTEAD</t>
  </si>
  <si>
    <t>4006</t>
  </si>
  <si>
    <t>QLD</t>
  </si>
  <si>
    <t>Nicola Roscoe</t>
  </si>
  <si>
    <t>07 3664 5891</t>
  </si>
  <si>
    <t>nicolaroscoe@energex.com.au</t>
  </si>
  <si>
    <t>22 Walker Street</t>
  </si>
  <si>
    <t>TOWNSVILLE</t>
  </si>
  <si>
    <t>4810</t>
  </si>
  <si>
    <t>Po Box 264</t>
  </si>
  <si>
    <t>FORTITUDE VALLEY</t>
  </si>
  <si>
    <t>Jenny Doyle, Group Manager Regulatory Affairs</t>
  </si>
  <si>
    <t>(07) 3851 6416</t>
  </si>
  <si>
    <t>jenny.doyle@ergon.com.au</t>
  </si>
  <si>
    <t>8 Buller Street</t>
  </si>
  <si>
    <t>PORT MACQUARIE</t>
  </si>
  <si>
    <t>2444</t>
  </si>
  <si>
    <t>PO Box 5730</t>
  </si>
  <si>
    <t>Catherine Waddell</t>
  </si>
  <si>
    <t>02 6338 3553</t>
  </si>
  <si>
    <t>catherine.waddell@essentialenergy.com.au</t>
  </si>
  <si>
    <t>Level 16</t>
  </si>
  <si>
    <t>567 Collins Street</t>
  </si>
  <si>
    <t>PO Box 16182</t>
  </si>
  <si>
    <t>Robert McMillan</t>
  </si>
  <si>
    <t>03 9173 7000</t>
  </si>
  <si>
    <t>robert.mcmillan@jemena.com.au</t>
  </si>
  <si>
    <t>JGN</t>
  </si>
  <si>
    <t>Jemena Gas Networks</t>
  </si>
  <si>
    <t>Multinet Gas</t>
  </si>
  <si>
    <t>Multinet Gas (DB No.1) Pty Ltd (ACN 086 026 986), Multinet Gas (DB No.2) Pty Ltd (ACN 086 230 122)</t>
  </si>
  <si>
    <t>Locked bag 14090</t>
  </si>
  <si>
    <t>Queensland Electricity Transmission Corporation Limited trading as Powerlink Queensland</t>
  </si>
  <si>
    <t>33 Harold St</t>
  </si>
  <si>
    <t>VIRGINIA</t>
  </si>
  <si>
    <t>4014</t>
  </si>
  <si>
    <t>PO Box 1193</t>
  </si>
  <si>
    <t>Jennifer Harris</t>
  </si>
  <si>
    <t>07 3860 2667</t>
  </si>
  <si>
    <t>jharris@powerlink.com.au</t>
  </si>
  <si>
    <t>Roma to Brisbane Pipeline</t>
  </si>
  <si>
    <t>APT Petroleum Pipelines Limited t/a Roma to Brisbane Pipeline</t>
  </si>
  <si>
    <t>009 737 393</t>
  </si>
  <si>
    <t>1 Anzac Highway</t>
  </si>
  <si>
    <t>KESWICK</t>
  </si>
  <si>
    <t>5035</t>
  </si>
  <si>
    <t>GPO Box 77</t>
  </si>
  <si>
    <t>Damien O'Connor</t>
  </si>
  <si>
    <t>08 8404 5066</t>
  </si>
  <si>
    <t>damien.oconnor@sapowernetworks.com.au</t>
  </si>
  <si>
    <t>21 Kirksway Place</t>
  </si>
  <si>
    <t>HOBART</t>
  </si>
  <si>
    <t>7000</t>
  </si>
  <si>
    <t>GPO Box 191</t>
  </si>
  <si>
    <t>Leigh Mayne</t>
  </si>
  <si>
    <t>03 6270 3691</t>
  </si>
  <si>
    <t>rrp2012@auroraenergy.com.au</t>
  </si>
  <si>
    <t>Critical Infrastructure</t>
  </si>
  <si>
    <t>High density commercial</t>
  </si>
  <si>
    <t>High density rural</t>
  </si>
  <si>
    <t>Low density rural</t>
  </si>
  <si>
    <t>1-7 Maria Street</t>
  </si>
  <si>
    <t>LENAH VALLEY</t>
  </si>
  <si>
    <t>7008</t>
  </si>
  <si>
    <t>PO Box 606</t>
  </si>
  <si>
    <t>MOONAH</t>
  </si>
  <si>
    <t>7009</t>
  </si>
  <si>
    <t>Heath Dillon</t>
  </si>
  <si>
    <t>03 6274 3664</t>
  </si>
  <si>
    <t>heath.dillon@transend.com.au</t>
  </si>
  <si>
    <t>180 Thomas Street</t>
  </si>
  <si>
    <t>HAYMARKET</t>
  </si>
  <si>
    <t>PO Box A1000</t>
  </si>
  <si>
    <t>SYDNEY SOUTH</t>
  </si>
  <si>
    <t>1235</t>
  </si>
  <si>
    <t>Andrew Kingsmill</t>
  </si>
  <si>
    <t>02 9284 3149</t>
  </si>
  <si>
    <t>andrew.kingsmill@transgrid.com.au</t>
  </si>
  <si>
    <t>Level 3</t>
  </si>
  <si>
    <t>6 Nexus Court</t>
  </si>
  <si>
    <t>MULGRAVE</t>
  </si>
  <si>
    <t>3149</t>
  </si>
  <si>
    <t>PO Box 449</t>
  </si>
  <si>
    <t>MOUNT WAVERLEY</t>
  </si>
  <si>
    <t>Mathew Abraham</t>
  </si>
  <si>
    <t>03 8846 9758</t>
  </si>
  <si>
    <t>mathew.abraham@ue.com.au</t>
  </si>
  <si>
    <t>Western Power (D)</t>
  </si>
  <si>
    <t>WA</t>
  </si>
  <si>
    <t>363 Wellington Street</t>
  </si>
  <si>
    <t>PERTH</t>
  </si>
  <si>
    <t>6000</t>
  </si>
  <si>
    <t>GPO Box L921</t>
  </si>
  <si>
    <t>Judy Hunter</t>
  </si>
  <si>
    <t>08 9326 6239</t>
  </si>
  <si>
    <t>judy.hunter@westernpower.com.au</t>
  </si>
  <si>
    <t>Western Power (T)</t>
  </si>
  <si>
    <t>For EB &amp; Reset RINs only</t>
  </si>
  <si>
    <t>The Reg Year Ending (dms_RYE) must be set to the last year of the regulatory period. For forecast data is is usually (FRCP_y5) for actual it is a single year (CRY). For historical actual data the RYE will need to be set manually in the business details sheet by setting the dms_Multiyear_flag to 1 and putting the correct value in 'dms_Specified_FinalYear. See cells C67:C68</t>
  </si>
  <si>
    <t>Drop down selector box for CA &amp; Reset RINs.</t>
  </si>
  <si>
    <t>For CA &amp; Reset RINs only</t>
  </si>
  <si>
    <t>for DNSP only</t>
  </si>
  <si>
    <t>Reason for interruption</t>
  </si>
  <si>
    <t>dms_Reason_Interruption_Detailed</t>
  </si>
  <si>
    <t>dms_Reason_Interruption</t>
  </si>
  <si>
    <t xml:space="preserve">dms_Model_List </t>
  </si>
  <si>
    <t>dms_RYE_Formula_Result</t>
  </si>
  <si>
    <t>dms_0203_ProjectType</t>
  </si>
  <si>
    <t>dms_020303_01_UOM</t>
  </si>
  <si>
    <t>dms_020501_01_UOM</t>
  </si>
  <si>
    <t>dms_020501_02_UOM</t>
  </si>
  <si>
    <t>dms_020501_03_UOM</t>
  </si>
  <si>
    <t>dms_020501_04_UOM</t>
  </si>
  <si>
    <t>dms_020603_01_UOM</t>
  </si>
  <si>
    <t>dms_040102_01_UOM</t>
  </si>
  <si>
    <t>dms_040102_04_UOM</t>
  </si>
  <si>
    <t>dms_030601_01_UOM</t>
  </si>
  <si>
    <t>dms_030601_02_UOM</t>
  </si>
  <si>
    <t>dms_030701_01_UOM</t>
  </si>
  <si>
    <t>dms_030702_01_UOM</t>
  </si>
  <si>
    <t>dms_030703_01_UOM</t>
  </si>
  <si>
    <t>Animal</t>
  </si>
  <si>
    <t>Animal impact</t>
  </si>
  <si>
    <t>ARR</t>
  </si>
  <si>
    <t>ANNUAL REPORTING STATEMENT</t>
  </si>
  <si>
    <t>=LEFT(dms_SingleYear_FinalYear_Result,2)&amp;RIGHT(dms_SingleYear_FinalYear_Result,2)</t>
  </si>
  <si>
    <t>Formula errors are OK</t>
  </si>
  <si>
    <t>New line on new route - single circuit</t>
  </si>
  <si>
    <t>Circuit line length in km</t>
  </si>
  <si>
    <t>days</t>
  </si>
  <si>
    <t>minutes/customer</t>
  </si>
  <si>
    <t>Customer / km</t>
  </si>
  <si>
    <t>km</t>
  </si>
  <si>
    <t>Animal nesting/burrowing, etc and other</t>
  </si>
  <si>
    <t>Asset failure</t>
  </si>
  <si>
    <t>New line on new route - dual circuit</t>
  </si>
  <si>
    <t>MWh/customer</t>
  </si>
  <si>
    <t>Number of spans</t>
  </si>
  <si>
    <t>New line on new route - other</t>
  </si>
  <si>
    <t>MVA added</t>
  </si>
  <si>
    <t>interruptions/customer</t>
  </si>
  <si>
    <t>kVA / customer</t>
  </si>
  <si>
    <t>LV</t>
  </si>
  <si>
    <t>Overloads</t>
  </si>
  <si>
    <t>Line rebuild over existing route - single circuit</t>
  </si>
  <si>
    <t>Distribution substation</t>
  </si>
  <si>
    <t>Planned</t>
  </si>
  <si>
    <t>=LEFT(dms_MultiYear_FinalYear_Result,2)&amp;RIGHT(dms_MultiYear_FinalYear_Result,2)</t>
  </si>
  <si>
    <t>Line rebuild over existing route - dual circuit</t>
  </si>
  <si>
    <t>Number</t>
  </si>
  <si>
    <t>total spend $0s</t>
  </si>
  <si>
    <t>(per cent)</t>
  </si>
  <si>
    <t>HV</t>
  </si>
  <si>
    <t>Network business</t>
  </si>
  <si>
    <t>Reconductor - Single circuit</t>
  </si>
  <si>
    <t>net circuit km added</t>
  </si>
  <si>
    <t>Years</t>
  </si>
  <si>
    <t>Zone substation</t>
  </si>
  <si>
    <t>Third party</t>
  </si>
  <si>
    <t>=LEFT(dms_CRCP_FinalYear_Result,2)&amp;RIGHT(dms_CRCP_FinalYear_Result,2)</t>
  </si>
  <si>
    <t>Reconductor - Dual circuit</t>
  </si>
  <si>
    <t>Subtransmission</t>
  </si>
  <si>
    <t>Unknown</t>
  </si>
  <si>
    <t>Trees</t>
  </si>
  <si>
    <t>insert description of 'other'</t>
  </si>
  <si>
    <t>Vegetation</t>
  </si>
  <si>
    <t>Weather</t>
  </si>
  <si>
    <t>Defects</t>
  </si>
  <si>
    <t>2 - STPIS Exclusion (3.3)(a)</t>
  </si>
  <si>
    <t>Network error</t>
  </si>
  <si>
    <t>3 - STPIS Exclusion (3.3)(a)</t>
  </si>
  <si>
    <t>Spans</t>
  </si>
  <si>
    <t>Switching and protection error</t>
  </si>
  <si>
    <t>4 - STPIS Exclusion (3.3)(a)</t>
  </si>
  <si>
    <t>Fire</t>
  </si>
  <si>
    <t>5 - STPIS Exclusion (3.3)(a)</t>
  </si>
  <si>
    <t/>
  </si>
  <si>
    <t>6 - STPIS Exclusion (3.3)(a)</t>
  </si>
  <si>
    <t>Dig-in</t>
  </si>
  <si>
    <t>7 - STPIS Exclusion (3.3)(a)</t>
  </si>
  <si>
    <t>Unauthorised access</t>
  </si>
  <si>
    <t>For all files either AER or business needs to be able to specify the type of submission</t>
  </si>
  <si>
    <t>For PTRM &amp; RFM templates we must provide a choice in case they change their form of control - otherwise it is drawn from the business specific lookup table above.</t>
  </si>
  <si>
    <t>These are indeces and lookup values for various dates. All step from the value placed in FRCP_y1 on the business and other details worksheet</t>
  </si>
  <si>
    <t>for TNSP only</t>
  </si>
  <si>
    <t>Vehicle impact</t>
  </si>
  <si>
    <t>dms_SourceList</t>
  </si>
  <si>
    <t>dms_FormControl_Choices</t>
  </si>
  <si>
    <t>dms_FRCPlength_Num_List</t>
  </si>
  <si>
    <t>dms_FinalYear_List</t>
  </si>
  <si>
    <t>dms_CRCPlength_Num_List</t>
  </si>
  <si>
    <t>dms_CFinalYear_List</t>
  </si>
  <si>
    <t>dms_FRCP_years</t>
  </si>
  <si>
    <t>dms_CRCP_years</t>
  </si>
  <si>
    <t>dms_CRCP_index</t>
  </si>
  <si>
    <t>dms_FRCP_y1</t>
  </si>
  <si>
    <t>CRCP_y1</t>
  </si>
  <si>
    <t>dms_CRCP_yZ</t>
  </si>
  <si>
    <t>Blow-in/Fall-in - NSP responsibility</t>
  </si>
  <si>
    <t>dms_FRCP_y2</t>
  </si>
  <si>
    <t>CRCP_y2</t>
  </si>
  <si>
    <t>dms_CRCP_yY</t>
  </si>
  <si>
    <t>number</t>
  </si>
  <si>
    <t>Grow-in - NSP responsibility</t>
  </si>
  <si>
    <t>dms_FRCP_y3</t>
  </si>
  <si>
    <t>CRCP_y3</t>
  </si>
  <si>
    <t>dms_CRCP_yX</t>
  </si>
  <si>
    <t>Blow-in/Fall-in - Other responsible party</t>
  </si>
  <si>
    <t>PTRM update 1</t>
  </si>
  <si>
    <t>dms_FRCP_y4</t>
  </si>
  <si>
    <t>CRCP_y4</t>
  </si>
  <si>
    <t>dms_CRCP_yW</t>
  </si>
  <si>
    <t>Grow-in - Other responsible party</t>
  </si>
  <si>
    <t>PTRM update 2</t>
  </si>
  <si>
    <t>dms_FRCP_y5</t>
  </si>
  <si>
    <t>CRCP_y5</t>
  </si>
  <si>
    <t>dms_CRCP_yV</t>
  </si>
  <si>
    <t>PTRM update 3</t>
  </si>
  <si>
    <t>dms_FRCP_y6</t>
  </si>
  <si>
    <t>CRCP_y6</t>
  </si>
  <si>
    <t>dms_CRCP_yU</t>
  </si>
  <si>
    <t>PTRM update 4</t>
  </si>
  <si>
    <t>dms_FRCP_y7</t>
  </si>
  <si>
    <t>CRCP_y7</t>
  </si>
  <si>
    <t>dms_CRCP_yT</t>
  </si>
  <si>
    <t>PTRM update 5</t>
  </si>
  <si>
    <t>dms_FRCP_y8</t>
  </si>
  <si>
    <t>CRCP_y8</t>
  </si>
  <si>
    <t>dms_CRCP_yS</t>
  </si>
  <si>
    <t>PTRM update 6</t>
  </si>
  <si>
    <t>dms_FRCP_y9</t>
  </si>
  <si>
    <t>CRCP_y9</t>
  </si>
  <si>
    <t>dms_CRCP_yR</t>
  </si>
  <si>
    <t>PTRM update 7</t>
  </si>
  <si>
    <t>dms_FRCP_y10</t>
  </si>
  <si>
    <t>CRCP_y10</t>
  </si>
  <si>
    <t>dms_CRCP_yQ</t>
  </si>
  <si>
    <t>dms_FRCP_y11</t>
  </si>
  <si>
    <t>CRCP_y11</t>
  </si>
  <si>
    <t>dms_CRCP_yP</t>
  </si>
  <si>
    <t>dms_FRCP_y12</t>
  </si>
  <si>
    <t>CRCP_y12</t>
  </si>
  <si>
    <t>dms_CRCP_yO</t>
  </si>
  <si>
    <t>dms_FRCP_y13</t>
  </si>
  <si>
    <t>CRCP_y13</t>
  </si>
  <si>
    <t>dms_CRCP_yN</t>
  </si>
  <si>
    <t>dms_FRCP_y14</t>
  </si>
  <si>
    <t>CRCP_y14</t>
  </si>
  <si>
    <t>dms_CRCP_yM</t>
  </si>
  <si>
    <t>dms_FRCP_y15</t>
  </si>
  <si>
    <t>CRCP_y15</t>
  </si>
  <si>
    <t>dms_CRCP_yL</t>
  </si>
  <si>
    <t>These are drop down lists for businesses to select the correct FRCP_y1 on the business and other details worksheet.
This also populates the column headings in the worksheets</t>
  </si>
  <si>
    <t>dms_DataQuality_List</t>
  </si>
  <si>
    <t>dms_RCP_fyear_list</t>
  </si>
  <si>
    <t>dms_CRY_ListF</t>
  </si>
  <si>
    <t>dms_CRY_ListC</t>
  </si>
  <si>
    <t>dms_RCP_cyear_list</t>
  </si>
  <si>
    <t>dms_FRCP_fyear_list</t>
  </si>
  <si>
    <t>dms_FRCP_ListF</t>
  </si>
  <si>
    <t>dms_FRCP_ListC</t>
  </si>
  <si>
    <t>dms_FRCP_cyear_list</t>
  </si>
  <si>
    <t>dms_fy1</t>
  </si>
  <si>
    <t>dms_cy1</t>
  </si>
  <si>
    <t>dms_frcp_fy1</t>
  </si>
  <si>
    <t>dms_crcp_cy1</t>
  </si>
  <si>
    <t>dms_fy2</t>
  </si>
  <si>
    <t>dms_cy2</t>
  </si>
  <si>
    <t>dms_frcp_fy2</t>
  </si>
  <si>
    <t>dms_crcp_cy2</t>
  </si>
  <si>
    <t>dms_fy3</t>
  </si>
  <si>
    <t>dms_cy3</t>
  </si>
  <si>
    <t>dms_frcp_fy3</t>
  </si>
  <si>
    <t>dms_crcp_cy3</t>
  </si>
  <si>
    <t>Recast</t>
  </si>
  <si>
    <t>dms_fy4</t>
  </si>
  <si>
    <t>dms_cy4</t>
  </si>
  <si>
    <t>dms_frcp_fy4</t>
  </si>
  <si>
    <t>dms_crcp_cy4</t>
  </si>
  <si>
    <t>dms_fy5</t>
  </si>
  <si>
    <t>dms_cy5</t>
  </si>
  <si>
    <t>dms_frcp_fy5</t>
  </si>
  <si>
    <t>dms_crcp_cy5</t>
  </si>
  <si>
    <t>dms_fy6</t>
  </si>
  <si>
    <t>dms_cy6</t>
  </si>
  <si>
    <t>dms_frcp_fy6</t>
  </si>
  <si>
    <t>2021-22</t>
  </si>
  <si>
    <t>dms_crcp_cy6</t>
  </si>
  <si>
    <t>dms_fy7</t>
  </si>
  <si>
    <t>2013</t>
  </si>
  <si>
    <t>dms_cy7</t>
  </si>
  <si>
    <t>dms_frcp_fy7</t>
  </si>
  <si>
    <t>2022-23</t>
  </si>
  <si>
    <t>2023</t>
  </si>
  <si>
    <t>dms_crcp_cy7</t>
  </si>
  <si>
    <t>dms_fy8</t>
  </si>
  <si>
    <t>dms_cy8</t>
  </si>
  <si>
    <t>dms_frcp_fy8</t>
  </si>
  <si>
    <t>2023-24</t>
  </si>
  <si>
    <t>2024</t>
  </si>
  <si>
    <t>dms_crcp_cy8</t>
  </si>
  <si>
    <t>dms_fy9</t>
  </si>
  <si>
    <t>dms_cy9</t>
  </si>
  <si>
    <t>dms_frcp_fy9</t>
  </si>
  <si>
    <t>2024-25</t>
  </si>
  <si>
    <t>2025</t>
  </si>
  <si>
    <t>dms_crcp_cy9</t>
  </si>
  <si>
    <t>dms_fy10</t>
  </si>
  <si>
    <t>dms_cy10</t>
  </si>
  <si>
    <t>dms_frcp_fy10</t>
  </si>
  <si>
    <t>2025-26</t>
  </si>
  <si>
    <t>2026</t>
  </si>
  <si>
    <t>dms_crcp_cy10</t>
  </si>
  <si>
    <t>dms_fy11</t>
  </si>
  <si>
    <t>dms_cy11</t>
  </si>
  <si>
    <t>dms_frcp_fy11</t>
  </si>
  <si>
    <t>2026-27</t>
  </si>
  <si>
    <t>2027</t>
  </si>
  <si>
    <t>dms_crcp_cy11</t>
  </si>
  <si>
    <t>dms_fy12</t>
  </si>
  <si>
    <t>dms_cy12</t>
  </si>
  <si>
    <t>dms_frcp_fy12</t>
  </si>
  <si>
    <t>2027-28</t>
  </si>
  <si>
    <t>2028</t>
  </si>
  <si>
    <t>dms_crcp_cy12</t>
  </si>
  <si>
    <t>dms_fy13</t>
  </si>
  <si>
    <t>dms_cy13</t>
  </si>
  <si>
    <t>dms_frcp_fy13</t>
  </si>
  <si>
    <t>2028-29</t>
  </si>
  <si>
    <t>2029</t>
  </si>
  <si>
    <t>dms_crcp_cy13</t>
  </si>
  <si>
    <t>dms_fy14</t>
  </si>
  <si>
    <t>dms_cy14</t>
  </si>
  <si>
    <t>dms_frcp_fy14</t>
  </si>
  <si>
    <t>2029-30</t>
  </si>
  <si>
    <t>2030</t>
  </si>
  <si>
    <t>dms_crcp_cy14</t>
  </si>
  <si>
    <t>dms_fy15</t>
  </si>
  <si>
    <t>dms_cy15</t>
  </si>
  <si>
    <t>dms_frcp_fy15</t>
  </si>
  <si>
    <t>2030-31</t>
  </si>
  <si>
    <t>2031</t>
  </si>
  <si>
    <t>dms_crcp_cy15</t>
  </si>
  <si>
    <t>In table 4.1.1 Multinet is to insert each residential and industrial and commerical type of new connection. This may require the insertion of new lines in the table.</t>
  </si>
  <si>
    <t>Transmission and distribution</t>
  </si>
  <si>
    <t>Cathodic Protection</t>
  </si>
  <si>
    <t>Supply Regs/Valve stations</t>
  </si>
  <si>
    <t>SCADA</t>
  </si>
  <si>
    <t>Buildings</t>
  </si>
  <si>
    <t xml:space="preserve">Total operating &amp; maintenance expenditure - Reference Services </t>
  </si>
  <si>
    <t>Table 23.1.1.1 - Reference Services</t>
  </si>
  <si>
    <t>Operating costs</t>
  </si>
  <si>
    <t>Network operating costs</t>
  </si>
  <si>
    <t>Customer connections</t>
  </si>
  <si>
    <t>Category Per MG: Reconnections/Disconnections</t>
  </si>
  <si>
    <t>Meter reading services</t>
  </si>
  <si>
    <t>Billing and revenue collection</t>
  </si>
  <si>
    <t>Advertising and marketing</t>
  </si>
  <si>
    <t>Licence fees</t>
  </si>
  <si>
    <t xml:space="preserve">GSL payments </t>
  </si>
  <si>
    <t>Energy Safe Victoria levy</t>
  </si>
  <si>
    <t>Debt raising costs</t>
  </si>
  <si>
    <t>Other operating costs</t>
  </si>
  <si>
    <t>Movement in provisions</t>
  </si>
  <si>
    <t>Total Operating costs</t>
  </si>
  <si>
    <t>Maintenance costs</t>
  </si>
  <si>
    <t>Transmission Pipelines</t>
  </si>
  <si>
    <t>Distribution Pipelines</t>
  </si>
  <si>
    <t>Supply Regulators</t>
  </si>
  <si>
    <t>SCADA &amp; remote control</t>
  </si>
  <si>
    <t>Total maintenance costs</t>
  </si>
  <si>
    <t>Table 23.1.1.2 - Ancillary reference services</t>
  </si>
  <si>
    <t>Meter and gas installation test</t>
  </si>
  <si>
    <t>Disconnection</t>
  </si>
  <si>
    <t>Energisation and reconnection</t>
  </si>
  <si>
    <t>Special meter reading</t>
  </si>
  <si>
    <t>Table 23.1.2.1 - Reference Services</t>
  </si>
  <si>
    <t>Table 23.1.2.2 - Ancillary reference services</t>
  </si>
  <si>
    <t>Total operating expenditure - excluding RPM</t>
  </si>
  <si>
    <t>Table 23.2.1.1 - Reference Services</t>
  </si>
  <si>
    <t>Table 23.2.1.2 - Ancillary reference services</t>
  </si>
  <si>
    <t>Reported expenditure is to be entered EXCLUSIVE of any profit margins or management fees paid pursuant to arrangements or contracts with any related parties.</t>
  </si>
  <si>
    <t>Table 23.2.2.1 - Reference Services</t>
  </si>
  <si>
    <t>Table 23.2.2.2 - Ancillary reference services</t>
  </si>
  <si>
    <t>If the service provider proposes changes to its tariff structure for the next access arrangement period, please copy and paste the relevant tables and provide historical data based on the tariff stucture at that time.</t>
  </si>
  <si>
    <t>Forecast opex for Incentive Mechanism purposes</t>
  </si>
  <si>
    <t>Actual opex for Incentive Mechanism purposes</t>
  </si>
  <si>
    <t>Table 23.4.1.1 - Opex allowance applicable to Incentive Mechanism (Incentive Mechanism target)</t>
  </si>
  <si>
    <t>Table 23.4.1.2 - Actual and estimated opex applicable to Incentive Mechanism</t>
  </si>
  <si>
    <t>Table 23.4.1.3 - Proposed forecast opex for the Incentive Mechanism for the forthcoming regulatory control period</t>
  </si>
  <si>
    <r>
      <t>MultiNet Gas is required to populate all input cells (yellow) in tables 23.4.1.1 to 23.4.1.3 presented below.
Efficiency gains are calculated using the formulae below.  Adjusted target and actual amounts are used to calculate the carry-over amounts.
For the first application of the scheme, the efficiency carry forward amount for the first year of the regulatory period is expressed mathematically as: 
                 E</t>
    </r>
    <r>
      <rPr>
        <vertAlign val="subscript"/>
        <sz val="10"/>
        <rFont val="Arial"/>
        <family val="2"/>
      </rPr>
      <t>1</t>
    </r>
    <r>
      <rPr>
        <sz val="10"/>
        <rFont val="Arial"/>
        <family val="2"/>
      </rPr>
      <t xml:space="preserve"> = F</t>
    </r>
    <r>
      <rPr>
        <vertAlign val="subscript"/>
        <sz val="10"/>
        <rFont val="Arial"/>
        <family val="2"/>
      </rPr>
      <t>1</t>
    </r>
    <r>
      <rPr>
        <sz val="10"/>
        <rFont val="Arial"/>
        <family val="2"/>
      </rPr>
      <t xml:space="preserve"> – A</t>
    </r>
    <r>
      <rPr>
        <vertAlign val="subscript"/>
        <sz val="10"/>
        <rFont val="Arial"/>
        <family val="2"/>
      </rPr>
      <t>1</t>
    </r>
    <r>
      <rPr>
        <sz val="10"/>
        <rFont val="Arial"/>
        <family val="2"/>
      </rPr>
      <t xml:space="preserve"> where A</t>
    </r>
    <r>
      <rPr>
        <vertAlign val="subscript"/>
        <sz val="10"/>
        <rFont val="Arial"/>
        <family val="2"/>
      </rPr>
      <t>1</t>
    </r>
    <r>
      <rPr>
        <sz val="10"/>
        <rFont val="Arial"/>
        <family val="2"/>
      </rPr>
      <t xml:space="preserve"> is the actual operating cost for year 1 and F</t>
    </r>
    <r>
      <rPr>
        <vertAlign val="subscript"/>
        <sz val="10"/>
        <rFont val="Arial"/>
        <family val="2"/>
      </rPr>
      <t>1</t>
    </r>
    <r>
      <rPr>
        <sz val="10"/>
        <rFont val="Arial"/>
        <family val="2"/>
      </rPr>
      <t xml:space="preserve"> is the regulatory target operating cost for that year. 
For savings that arose in the second to fifth year of the regulatory period, the efficiency carry forward amount is calculated as:
                 E</t>
    </r>
    <r>
      <rPr>
        <vertAlign val="subscript"/>
        <sz val="10"/>
        <rFont val="Arial"/>
        <family val="2"/>
      </rPr>
      <t>t</t>
    </r>
    <r>
      <rPr>
        <sz val="10"/>
        <rFont val="Arial"/>
        <family val="2"/>
      </rPr>
      <t xml:space="preserve"> = (F</t>
    </r>
    <r>
      <rPr>
        <vertAlign val="subscript"/>
        <sz val="10"/>
        <rFont val="Arial"/>
        <family val="2"/>
      </rPr>
      <t>t</t>
    </r>
    <r>
      <rPr>
        <sz val="10"/>
        <rFont val="Arial"/>
        <family val="2"/>
      </rPr>
      <t xml:space="preserve"> – A</t>
    </r>
    <r>
      <rPr>
        <vertAlign val="subscript"/>
        <sz val="10"/>
        <rFont val="Arial"/>
        <family val="2"/>
      </rPr>
      <t>t</t>
    </r>
    <r>
      <rPr>
        <sz val="10"/>
        <rFont val="Arial"/>
        <family val="2"/>
      </rPr>
      <t>) – (F</t>
    </r>
    <r>
      <rPr>
        <vertAlign val="subscript"/>
        <sz val="10"/>
        <rFont val="Arial"/>
        <family val="2"/>
      </rPr>
      <t>t-1</t>
    </r>
    <r>
      <rPr>
        <sz val="10"/>
        <rFont val="Arial"/>
        <family val="2"/>
      </rPr>
      <t xml:space="preserve"> – A</t>
    </r>
    <r>
      <rPr>
        <vertAlign val="subscript"/>
        <sz val="10"/>
        <rFont val="Arial"/>
        <family val="2"/>
      </rPr>
      <t>t-1</t>
    </r>
    <r>
      <rPr>
        <sz val="10"/>
        <rFont val="Arial"/>
        <family val="2"/>
      </rPr>
      <t>), where: Et is the efficiency benefit/loss in year t;
                 A</t>
    </r>
    <r>
      <rPr>
        <vertAlign val="subscript"/>
        <sz val="10"/>
        <rFont val="Arial"/>
        <family val="2"/>
      </rPr>
      <t>t</t>
    </r>
    <r>
      <rPr>
        <sz val="10"/>
        <rFont val="Arial"/>
        <family val="2"/>
      </rPr>
      <t>, A</t>
    </r>
    <r>
      <rPr>
        <vertAlign val="subscript"/>
        <sz val="10"/>
        <rFont val="Arial"/>
        <family val="2"/>
      </rPr>
      <t>t-1</t>
    </r>
    <r>
      <rPr>
        <sz val="10"/>
        <rFont val="Arial"/>
        <family val="2"/>
      </rPr>
      <t xml:space="preserve"> is the actual operating cost for the years t and t-1 respectively; and
                 F</t>
    </r>
    <r>
      <rPr>
        <vertAlign val="subscript"/>
        <sz val="10"/>
        <rFont val="Arial"/>
        <family val="2"/>
      </rPr>
      <t>t</t>
    </r>
    <r>
      <rPr>
        <sz val="10"/>
        <rFont val="Arial"/>
        <family val="2"/>
      </rPr>
      <t>, F</t>
    </r>
    <r>
      <rPr>
        <vertAlign val="subscript"/>
        <sz val="10"/>
        <rFont val="Arial"/>
        <family val="2"/>
      </rPr>
      <t>t-1</t>
    </r>
    <r>
      <rPr>
        <sz val="10"/>
        <rFont val="Arial"/>
        <family val="2"/>
      </rPr>
      <t xml:space="preserve"> is the forecast operating cost for the years t and t-1 respectively 
Because the revenue determination will  occur prior to the completion of the current period, opex for the final year will be estimated as follows:
                 A</t>
    </r>
    <r>
      <rPr>
        <vertAlign val="subscript"/>
        <sz val="10"/>
        <rFont val="Arial"/>
        <family val="2"/>
      </rPr>
      <t>5</t>
    </r>
    <r>
      <rPr>
        <sz val="10"/>
        <rFont val="Arial"/>
        <family val="2"/>
      </rPr>
      <t xml:space="preserve"> = F</t>
    </r>
    <r>
      <rPr>
        <vertAlign val="subscript"/>
        <sz val="10"/>
        <rFont val="Arial"/>
        <family val="2"/>
      </rPr>
      <t>5</t>
    </r>
    <r>
      <rPr>
        <sz val="10"/>
        <rFont val="Arial"/>
        <family val="2"/>
      </rPr>
      <t xml:space="preserve"> – (F</t>
    </r>
    <r>
      <rPr>
        <vertAlign val="subscript"/>
        <sz val="10"/>
        <rFont val="Arial"/>
        <family val="2"/>
      </rPr>
      <t>4</t>
    </r>
    <r>
      <rPr>
        <sz val="10"/>
        <rFont val="Arial"/>
        <family val="2"/>
      </rPr>
      <t xml:space="preserve"> – A</t>
    </r>
    <r>
      <rPr>
        <vertAlign val="subscript"/>
        <sz val="10"/>
        <rFont val="Arial"/>
        <family val="2"/>
      </rPr>
      <t>4</t>
    </r>
    <r>
      <rPr>
        <sz val="10"/>
        <rFont val="Arial"/>
        <family val="2"/>
      </rPr>
      <t>)</t>
    </r>
  </si>
  <si>
    <t>costs associated with complying with any retailer of last resort requirements (clause 6.4(j)(1))</t>
  </si>
  <si>
    <t>amounts for approved Cost Pass Through Events (clause 6.4(j)(2))</t>
  </si>
  <si>
    <t>unaccounted for gas expenses (clause 6.4(j)(3))</t>
  </si>
  <si>
    <t>licence fees (clause 6.4(j)(4))</t>
  </si>
  <si>
    <t>debt raising costs (clause 6.4(j)(5))</t>
  </si>
  <si>
    <t>movements in provisions (clause 6.4(j)(6))</t>
  </si>
  <si>
    <t>any other activity that Multinet and the Regulator agree to exclude from the operation of the efficiency carryover mechanism (clause 6.4(j)(7))</t>
  </si>
  <si>
    <t>Change in scale adjustment (clause 6.4(k)(2))</t>
  </si>
  <si>
    <t>Change in capitalisation policy (clause 6.4(l))</t>
  </si>
  <si>
    <t>23.4 OPEX INCENTIVE MECHANISM</t>
  </si>
  <si>
    <t>Meter Investigation</t>
  </si>
  <si>
    <t>Meter Disconnection</t>
  </si>
  <si>
    <t>Meter Removal</t>
  </si>
  <si>
    <t>Reconnection</t>
  </si>
  <si>
    <t>Nominated (placeholder) equity averaging period (if nominated)</t>
  </si>
  <si>
    <t>Nominated equity averaging period (if nominated)</t>
  </si>
  <si>
    <t>Equity risk premium</t>
  </si>
  <si>
    <t>Year 1 nominated (placeholder) debt averaging period (if nominated)</t>
  </si>
  <si>
    <t>Year 1 nominated debt averaging period</t>
  </si>
  <si>
    <t>Year 2 nominated debt averaging period</t>
  </si>
  <si>
    <t>Year 3 nominated debt averaging period</t>
  </si>
  <si>
    <t>Year 4 nominated debt averaging period</t>
  </si>
  <si>
    <t>Year 5 nominated debt averaging period</t>
  </si>
  <si>
    <t>3rd party debt proxy/ies (e.g. 50% RBA BBB and 50% Bloomberg BBB)</t>
  </si>
  <si>
    <t>Effective annual yield to maturity for debt for each year of the regulatory control period (insert formula for calculation for each year)</t>
  </si>
  <si>
    <t xml:space="preserve">Table 22.5 - Cost of capital measures </t>
  </si>
  <si>
    <t>Weighted cost of capital (nominal vanilla)</t>
  </si>
  <si>
    <t>Return on debt (nominal post-tax)</t>
  </si>
  <si>
    <t xml:space="preserve">Return on equity (nominal post-tax) </t>
  </si>
  <si>
    <t>Value of imputation credits (gamma)</t>
  </si>
  <si>
    <t>Table 23.3.2 - Step Changes</t>
  </si>
  <si>
    <t>Table 23.3.3 - Category specific forecasts</t>
  </si>
  <si>
    <t>Category specific forecast</t>
  </si>
  <si>
    <t>&lt;insert category specific forecast&gt;</t>
  </si>
  <si>
    <t>Total category specific forecasts</t>
  </si>
  <si>
    <t xml:space="preserve">In tables 23.1.1 and 23.1.2 enter the required details into the yellow cells. This may require the insertion of new lines in each table. </t>
  </si>
  <si>
    <t xml:space="preserve">In tables 23.2.1 and 23.2.2 enter the required details into the yellow cells. This may require the insertion of new lines in each table. </t>
  </si>
  <si>
    <t xml:space="preserve">Estimated 2017 opex ($0's) </t>
  </si>
  <si>
    <t>Real price growth ($0's)</t>
  </si>
  <si>
    <t xml:space="preserve">Category specific forecasts ($0's) </t>
  </si>
  <si>
    <t>Step changes ($0's)</t>
  </si>
  <si>
    <t>Connections market expansion</t>
  </si>
  <si>
    <t>Other capex</t>
  </si>
  <si>
    <t>Related party transactions</t>
  </si>
  <si>
    <t>Cathodic protection</t>
  </si>
  <si>
    <t>Supply regs/valve stations</t>
  </si>
  <si>
    <t>Table 30.5 - Leaks (publicly reported or identified by UE) by cause of leak by suburb/post code and average forecast leak rate for each asset type by suburb/post code</t>
  </si>
  <si>
    <t>Event ID</t>
  </si>
  <si>
    <t>Date</t>
  </si>
  <si>
    <t>Postcode</t>
  </si>
  <si>
    <t>Mains/Service</t>
  </si>
  <si>
    <t>Material Type</t>
  </si>
  <si>
    <t>Pressure</t>
  </si>
  <si>
    <t>Cause Code Description (UE)</t>
  </si>
  <si>
    <t>Public Report/MG Identified</t>
  </si>
  <si>
    <t xml:space="preserve">AER Categories </t>
  </si>
  <si>
    <t>[Insert additional rows here]</t>
  </si>
  <si>
    <t>Tables 30.4 and 30.6 must be filled in for each suburb or post code in United Energy's service area.</t>
  </si>
  <si>
    <t xml:space="preserve">In table 30.6, the forecast leak rate per kilometre relates to estimate rate of all leaks expected for each asset in the suburb/post code in the 2018-22 access arrangement period. The crack related leak per kilometre relates to leaks resulting from cracks only. Please state the assumptions used to estimate the leak rate. For example, if the estimate was based on historical data. </t>
  </si>
  <si>
    <t>In table 30.5 the details of each reported leak against the following AER categories: Broken pipe- cracked, Broken pipe - full break, Corrosion, Joint leak, 3rd party damage, Identified water in main.</t>
  </si>
  <si>
    <t>Table 30.6 -  Average forecast leak rate for each asset type by suburb/post code</t>
  </si>
  <si>
    <t>Table 14.2 - Capex/opex overhead apportionment (actual/forecast)</t>
  </si>
  <si>
    <t>Table 14.3 - Capex overhead rates (actual/forecast)</t>
  </si>
  <si>
    <t>Table 14.4 - Capex overhead rates (approved)</t>
  </si>
  <si>
    <t>29.1 - GAS EXTENSIONS - FINANCIAL INFORMATION</t>
  </si>
  <si>
    <t>If using the post-tax revenue model (PTRM) to determine total revenue,  in table 16 enter the AMOUNT of capex for each capex driver for each year that is attributable to the relevant capex asset category.</t>
  </si>
  <si>
    <t>In Table 28 enter the required data relating to consumption in the yellow cells.. This may require the insertion of new rows. The zones and the tariff types in table 28 must match those in table 27.</t>
  </si>
  <si>
    <t>&lt;enter customer type&gt;</t>
  </si>
  <si>
    <t>Table 21 - Indicative impact of the regulatory proposal on the average residential and small business customer gas bills</t>
  </si>
  <si>
    <t>Table 21.3 - Typical gas bill - Small business customer</t>
  </si>
  <si>
    <t>eg Small business customer bill - reference service</t>
  </si>
  <si>
    <t>Forecast inflation (per cent)</t>
  </si>
  <si>
    <t>Forecast X factors (per cent)</t>
  </si>
  <si>
    <t>Table 21.6 - Distribution bill component - Small business customer</t>
  </si>
  <si>
    <t>Environmental Provision</t>
  </si>
  <si>
    <t>Unaccounted for gas provision</t>
  </si>
  <si>
    <t>Provision for separation</t>
  </si>
  <si>
    <t>Jemena Asset Management (6)  OPEX &amp; CAPEX</t>
  </si>
  <si>
    <t>Energy Partnership (Gas) Pty Ltd</t>
  </si>
  <si>
    <t>Alinta Asset Management Pty Ltd (AAM) OPEX</t>
  </si>
  <si>
    <t>Alinta Asset Management Pty Ltd (AAM) CAPEX</t>
  </si>
  <si>
    <t>UE &amp; Multinet Pty Ltd</t>
  </si>
  <si>
    <t xml:space="preserve">Refer to Operating Services Agreement </t>
  </si>
  <si>
    <t>Amount incurred by JAM (6)</t>
  </si>
  <si>
    <t>Regulatory Accounting Statements 7 &amp; 8 and associated regulatory accounting policies and adjustments, allocate Multinet Gas Distribution Partnership's payments for services provided by Alinta Asset Management Pty Ltd.</t>
  </si>
  <si>
    <t>Strategic &amp; Management Support</t>
  </si>
  <si>
    <t>Amounts incurred by EPG</t>
  </si>
  <si>
    <t>This amount is reflected in the Regulatory Accounting Statements within the costs incurred by the Multinet Gas Distribution Partnership in relation to services provided by EPG, as reported in the Gas Regulatory Accounts. Refer to Regulatory Accounting Statement 8 for relevant cost categories. As EPG has made no profit or loss for the reporting period, the amounts reflected in the Regulatory Accounting Statements are equal to the costs incurred by EPG.</t>
  </si>
  <si>
    <t>Regulatory Accounting Statement 8 and associated regulatory accounting policies and adjustments directly attribute the payments that correspond to EPG's costs to corresponding cost categories in the Gas Regulatory Accounts.</t>
  </si>
  <si>
    <t>This amount is reflected in the Regulatory Accounting Statements within the costs incurred by the Mutlinet Gas Distribution Partnership in relation to services provided by AAM, as reported in the Gas Regulatory Accounts. Refer to Regulatory Accounting Statements 7 &amp; 8 for relevant cost categories.</t>
  </si>
  <si>
    <t>Payroll and other costs incurred on behalf</t>
  </si>
  <si>
    <t>From monthly invoices from Service provider</t>
  </si>
  <si>
    <t>Reflected in Other Operating costs</t>
  </si>
  <si>
    <t>Mains replacement</t>
  </si>
  <si>
    <t>Residential new customer connections</t>
  </si>
  <si>
    <t>Commercial and industrial new customer connections</t>
  </si>
  <si>
    <t>Residential meter replacement</t>
  </si>
  <si>
    <t>Commercial and industrial meter replacement</t>
  </si>
  <si>
    <t>Augmentation</t>
  </si>
  <si>
    <t>IT capex</t>
  </si>
  <si>
    <t>Gas Extensions - Energy for the regions</t>
  </si>
  <si>
    <t>Gas Extensions - Other</t>
  </si>
  <si>
    <t>Other Non Ref Services</t>
  </si>
  <si>
    <t>Customer Contributions</t>
  </si>
  <si>
    <t xml:space="preserve">This amount is reflected in the Regulatory Accounting Statements within the costs incurred by Jemena Asset Management (6) Pty Ltd ("JAM) in relation to services provided by JAM, as reported in the Regulatory Accounts. </t>
  </si>
  <si>
    <t>Asset Management</t>
  </si>
  <si>
    <t xml:space="preserve">For next access arrangement period refer to ICT Overview and IT Capital Program documents in MG's AAI proposal for further detail.' </t>
  </si>
  <si>
    <t>Information Management</t>
  </si>
  <si>
    <t>Note: No splits available between Direct Internal, Direct Contractor and Other internal direct. All IT Capex projects are outsourced to a third party.'</t>
  </si>
  <si>
    <t>IT Management</t>
  </si>
  <si>
    <t>Manage Works</t>
  </si>
  <si>
    <t>Manage Business</t>
  </si>
  <si>
    <t>Network Management and IT SCADA</t>
  </si>
  <si>
    <t>Stakeholder Management</t>
  </si>
  <si>
    <t>Meter Data &amp; Revenue</t>
  </si>
  <si>
    <t>Page 12 of 38 - Regulatory Accounting statements 2007 (includes direct overheads) - $783,000</t>
  </si>
  <si>
    <t>Regulatory Account Statement 'Fixed Assets at cost - 4b Additions by reason for period 1/1 to 31/12/2009' - $1,170,000</t>
  </si>
  <si>
    <t>Regulatory Account Statement 'Fixed Assets at cost - 4a Additions by reason for period 1/1 to 31/12/2010' - $6,041,000</t>
  </si>
  <si>
    <t>Regulatory Account Statement 'Fixed Assets at cost - 4a for period 1/1 to 31/12/2011' - $23,491,000</t>
  </si>
  <si>
    <t>Regulatory Account Statement 'Fixed Assets at cost - 4a for period 1/1 to 31/12/2012' - $29,981,000</t>
  </si>
  <si>
    <r>
      <t xml:space="preserve">Financial Accounts.  </t>
    </r>
    <r>
      <rPr>
        <b/>
        <sz val="10"/>
        <rFont val="Arial"/>
        <family val="2"/>
      </rPr>
      <t>NOTE:</t>
    </r>
    <r>
      <rPr>
        <sz val="10"/>
        <rFont val="Arial"/>
        <family val="2"/>
      </rPr>
      <t xml:space="preserve"> In 2013, 14 and 15 RIN reports IT Overheads were incorrectly removed from the IT totals and reported under general overheads reducing the above totals in the RIN Reports to $23,648,020; $3,284,360 and $6,082,496 respectively</t>
    </r>
  </si>
  <si>
    <t>See current AAI submission, ICT Overview,  IT Capital Program and MG IT Capital Plan Cost Model documents for details</t>
  </si>
  <si>
    <t>Customer and Stakeholder Management</t>
  </si>
  <si>
    <t>Meter Data and Revenue</t>
  </si>
  <si>
    <t>ESC, GAS ACCESS ARRANGEMENT, REVIEW 2008-2012, FINAL DECISION – PUBLIC VERSION, 07/03/2008 p382</t>
  </si>
  <si>
    <t>AER, ACCESS ARRANGEMENT INFORMATION - October 2013 (see Basis for submission)</t>
  </si>
  <si>
    <t>See BOP</t>
  </si>
  <si>
    <t>$m, Actual (Real 2012)</t>
  </si>
  <si>
    <r>
      <t xml:space="preserve">Less customer contributions  </t>
    </r>
    <r>
      <rPr>
        <b/>
        <sz val="10"/>
        <color rgb="FFFF0000"/>
        <rFont val="Arial"/>
        <family val="2"/>
      </rPr>
      <t>(Assumes 70% of $2.0M pa from 2017-2022)</t>
    </r>
  </si>
  <si>
    <r>
      <t xml:space="preserve">Less customer contributions  </t>
    </r>
    <r>
      <rPr>
        <b/>
        <sz val="10"/>
        <color rgb="FFFF0000"/>
        <rFont val="Arial"/>
        <family val="2"/>
      </rPr>
      <t>(Assumes 30% of $2.0M pa from 2017-2022)</t>
    </r>
  </si>
  <si>
    <t>Distribution Mains / Network Reinforcement</t>
  </si>
  <si>
    <t>Supply Regulators / Valve Stations Capacity Upgrades</t>
  </si>
  <si>
    <t xml:space="preserve">New Supply Regulators </t>
  </si>
  <si>
    <t>Low Pressure mains replacement</t>
  </si>
  <si>
    <t>Medium Pressure mains replacement</t>
  </si>
  <si>
    <t>HDPE Polyethylene</t>
  </si>
  <si>
    <t xml:space="preserve">High Pressure Mains Replacement </t>
  </si>
  <si>
    <t>Gas Detectors</t>
  </si>
  <si>
    <t>Templestowe CTM</t>
  </si>
  <si>
    <t>Reclassified IT costs to match total in 2013 RIN</t>
  </si>
  <si>
    <t>Reclassifications of IT costs confirmed to meet AER deinition of SCADA</t>
  </si>
  <si>
    <t xml:space="preserve">Network Control </t>
  </si>
  <si>
    <t xml:space="preserve">RTU (Remote Telemetry Units) </t>
  </si>
  <si>
    <t>Aged Pressure Transmitter Replacement</t>
  </si>
  <si>
    <t>Jordan Actuator Replacement</t>
  </si>
  <si>
    <t>Kingfisher RTU Replacement</t>
  </si>
  <si>
    <t xml:space="preserve">TRIO Radio Replacement &amp; Streamlining </t>
  </si>
  <si>
    <t>Point Blue Logger Implementation</t>
  </si>
  <si>
    <t xml:space="preserve">Gas Detector Installation </t>
  </si>
  <si>
    <t>Vortex Flow meter Installation</t>
  </si>
  <si>
    <t>Hazardous zone non-compliant installations - Site Refurbishment</t>
  </si>
  <si>
    <t>ResidetialTariff V</t>
  </si>
  <si>
    <t>Commercial &amp; Industrial Tariff V</t>
  </si>
  <si>
    <t>Includes Opex and Capex to 2015 / Capex only 2016 +</t>
  </si>
  <si>
    <t>Opex (Actuals to 2015 only)</t>
  </si>
  <si>
    <t>Meter team data</t>
  </si>
  <si>
    <t>2012 Reg Acct</t>
  </si>
  <si>
    <t>Residential Meters - CAPEX</t>
  </si>
  <si>
    <t>Residential Meters - OPEX</t>
  </si>
  <si>
    <t>Industrial &amp; Commercial Meters - CAPEX</t>
  </si>
  <si>
    <t>Industrial &amp; Commercial Meters - OPEX</t>
  </si>
  <si>
    <t>RESIDENTIAL</t>
  </si>
  <si>
    <t>INDUSTRIAL &amp; COMMERCIAL</t>
  </si>
  <si>
    <t>COMMERCIAL &amp; INDUSTRIAL</t>
  </si>
  <si>
    <t>Opex</t>
  </si>
  <si>
    <t>TOTAL TEST PROGRAM</t>
  </si>
  <si>
    <t>AL1000</t>
  </si>
  <si>
    <t>AL425</t>
  </si>
  <si>
    <t>AL800</t>
  </si>
  <si>
    <t>DS5AR</t>
  </si>
  <si>
    <t>EML602</t>
  </si>
  <si>
    <t>EML602R</t>
  </si>
  <si>
    <t>EML602RR</t>
  </si>
  <si>
    <t>EML610</t>
  </si>
  <si>
    <t>EML610R</t>
  </si>
  <si>
    <t>EML750</t>
  </si>
  <si>
    <t>RKMR08</t>
  </si>
  <si>
    <t>UGIU10</t>
  </si>
  <si>
    <t>DS-5 AR</t>
  </si>
  <si>
    <t>5 year extension</t>
  </si>
  <si>
    <t>EML 602</t>
  </si>
  <si>
    <t>3 year extension</t>
  </si>
  <si>
    <t>1 year extension</t>
  </si>
  <si>
    <t>EML 602R</t>
  </si>
  <si>
    <t>EML 602RR</t>
  </si>
  <si>
    <t>EML 602IM</t>
  </si>
  <si>
    <t>EML 610</t>
  </si>
  <si>
    <t>UGI U10</t>
  </si>
  <si>
    <t>P&amp;C U6</t>
  </si>
  <si>
    <t>Failed Sample Testing</t>
  </si>
  <si>
    <t>Supply Regulators / Valve Stations Renewal</t>
  </si>
  <si>
    <t>Tools &amp; Equipment</t>
  </si>
  <si>
    <t>System Performance Works</t>
  </si>
  <si>
    <t>Service Renewals</t>
  </si>
  <si>
    <t>Gas Heaters</t>
  </si>
  <si>
    <t>Pigging</t>
  </si>
  <si>
    <t>Customer Recoverable Works</t>
  </si>
  <si>
    <t>Warburton : Gas Extensions - Energy for the Regions</t>
  </si>
  <si>
    <t>Other - as per allowance category</t>
  </si>
  <si>
    <t>Gas Extensions - NGEP</t>
  </si>
  <si>
    <t>N/A</t>
  </si>
  <si>
    <t>ten years</t>
  </si>
  <si>
    <t>BBB+</t>
  </si>
  <si>
    <t>As per Rate of Return Guidelines p20</t>
  </si>
  <si>
    <t>$2.54m</t>
  </si>
  <si>
    <t>$3.46m</t>
  </si>
  <si>
    <t>Not on network</t>
  </si>
  <si>
    <t>Unable to distinguish between PE classes</t>
  </si>
  <si>
    <t>SEE DATA FILE</t>
  </si>
  <si>
    <t>MG does not forecast leak rates</t>
  </si>
  <si>
    <t>2017 Duos v 2016 Retail (ORG) escalated by CPI%</t>
  </si>
  <si>
    <t>2017 Duos v 2016 Retail (AGL) escalated by CPI%</t>
  </si>
  <si>
    <t>Tariff V Residential</t>
  </si>
  <si>
    <t>ORG Domestic Standing offer (Sept'16)</t>
  </si>
  <si>
    <t>2016 Retail (ORG) standing offer escalated by CPI%</t>
  </si>
  <si>
    <t>AGL Small business offer offer (Sept '16)</t>
  </si>
  <si>
    <t>2016 Retail (AGL) small business offer escalated by CPI%</t>
  </si>
  <si>
    <t>Total MG</t>
  </si>
  <si>
    <t>Tariff V</t>
  </si>
  <si>
    <t>Tariff L</t>
  </si>
  <si>
    <t>Tariff D</t>
  </si>
  <si>
    <t>Total MG Metro Zone</t>
  </si>
  <si>
    <t>Tariff V Metro</t>
  </si>
  <si>
    <t>Tariff L Metro</t>
  </si>
  <si>
    <t>Tariff D Metro</t>
  </si>
  <si>
    <t>Total MG YV Zone</t>
  </si>
  <si>
    <t>Tariff V YV</t>
  </si>
  <si>
    <t>Tariff L YV</t>
  </si>
  <si>
    <t>Tariff D YV</t>
  </si>
  <si>
    <t>Total MG SG Zone</t>
  </si>
  <si>
    <t>Tariff V SG</t>
  </si>
  <si>
    <t>Tariff L SG</t>
  </si>
  <si>
    <t>Tariff D SG</t>
  </si>
  <si>
    <t>Multinet Gas Total</t>
  </si>
  <si>
    <t xml:space="preserve">Tariff V </t>
  </si>
  <si>
    <t>Tariff V Residential Total</t>
  </si>
  <si>
    <t>Peak 0 - 0.05</t>
  </si>
  <si>
    <t>Peak 0.05 - 0.1</t>
  </si>
  <si>
    <t>Peak 0.1 -0.15</t>
  </si>
  <si>
    <t>Peak 0.15 - 0.25</t>
  </si>
  <si>
    <t>Peak &gt;0.25</t>
  </si>
  <si>
    <t xml:space="preserve"> Shoulder 0 - 0.05</t>
  </si>
  <si>
    <t xml:space="preserve"> Shoulder 0.05 - 0.1</t>
  </si>
  <si>
    <t xml:space="preserve"> Shoulder 0.1 -0.15</t>
  </si>
  <si>
    <t xml:space="preserve"> Shoulder 0.15 - 0.25</t>
  </si>
  <si>
    <t xml:space="preserve"> Shoulder &gt;0.25</t>
  </si>
  <si>
    <t>Off Peak 0 - 0.05</t>
  </si>
  <si>
    <t>Off Peak 0.05 - 0.1</t>
  </si>
  <si>
    <t>Off Peak 0.1 -0.15</t>
  </si>
  <si>
    <t>Off Peak 0.15 - 0.25</t>
  </si>
  <si>
    <t>Off Peak &gt;0.25</t>
  </si>
  <si>
    <t>Tariff V Non Residential</t>
  </si>
  <si>
    <t xml:space="preserve">Total Tariff V </t>
  </si>
  <si>
    <t>Tariff L Non Residential</t>
  </si>
  <si>
    <t>Peak &lt; 5</t>
  </si>
  <si>
    <t>Peak &gt; 5</t>
  </si>
  <si>
    <t xml:space="preserve"> Shoulder &lt; 5</t>
  </si>
  <si>
    <t xml:space="preserve"> Shoulder &gt; 5</t>
  </si>
  <si>
    <t>Off Peak &lt; 5</t>
  </si>
  <si>
    <t>Off Peak &gt; 5</t>
  </si>
  <si>
    <t>Rolling 12 month max [$/GJ (MHQ/d)]</t>
  </si>
  <si>
    <t>Peak Demand [$/GJ (MHQ/d)]</t>
  </si>
  <si>
    <t>Total Tariff L Consumption</t>
  </si>
  <si>
    <t>0 - 50</t>
  </si>
  <si>
    <t>&gt; 50</t>
  </si>
  <si>
    <t>Total Energy Basis for Billing</t>
  </si>
  <si>
    <t>Total Fixed customer basis</t>
  </si>
  <si>
    <t>Multinet Gas Metro</t>
  </si>
  <si>
    <t>Tariff V Residential Metro</t>
  </si>
  <si>
    <t>Total Tariff V Metro</t>
  </si>
  <si>
    <t>Multinet Gas Yarra Valley</t>
  </si>
  <si>
    <t>Table 28.3.1</t>
  </si>
  <si>
    <t>Tariff V Residential YV</t>
  </si>
  <si>
    <t>Tariff V Non Residential YV</t>
  </si>
  <si>
    <t>Total Tariff V YV</t>
  </si>
  <si>
    <t>Multinet Gas South Gippsland</t>
  </si>
  <si>
    <t>Tariff V Residential SG</t>
  </si>
  <si>
    <t>Tariff V Non Residential SG</t>
  </si>
  <si>
    <t>Hand Held Meter Reading Devices</t>
  </si>
  <si>
    <t>Digital Metering Program - Incremental Costs</t>
  </si>
  <si>
    <t>Daily Metering - Flow Correctors</t>
  </si>
  <si>
    <t>Check</t>
  </si>
  <si>
    <t>Reasonable as these are whole dollars (rounding)</t>
  </si>
  <si>
    <t>Class A customers - UAFG volume</t>
  </si>
  <si>
    <t>Class B customers - UAFG volume</t>
  </si>
  <si>
    <t>Non-PTS networks - UAFG volume</t>
  </si>
  <si>
    <t>2015 UAFG volumes provisional and not verified by AEMO</t>
  </si>
  <si>
    <t>MG SAP</t>
  </si>
  <si>
    <t>Marketing step change</t>
  </si>
  <si>
    <t>NOT RELEVANT FOR BASE STEP TREND</t>
  </si>
  <si>
    <t>not available</t>
  </si>
  <si>
    <t>Approval of forecasst does not exetned to this detail</t>
  </si>
  <si>
    <t>Alpa Adjustment</t>
  </si>
  <si>
    <t xml:space="preserve">Pipeworks </t>
  </si>
  <si>
    <t>http://www.aer.gov.au/system/files/AER%20-%20Decision%20on%20Multinet%20mains%20replacement%20pass%20through%20application%20-%20September%202015.pdf</t>
  </si>
  <si>
    <t>Tariff V - Residential</t>
  </si>
  <si>
    <t>Tariff V - Commercial</t>
  </si>
  <si>
    <t>0 - 0.05 GJ</t>
  </si>
  <si>
    <t>0.05 - 0.1 GJ</t>
  </si>
  <si>
    <t>0.1 - .15 GJ</t>
  </si>
  <si>
    <t>.15 - .25 GJ</t>
  </si>
  <si>
    <t>&gt; 0.25 GJ</t>
  </si>
  <si>
    <t>&lt;5 GJ</t>
  </si>
  <si>
    <t>&gt;5 GJ</t>
  </si>
  <si>
    <t>Fixed</t>
  </si>
  <si>
    <t>Speical meter reading</t>
  </si>
  <si>
    <t>Meter investigation</t>
  </si>
  <si>
    <t>Meter disconnection</t>
  </si>
  <si>
    <t>Meter removal</t>
  </si>
  <si>
    <t>Property and accommodation</t>
  </si>
  <si>
    <t>Updated values</t>
  </si>
  <si>
    <t>Corrections</t>
  </si>
  <si>
    <t>CIC</t>
  </si>
  <si>
    <t xml:space="preserve">1/3 RBA BBB, 1/2 Bloomberg BBB, 1/2 </t>
  </si>
</sst>
</file>

<file path=xl/styles.xml><?xml version="1.0" encoding="utf-8"?>
<styleSheet xmlns="http://schemas.openxmlformats.org/spreadsheetml/2006/main" xmlns:mc="http://schemas.openxmlformats.org/markup-compatibility/2006" xmlns:x14ac="http://schemas.microsoft.com/office/spreadsheetml/2009/9/ac" mc:Ignorable="x14ac">
  <numFmts count="50">
    <numFmt numFmtId="6" formatCode="&quot;$&quot;#,##0;[Red]\-&quot;$&quot;#,##0"/>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0.0%"/>
    <numFmt numFmtId="165" formatCode="_(* #,##0_);_(* \(#,##0\);_(* &quot;-&quot;_);_(@_)"/>
    <numFmt numFmtId="166" formatCode="_-* #,##0.0_-;\-* #,##0.0_-;_-* &quot;-&quot;??_-;_-@_-"/>
    <numFmt numFmtId="167" formatCode="0.0"/>
    <numFmt numFmtId="168" formatCode="_-* #,##0_-;\-* #,##0_-;_-* &quot;-&quot;??_-;_-@_-"/>
    <numFmt numFmtId="169" formatCode="#,##0.0"/>
    <numFmt numFmtId="170" formatCode="_-* #,##0.000_-;\-* #,##0.000_-;_-* &quot;-&quot;??_-;_-@_-"/>
    <numFmt numFmtId="171" formatCode="_([$€-2]* #,##0.00_);_([$€-2]* \(#,##0.00\);_([$€-2]* &quot;-&quot;??_)"/>
    <numFmt numFmtId="172" formatCode="_-* #,##0.000_-;\-* #,##0.000_-;_-* &quot;-&quot;???_-;_-@_-"/>
    <numFmt numFmtId="173" formatCode="_(* #,##0.00_);_(* \(#,##0.00\);_(* &quot;-&quot;??_);_(@_)"/>
    <numFmt numFmtId="174" formatCode="_-* #,##0.000000_-;\-* #,##0.000000_-;_-* &quot;-&quot;??_-;_-@_-"/>
    <numFmt numFmtId="175" formatCode="#,##0.0_ ;\-#,##0.0\ "/>
    <numFmt numFmtId="176" formatCode="&quot;$&quot;#,##0"/>
    <numFmt numFmtId="177" formatCode="&quot;$&quot;0"/>
    <numFmt numFmtId="178" formatCode="#,##0.000"/>
    <numFmt numFmtId="179" formatCode="##\ ###\ ###\ ###\ ##0"/>
    <numFmt numFmtId="180" formatCode="\(0#\)\ ####\ ####"/>
    <numFmt numFmtId="181" formatCode="_(* #,##0.0_);_(* \(#,##0.0\);_(* &quot;-&quot;?_);_(@_)"/>
    <numFmt numFmtId="182" formatCode="0.000000"/>
    <numFmt numFmtId="183" formatCode="#,##0_ ;\(#,##0\)_ "/>
    <numFmt numFmtId="184" formatCode="_(* #,##0_);_(* \(#,##0\);_(* &quot;-&quot;?_);_(@_)"/>
    <numFmt numFmtId="185" formatCode="_-* #,##0.00_-;[Red]\(#,##0.00\)_-;_-* &quot;-&quot;??_-;_-@_-"/>
    <numFmt numFmtId="186" formatCode="mm/dd/yy"/>
    <numFmt numFmtId="187" formatCode="0_);[Red]\(0\)"/>
    <numFmt numFmtId="188" formatCode="#,##0.0_);\(#,##0.0\)"/>
    <numFmt numFmtId="189" formatCode="#,##0_ ;\-#,##0\ "/>
    <numFmt numFmtId="190" formatCode="#,##0;[Red]\(#,##0.0\)"/>
    <numFmt numFmtId="191" formatCode="#,##0_ ;[Red]\(#,##0\)\ "/>
    <numFmt numFmtId="192" formatCode="#,##0.00;\(#,##0.00\)"/>
    <numFmt numFmtId="193" formatCode="_)d\-mmm\-yy_)"/>
    <numFmt numFmtId="194" formatCode="_(#,##0.0_);\(#,##0.0\);_(&quot;-&quot;_)"/>
    <numFmt numFmtId="195" formatCode="_(###0_);\(###0\);_(###0_)"/>
    <numFmt numFmtId="196" formatCode="#,##0.0000_);[Red]\(#,##0.0000\)"/>
    <numFmt numFmtId="197" formatCode="0.000"/>
    <numFmt numFmtId="198" formatCode="_(&quot;$&quot;* #,##0.00_);_(&quot;$&quot;* \(#,##0.00\);_(&quot;$&quot;* &quot;-&quot;??_);_(@_)"/>
    <numFmt numFmtId="199" formatCode="#,##0.000_ ;[Red]\-#,##0.000\ "/>
    <numFmt numFmtId="200" formatCode="#,##0_%_);\(#,##0\)_%;#,##0_%_);@_%_)"/>
    <numFmt numFmtId="201" formatCode="0.00\ \ \x"/>
    <numFmt numFmtId="202" formatCode="0\ \ ;\(0\)\ \ \ "/>
    <numFmt numFmtId="203" formatCode="&quot;$&quot;#,##0\ ;\(&quot;$&quot;#,##0\)"/>
    <numFmt numFmtId="204" formatCode="dd/mm/yy"/>
    <numFmt numFmtId="205" formatCode="_(* #,##0.0_);_(* \(#,##0.0\);_(* &quot;-&quot;?_);@_)"/>
    <numFmt numFmtId="206" formatCode="_-* #,##0.00000_-;\-* #,##0.00000_-;_-* &quot;-&quot;??_-;_-@_-"/>
    <numFmt numFmtId="207" formatCode="_-* #,##0.0000000_-;\-* #,##0.0000000_-;_-* &quot;-&quot;??_-;_-@_-"/>
    <numFmt numFmtId="208" formatCode="_-* #,##0.00_-;\-* #,##0.00_-;_-* &quot;-&quot;_-;_-@_-"/>
  </numFmts>
  <fonts count="203">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Times New Roman"/>
      <family val="1"/>
    </font>
    <font>
      <sz val="10"/>
      <name val="Times New Roman"/>
      <family val="1"/>
    </font>
    <font>
      <b/>
      <sz val="10"/>
      <name val="Arial"/>
      <family val="2"/>
    </font>
    <font>
      <sz val="10"/>
      <name val="Arial"/>
      <family val="2"/>
    </font>
    <font>
      <sz val="8"/>
      <name val="Arial"/>
      <family val="2"/>
    </font>
    <font>
      <u/>
      <sz val="10"/>
      <color indexed="12"/>
      <name val="Arial"/>
      <family val="2"/>
    </font>
    <font>
      <sz val="8"/>
      <name val="Arial"/>
      <family val="2"/>
    </font>
    <font>
      <b/>
      <sz val="12"/>
      <name val="Arial"/>
      <family val="2"/>
    </font>
    <font>
      <b/>
      <sz val="10"/>
      <color indexed="9"/>
      <name val="Arial"/>
      <family val="2"/>
    </font>
    <font>
      <sz val="10"/>
      <color indexed="9"/>
      <name val="Arial"/>
      <family val="2"/>
    </font>
    <font>
      <b/>
      <sz val="14"/>
      <name val="Arial"/>
      <family val="2"/>
    </font>
    <font>
      <b/>
      <sz val="16"/>
      <color indexed="9"/>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b/>
      <sz val="11"/>
      <color indexed="8"/>
      <name val="Calibri"/>
      <family val="2"/>
    </font>
    <font>
      <i/>
      <sz val="11"/>
      <color indexed="23"/>
      <name val="Calibri"/>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62"/>
      <name val="Cambria"/>
      <family val="2"/>
    </font>
    <font>
      <sz val="11"/>
      <color indexed="10"/>
      <name val="Calibri"/>
      <family val="2"/>
    </font>
    <font>
      <sz val="10"/>
      <color indexed="51"/>
      <name val="Arial"/>
      <family val="2"/>
    </font>
    <font>
      <b/>
      <sz val="10"/>
      <color indexed="51"/>
      <name val="Arial"/>
      <family val="2"/>
    </font>
    <font>
      <sz val="16"/>
      <color indexed="51"/>
      <name val="Arial Black"/>
      <family val="2"/>
    </font>
    <font>
      <b/>
      <sz val="10"/>
      <name val="Arial Black"/>
      <family val="2"/>
    </font>
    <font>
      <sz val="16"/>
      <color indexed="51"/>
      <name val="Arial"/>
      <family val="2"/>
    </font>
    <font>
      <sz val="16"/>
      <name val="Arial"/>
      <family val="2"/>
    </font>
    <font>
      <b/>
      <sz val="10"/>
      <color indexed="62"/>
      <name val="Arial"/>
      <family val="2"/>
    </font>
    <font>
      <b/>
      <sz val="20"/>
      <color indexed="62"/>
      <name val="Arial"/>
      <family val="2"/>
    </font>
    <font>
      <sz val="10"/>
      <color indexed="62"/>
      <name val="Arial"/>
      <family val="2"/>
    </font>
    <font>
      <u/>
      <sz val="10"/>
      <name val="Arial"/>
      <family val="2"/>
    </font>
    <font>
      <sz val="10"/>
      <color indexed="12"/>
      <name val="Arial"/>
      <family val="2"/>
    </font>
    <font>
      <sz val="12"/>
      <name val="Arial"/>
      <family val="2"/>
    </font>
    <font>
      <sz val="10"/>
      <color theme="1"/>
      <name val="Arial"/>
      <family val="2"/>
    </font>
    <font>
      <sz val="10"/>
      <color rgb="FFFFCC00"/>
      <name val="Arial"/>
      <family val="2"/>
    </font>
    <font>
      <b/>
      <sz val="10"/>
      <color theme="0"/>
      <name val="Arial"/>
      <family val="2"/>
    </font>
    <font>
      <sz val="14"/>
      <name val="Arial"/>
      <family val="2"/>
    </font>
    <font>
      <sz val="16"/>
      <name val="Arial Black"/>
      <family val="2"/>
    </font>
    <font>
      <b/>
      <sz val="10"/>
      <color theme="1"/>
      <name val="Arial"/>
      <family val="2"/>
    </font>
    <font>
      <b/>
      <sz val="10"/>
      <color rgb="FF002060"/>
      <name val="Arial"/>
      <family val="2"/>
    </font>
    <font>
      <b/>
      <sz val="16"/>
      <color theme="1"/>
      <name val="Arial Black"/>
      <family val="2"/>
    </font>
    <font>
      <b/>
      <sz val="16"/>
      <color indexed="51"/>
      <name val="Arial"/>
      <family val="2"/>
    </font>
    <font>
      <sz val="10"/>
      <color rgb="FFFFFFFF"/>
      <name val="Arial"/>
      <family val="2"/>
    </font>
    <font>
      <sz val="10"/>
      <color rgb="FFFFCC00"/>
      <name val="Arial Black"/>
      <family val="2"/>
    </font>
    <font>
      <b/>
      <sz val="16"/>
      <color theme="1"/>
      <name val="Arial"/>
      <family val="2"/>
    </font>
    <font>
      <b/>
      <sz val="16"/>
      <name val="Arial"/>
      <family val="2"/>
    </font>
    <font>
      <sz val="11"/>
      <color theme="1"/>
      <name val="Arial"/>
      <family val="2"/>
    </font>
    <font>
      <b/>
      <sz val="11"/>
      <color theme="1"/>
      <name val="Arial"/>
      <family val="2"/>
    </font>
    <font>
      <b/>
      <sz val="10"/>
      <color indexed="10"/>
      <name val="Arial"/>
      <family val="2"/>
    </font>
    <font>
      <b/>
      <sz val="9"/>
      <color indexed="10"/>
      <name val="Arial"/>
      <family val="2"/>
    </font>
    <font>
      <b/>
      <sz val="11"/>
      <color rgb="FF002060"/>
      <name val="Arial"/>
      <family val="2"/>
    </font>
    <font>
      <b/>
      <sz val="11"/>
      <name val="Arial"/>
      <family val="2"/>
    </font>
    <font>
      <b/>
      <sz val="12"/>
      <color theme="1"/>
      <name val="Arial"/>
      <family val="2"/>
    </font>
    <font>
      <b/>
      <sz val="11"/>
      <color theme="0"/>
      <name val="Arial"/>
      <family val="2"/>
    </font>
    <font>
      <b/>
      <sz val="16"/>
      <name val="Arial Black"/>
      <family val="2"/>
    </font>
    <font>
      <b/>
      <sz val="11"/>
      <name val="Calibri"/>
      <family val="2"/>
    </font>
    <font>
      <b/>
      <sz val="18"/>
      <color indexed="51"/>
      <name val="Arial"/>
      <family val="2"/>
    </font>
    <font>
      <b/>
      <sz val="18"/>
      <color indexed="52"/>
      <name val="Arial"/>
      <family val="2"/>
    </font>
    <font>
      <b/>
      <sz val="12"/>
      <color indexed="51"/>
      <name val="Arial"/>
      <family val="2"/>
    </font>
    <font>
      <b/>
      <sz val="16"/>
      <color indexed="52"/>
      <name val="Arial"/>
      <family val="2"/>
    </font>
    <font>
      <b/>
      <sz val="18"/>
      <color indexed="62"/>
      <name val="Arial"/>
      <family val="2"/>
    </font>
    <font>
      <sz val="20"/>
      <color indexed="9"/>
      <name val="Arial"/>
      <family val="2"/>
    </font>
    <font>
      <sz val="16"/>
      <color rgb="FFFFCC00"/>
      <name val="Arial"/>
      <family val="2"/>
    </font>
    <font>
      <b/>
      <sz val="12"/>
      <color theme="0"/>
      <name val="Arial"/>
      <family val="2"/>
    </font>
    <font>
      <b/>
      <sz val="14"/>
      <color theme="0"/>
      <name val="Arial"/>
      <family val="2"/>
    </font>
    <font>
      <b/>
      <sz val="11"/>
      <name val="Calibri"/>
      <family val="2"/>
      <scheme val="minor"/>
    </font>
    <font>
      <b/>
      <sz val="10"/>
      <name val="Calibri"/>
      <family val="2"/>
      <scheme val="minor"/>
    </font>
    <font>
      <i/>
      <sz val="10"/>
      <name val="Arial"/>
      <family val="2"/>
    </font>
    <font>
      <b/>
      <sz val="10"/>
      <color indexed="51"/>
      <name val="Arial Black"/>
      <family val="2"/>
    </font>
    <font>
      <b/>
      <sz val="16"/>
      <color theme="0"/>
      <name val="Arial"/>
      <family val="2"/>
    </font>
    <font>
      <b/>
      <sz val="10"/>
      <color rgb="FF000000"/>
      <name val="Arial"/>
      <family val="2"/>
    </font>
    <font>
      <b/>
      <sz val="10"/>
      <color rgb="FFFF0000"/>
      <name val="Arial"/>
      <family val="2"/>
    </font>
    <font>
      <sz val="10"/>
      <color rgb="FFFF0000"/>
      <name val="Arial"/>
      <family val="2"/>
    </font>
    <font>
      <sz val="11"/>
      <name val="Arial"/>
      <family val="2"/>
    </font>
    <font>
      <sz val="11"/>
      <color theme="0"/>
      <name val="Calibri"/>
      <family val="2"/>
      <scheme val="minor"/>
    </font>
    <font>
      <vertAlign val="subscript"/>
      <sz val="10"/>
      <name val="Arial"/>
      <family val="2"/>
    </font>
    <font>
      <b/>
      <sz val="11"/>
      <color theme="1"/>
      <name val="Calibri"/>
      <family val="2"/>
      <scheme val="minor"/>
    </font>
    <font>
      <sz val="12"/>
      <color theme="1"/>
      <name val="Calibri"/>
      <family val="2"/>
      <scheme val="minor"/>
    </font>
    <font>
      <b/>
      <sz val="12"/>
      <color indexed="8"/>
      <name val="Calibri"/>
      <family val="2"/>
    </font>
    <font>
      <i/>
      <sz val="11"/>
      <color theme="1"/>
      <name val="Arial"/>
      <family val="2"/>
    </font>
    <font>
      <sz val="5"/>
      <name val="Arial"/>
      <family val="2"/>
    </font>
    <font>
      <vertAlign val="superscript"/>
      <sz val="5"/>
      <name val="Arial"/>
      <family val="2"/>
    </font>
    <font>
      <sz val="11"/>
      <color rgb="FFFF0000"/>
      <name val="Calibri"/>
      <family val="2"/>
      <scheme val="minor"/>
    </font>
    <font>
      <sz val="11"/>
      <name val="Calibri"/>
      <family val="2"/>
      <scheme val="minor"/>
    </font>
    <font>
      <sz val="10"/>
      <name val="Helv"/>
      <charset val="204"/>
    </font>
    <font>
      <sz val="14"/>
      <name val="System"/>
      <family val="2"/>
    </font>
    <font>
      <sz val="12"/>
      <name val="Calibri"/>
      <family val="2"/>
      <scheme val="minor"/>
    </font>
    <font>
      <sz val="10"/>
      <name val="Calibri"/>
      <family val="2"/>
      <scheme val="minor"/>
    </font>
    <font>
      <b/>
      <sz val="22"/>
      <name val="Calibri"/>
      <family val="2"/>
      <scheme val="minor"/>
    </font>
    <font>
      <i/>
      <sz val="11"/>
      <name val="Calibri"/>
      <family val="2"/>
      <scheme val="minor"/>
    </font>
    <font>
      <sz val="9"/>
      <name val="AGaramond"/>
    </font>
    <font>
      <sz val="10"/>
      <name val="Helvetica"/>
      <family val="2"/>
    </font>
    <font>
      <sz val="10"/>
      <color indexed="12"/>
      <name val="Helvetica"/>
      <family val="2"/>
    </font>
    <font>
      <sz val="10"/>
      <name val="MS Sans Serif"/>
      <family val="2"/>
    </font>
    <font>
      <sz val="10"/>
      <color indexed="24"/>
      <name val="Arial"/>
      <family val="2"/>
    </font>
    <font>
      <sz val="9"/>
      <name val="GillSans"/>
      <family val="2"/>
    </font>
    <font>
      <sz val="9"/>
      <name val="GillSans Light"/>
      <family val="2"/>
    </font>
    <font>
      <b/>
      <sz val="9"/>
      <name val="Arial"/>
      <family val="2"/>
    </font>
    <font>
      <b/>
      <sz val="8"/>
      <name val="Arial"/>
      <family val="2"/>
    </font>
    <font>
      <b/>
      <sz val="8.5"/>
      <name val="Univers 65"/>
      <family val="2"/>
    </font>
    <font>
      <u/>
      <sz val="11"/>
      <color indexed="12"/>
      <name val="Calibri"/>
      <family val="2"/>
    </font>
    <font>
      <b/>
      <sz val="10"/>
      <color indexed="56"/>
      <name val="Wingdings"/>
      <charset val="2"/>
    </font>
    <font>
      <b/>
      <u/>
      <sz val="8"/>
      <color indexed="56"/>
      <name val="Arial"/>
      <family val="2"/>
    </font>
    <font>
      <sz val="12"/>
      <color indexed="14"/>
      <name val="Arial"/>
      <family val="2"/>
    </font>
    <font>
      <sz val="8"/>
      <name val="Palatino"/>
      <family val="1"/>
    </font>
    <font>
      <sz val="8.5"/>
      <name val="Univers 55"/>
      <family val="2"/>
    </font>
    <font>
      <sz val="10"/>
      <color indexed="18"/>
      <name val="Times New Roman"/>
      <family val="1"/>
    </font>
    <font>
      <b/>
      <sz val="10"/>
      <name val="MS Sans Serif"/>
      <family val="2"/>
    </font>
    <font>
      <sz val="9"/>
      <color indexed="21"/>
      <name val="Helvetica-Black"/>
    </font>
    <font>
      <b/>
      <sz val="9"/>
      <name val="Palatino"/>
      <family val="1"/>
    </font>
    <font>
      <sz val="7"/>
      <name val="Palatino"/>
      <family val="1"/>
    </font>
    <font>
      <sz val="12"/>
      <name val="Palatino"/>
      <family val="1"/>
    </font>
    <font>
      <sz val="11"/>
      <name val="Helvetica-Black"/>
    </font>
    <font>
      <sz val="12"/>
      <color indexed="12"/>
      <name val="Arial MT"/>
    </font>
    <font>
      <b/>
      <u/>
      <sz val="9.5"/>
      <color indexed="56"/>
      <name val="Arial"/>
      <family val="2"/>
    </font>
    <font>
      <u/>
      <sz val="8"/>
      <color indexed="56"/>
      <name val="Arial"/>
      <family val="2"/>
    </font>
    <font>
      <sz val="10"/>
      <name val="Verdana"/>
      <family val="2"/>
    </font>
    <font>
      <sz val="20"/>
      <color rgb="FFFF0000"/>
      <name val="Arial"/>
      <family val="2"/>
    </font>
    <font>
      <b/>
      <i/>
      <sz val="10"/>
      <name val="Arial"/>
      <family val="2"/>
    </font>
    <font>
      <sz val="10"/>
      <color rgb="FF000000"/>
      <name val="Arial"/>
      <family val="2"/>
    </font>
    <font>
      <b/>
      <sz val="16"/>
      <color theme="0" tint="-4.9989318521683403E-2"/>
      <name val="Arial"/>
      <family val="2"/>
    </font>
    <font>
      <b/>
      <sz val="10"/>
      <color theme="0" tint="-4.9989318521683403E-2"/>
      <name val="Arial"/>
      <family val="2"/>
    </font>
    <font>
      <b/>
      <i/>
      <sz val="12"/>
      <color theme="0"/>
      <name val="Arial"/>
      <family val="2"/>
    </font>
    <font>
      <sz val="10"/>
      <color theme="4" tint="-0.249977111117893"/>
      <name val="Arial"/>
      <family val="2"/>
    </font>
    <font>
      <sz val="10"/>
      <color theme="0"/>
      <name val="Arial"/>
      <family val="2"/>
    </font>
    <font>
      <b/>
      <sz val="12"/>
      <color rgb="FFFF0000"/>
      <name val="Calibri"/>
      <family val="2"/>
      <scheme val="minor"/>
    </font>
    <font>
      <b/>
      <sz val="10"/>
      <color rgb="FFFFCC00"/>
      <name val="Arial"/>
      <family val="2"/>
    </font>
    <font>
      <b/>
      <sz val="10"/>
      <color theme="1" tint="0.14999847407452621"/>
      <name val="Arial"/>
      <family val="2"/>
    </font>
    <font>
      <sz val="10"/>
      <color theme="4" tint="0.59999389629810485"/>
      <name val="Arial"/>
      <family val="2"/>
    </font>
    <font>
      <sz val="10"/>
      <color theme="0" tint="-0.499984740745262"/>
      <name val="Arial"/>
      <family val="2"/>
    </font>
    <font>
      <b/>
      <sz val="10"/>
      <color theme="0" tint="-0.499984740745262"/>
      <name val="Arial"/>
      <family val="2"/>
    </font>
    <font>
      <b/>
      <sz val="11"/>
      <color rgb="FFFF0000"/>
      <name val="Arial"/>
      <family val="2"/>
    </font>
    <font>
      <sz val="11"/>
      <color theme="5" tint="-0.249977111117893"/>
      <name val="Arial"/>
      <family val="2"/>
    </font>
    <font>
      <b/>
      <sz val="11"/>
      <color theme="5" tint="-0.249977111117893"/>
      <name val="Arial"/>
      <family val="2"/>
    </font>
    <font>
      <b/>
      <sz val="16"/>
      <color rgb="FFFF0000"/>
      <name val="Arial"/>
      <family val="2"/>
    </font>
    <font>
      <sz val="10"/>
      <color theme="5" tint="-0.249977111117893"/>
      <name val="Arial"/>
      <family val="2"/>
    </font>
    <font>
      <u/>
      <sz val="11"/>
      <color theme="10"/>
      <name val="Calibri"/>
      <family val="2"/>
      <scheme val="minor"/>
    </font>
    <font>
      <b/>
      <sz val="9"/>
      <color indexed="9"/>
      <name val="Arial"/>
      <family val="2"/>
    </font>
    <font>
      <sz val="9"/>
      <name val="Arial"/>
      <family val="2"/>
    </font>
    <font>
      <b/>
      <sz val="12"/>
      <color theme="0"/>
      <name val="Calibri"/>
      <family val="2"/>
      <scheme val="minor"/>
    </font>
    <font>
      <sz val="10"/>
      <color theme="0" tint="-0.34998626667073579"/>
      <name val="Arial"/>
      <family val="2"/>
    </font>
    <font>
      <b/>
      <sz val="14"/>
      <color theme="1"/>
      <name val="Arial"/>
      <family val="2"/>
    </font>
    <font>
      <sz val="14"/>
      <color rgb="FFFF0000"/>
      <name val="Arial"/>
      <family val="2"/>
    </font>
    <font>
      <b/>
      <sz val="12"/>
      <color theme="1"/>
      <name val="Calibri"/>
      <family val="2"/>
      <scheme val="minor"/>
    </font>
    <font>
      <sz val="10"/>
      <color theme="7" tint="-0.249977111117893"/>
      <name val="Arial"/>
      <family val="2"/>
    </font>
    <font>
      <sz val="11"/>
      <color theme="8" tint="-0.249977111117893"/>
      <name val="Arial"/>
      <family val="2"/>
    </font>
    <font>
      <sz val="10"/>
      <color indexed="8"/>
      <name val="Arial"/>
      <family val="2"/>
    </font>
    <font>
      <sz val="11"/>
      <color rgb="FF44546A"/>
      <name val="Calibri"/>
      <family val="2"/>
      <scheme val="minor"/>
    </font>
    <font>
      <sz val="11"/>
      <color theme="0" tint="-0.34998626667073579"/>
      <name val="Arial"/>
      <family val="2"/>
    </font>
    <font>
      <sz val="11"/>
      <color theme="1"/>
      <name val="Calibri"/>
      <family val="2"/>
    </font>
    <font>
      <b/>
      <sz val="11"/>
      <color rgb="FF000000"/>
      <name val="Arial"/>
      <family val="2"/>
    </font>
    <font>
      <sz val="11"/>
      <color rgb="FF000000"/>
      <name val="Arial"/>
      <family val="2"/>
    </font>
    <font>
      <sz val="10"/>
      <color rgb="FF808080"/>
      <name val="Arial"/>
      <family val="2"/>
    </font>
    <font>
      <sz val="9"/>
      <color rgb="FF808080"/>
      <name val="Arial"/>
      <family val="2"/>
    </font>
    <font>
      <b/>
      <sz val="9"/>
      <color rgb="FF000000"/>
      <name val="Tahoma"/>
      <family val="2"/>
    </font>
    <font>
      <sz val="9"/>
      <color rgb="FF000000"/>
      <name val="Tahoma"/>
      <family val="2"/>
    </font>
    <font>
      <b/>
      <sz val="12"/>
      <color indexed="18"/>
      <name val="Arial"/>
      <family val="2"/>
    </font>
    <font>
      <sz val="10"/>
      <color indexed="18"/>
      <name val="Arial"/>
      <family val="2"/>
    </font>
    <font>
      <u/>
      <sz val="10"/>
      <color rgb="FFFF0000"/>
      <name val="Arial"/>
      <family val="2"/>
    </font>
    <font>
      <sz val="11"/>
      <color indexed="9"/>
      <name val="Arial"/>
      <family val="2"/>
    </font>
    <font>
      <sz val="10"/>
      <name val="Arial"/>
      <family val="2"/>
    </font>
    <font>
      <sz val="10"/>
      <name val="Helvetica"/>
    </font>
    <font>
      <sz val="10"/>
      <color indexed="12"/>
      <name val="Helvetica"/>
    </font>
    <font>
      <sz val="10"/>
      <name val="MS Sans Serif"/>
    </font>
    <font>
      <sz val="10"/>
      <color indexed="24"/>
      <name val="Arial"/>
      <family val="2"/>
    </font>
    <font>
      <sz val="9"/>
      <name val="GillSans"/>
    </font>
    <font>
      <sz val="9"/>
      <name val="GillSans Light"/>
    </font>
    <font>
      <sz val="12"/>
      <color indexed="14"/>
      <name val="Arial"/>
      <family val="2"/>
    </font>
    <font>
      <b/>
      <sz val="10"/>
      <name val="MS Sans Serif"/>
    </font>
    <font>
      <b/>
      <i/>
      <sz val="8"/>
      <name val="Helv"/>
    </font>
    <font>
      <sz val="10"/>
      <name val="Arial Narrow"/>
      <family val="2"/>
    </font>
    <font>
      <sz val="9"/>
      <name val="Arial"/>
      <family val="2"/>
    </font>
    <font>
      <b/>
      <sz val="9"/>
      <color indexed="24"/>
      <name val="Arial"/>
      <family val="2"/>
    </font>
    <font>
      <b/>
      <sz val="11"/>
      <color indexed="24"/>
      <name val="Arial"/>
      <family val="2"/>
    </font>
    <font>
      <b/>
      <sz val="15"/>
      <color indexed="56"/>
      <name val="Calibri"/>
      <family val="2"/>
    </font>
    <font>
      <b/>
      <sz val="13"/>
      <color indexed="56"/>
      <name val="Calibri"/>
      <family val="2"/>
    </font>
    <font>
      <b/>
      <sz val="11"/>
      <color indexed="56"/>
      <name val="Calibri"/>
      <family val="2"/>
    </font>
    <font>
      <sz val="10"/>
      <color indexed="8"/>
      <name val="Arial"/>
      <family val="2"/>
    </font>
    <font>
      <b/>
      <sz val="18"/>
      <color indexed="56"/>
      <name val="Cambria"/>
      <family val="2"/>
    </font>
    <font>
      <sz val="10"/>
      <name val="Arial Narrow"/>
      <family val="2"/>
    </font>
    <font>
      <b/>
      <sz val="9"/>
      <color indexed="24"/>
      <name val="Arial"/>
      <family val="2"/>
    </font>
    <font>
      <b/>
      <sz val="11"/>
      <color indexed="24"/>
      <name val="Arial"/>
      <family val="2"/>
    </font>
    <font>
      <sz val="11"/>
      <color rgb="FF9C0006"/>
      <name val="Calibri"/>
      <family val="2"/>
      <scheme val="minor"/>
    </font>
    <font>
      <b/>
      <sz val="18"/>
      <color theme="3"/>
      <name val="Cambria"/>
      <family val="2"/>
      <scheme val="major"/>
    </font>
    <font>
      <sz val="16"/>
      <color rgb="FFFF0000"/>
      <name val="Arial"/>
      <family val="2"/>
    </font>
    <font>
      <b/>
      <sz val="14"/>
      <color rgb="FFFF0000"/>
      <name val="Arial"/>
      <family val="2"/>
    </font>
    <font>
      <b/>
      <sz val="12"/>
      <color rgb="FFFF0000"/>
      <name val="Arial"/>
      <family val="2"/>
    </font>
  </fonts>
  <fills count="119">
    <fill>
      <patternFill patternType="none"/>
    </fill>
    <fill>
      <patternFill patternType="gray125"/>
    </fill>
    <fill>
      <patternFill patternType="solid">
        <fgColor indexed="38"/>
      </patternFill>
    </fill>
    <fill>
      <patternFill patternType="solid">
        <fgColor indexed="47"/>
      </patternFill>
    </fill>
    <fill>
      <patternFill patternType="solid">
        <fgColor indexed="26"/>
      </patternFill>
    </fill>
    <fill>
      <patternFill patternType="solid">
        <fgColor indexed="9"/>
      </patternFill>
    </fill>
    <fill>
      <patternFill patternType="solid">
        <fgColor indexed="43"/>
      </patternFill>
    </fill>
    <fill>
      <patternFill patternType="solid">
        <fgColor indexed="22"/>
      </patternFill>
    </fill>
    <fill>
      <patternFill patternType="solid">
        <fgColor indexed="49"/>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45"/>
      </patternFill>
    </fill>
    <fill>
      <patternFill patternType="solid">
        <fgColor indexed="22"/>
        <bgColor indexed="64"/>
      </patternFill>
    </fill>
    <fill>
      <patternFill patternType="solid">
        <fgColor indexed="55"/>
      </patternFill>
    </fill>
    <fill>
      <patternFill patternType="solid">
        <fgColor indexed="42"/>
      </patternFill>
    </fill>
    <fill>
      <patternFill patternType="solid">
        <fgColor indexed="27"/>
        <bgColor indexed="64"/>
      </patternFill>
    </fill>
    <fill>
      <patternFill patternType="solid">
        <fgColor indexed="26"/>
        <bgColor indexed="64"/>
      </patternFill>
    </fill>
    <fill>
      <patternFill patternType="solid">
        <fgColor indexed="8"/>
        <bgColor indexed="64"/>
      </patternFill>
    </fill>
    <fill>
      <patternFill patternType="solid">
        <fgColor indexed="9"/>
        <bgColor indexed="64"/>
      </patternFill>
    </fill>
    <fill>
      <patternFill patternType="solid">
        <fgColor indexed="41"/>
        <bgColor indexed="64"/>
      </patternFill>
    </fill>
    <fill>
      <patternFill patternType="lightUp">
        <bgColor indexed="22"/>
      </patternFill>
    </fill>
    <fill>
      <patternFill patternType="solid">
        <fgColor indexed="62"/>
        <bgColor indexed="64"/>
      </patternFill>
    </fill>
    <fill>
      <patternFill patternType="solid">
        <fgColor indexed="47"/>
        <bgColor indexed="64"/>
      </patternFill>
    </fill>
    <fill>
      <patternFill patternType="solid">
        <fgColor rgb="FFFFFFCC"/>
        <bgColor indexed="64"/>
      </patternFill>
    </fill>
    <fill>
      <patternFill patternType="solid">
        <fgColor rgb="FF00B0F0"/>
        <bgColor indexed="64"/>
      </patternFill>
    </fill>
    <fill>
      <patternFill patternType="solid">
        <fgColor theme="1"/>
        <bgColor indexed="64"/>
      </patternFill>
    </fill>
    <fill>
      <patternFill patternType="solid">
        <fgColor rgb="FFFFFFCC"/>
        <bgColor rgb="FF000000"/>
      </patternFill>
    </fill>
    <fill>
      <patternFill patternType="solid">
        <fgColor theme="0" tint="-0.249977111117893"/>
        <bgColor indexed="64"/>
      </patternFill>
    </fill>
    <fill>
      <patternFill patternType="solid">
        <fgColor theme="0" tint="-0.34998626667073579"/>
        <bgColor indexed="64"/>
      </patternFill>
    </fill>
    <fill>
      <patternFill patternType="solid">
        <fgColor theme="0" tint="-0.14999847407452621"/>
        <bgColor indexed="64"/>
      </patternFill>
    </fill>
    <fill>
      <patternFill patternType="solid">
        <fgColor theme="8" tint="0.39997558519241921"/>
        <bgColor indexed="64"/>
      </patternFill>
    </fill>
    <fill>
      <patternFill patternType="solid">
        <fgColor theme="0"/>
        <bgColor indexed="64"/>
      </patternFill>
    </fill>
    <fill>
      <patternFill patternType="solid">
        <fgColor theme="0" tint="-0.499984740745262"/>
        <bgColor indexed="64"/>
      </patternFill>
    </fill>
    <fill>
      <patternFill patternType="solid">
        <fgColor theme="4" tint="-0.249977111117893"/>
        <bgColor indexed="64"/>
      </patternFill>
    </fill>
    <fill>
      <patternFill patternType="solid">
        <fgColor theme="4" tint="0.59999389629810485"/>
        <bgColor indexed="64"/>
      </patternFill>
    </fill>
    <fill>
      <patternFill patternType="solid">
        <fgColor indexed="44"/>
        <bgColor indexed="64"/>
      </patternFill>
    </fill>
    <fill>
      <patternFill patternType="solid">
        <fgColor theme="0" tint="-0.14996795556505021"/>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4" tint="0.39997558519241921"/>
        <bgColor indexed="64"/>
      </patternFill>
    </fill>
    <fill>
      <patternFill patternType="solid">
        <fgColor theme="4" tint="0.59996337778862885"/>
        <bgColor indexed="64"/>
      </patternFill>
    </fill>
    <fill>
      <patternFill patternType="solid">
        <fgColor theme="0" tint="-4.9989318521683403E-2"/>
        <bgColor indexed="64"/>
      </patternFill>
    </fill>
    <fill>
      <patternFill patternType="solid">
        <fgColor theme="2" tint="-9.9978637043366805E-2"/>
        <bgColor indexed="64"/>
      </patternFill>
    </fill>
    <fill>
      <patternFill patternType="solid">
        <fgColor theme="2" tint="-0.499984740745262"/>
        <bgColor indexed="64"/>
      </patternFill>
    </fill>
    <fill>
      <patternFill patternType="solid">
        <fgColor theme="2" tint="-0.249977111117893"/>
        <bgColor indexed="64"/>
      </patternFill>
    </fill>
    <fill>
      <patternFill patternType="solid">
        <fgColor theme="4" tint="0.79998168889431442"/>
        <bgColor indexed="64"/>
      </patternFill>
    </fill>
    <fill>
      <patternFill patternType="lightUp">
        <bgColor theme="0" tint="-0.249977111117893"/>
      </patternFill>
    </fill>
    <fill>
      <patternFill patternType="solid">
        <fgColor theme="3" tint="0.39997558519241921"/>
        <bgColor indexed="64"/>
      </patternFill>
    </fill>
    <fill>
      <patternFill patternType="solid">
        <fgColor theme="4" tint="0.39994506668294322"/>
        <bgColor indexed="64"/>
      </patternFill>
    </fill>
    <fill>
      <patternFill patternType="lightUp">
        <bgColor theme="0" tint="-0.499984740745262"/>
      </patternFill>
    </fill>
    <fill>
      <patternFill patternType="solid">
        <fgColor theme="0" tint="-0.34998626667073579"/>
        <bgColor rgb="FF000000"/>
      </patternFill>
    </fill>
    <fill>
      <patternFill patternType="solid">
        <fgColor theme="4" tint="0.39997558519241921"/>
        <bgColor rgb="FF000000"/>
      </patternFill>
    </fill>
    <fill>
      <patternFill patternType="solid">
        <fgColor theme="4" tint="0.59999389629810485"/>
        <bgColor rgb="FF000000"/>
      </patternFill>
    </fill>
    <fill>
      <patternFill patternType="solid">
        <fgColor theme="7" tint="0.79998168889431442"/>
        <bgColor indexed="64"/>
      </patternFill>
    </fill>
    <fill>
      <patternFill patternType="solid">
        <fgColor theme="3" tint="0.59999389629810485"/>
        <bgColor indexed="64"/>
      </patternFill>
    </fill>
    <fill>
      <patternFill patternType="solid">
        <fgColor theme="1" tint="0.249977111117893"/>
        <bgColor indexed="64"/>
      </patternFill>
    </fill>
    <fill>
      <patternFill patternType="solid">
        <fgColor indexed="31"/>
        <bgColor indexed="31"/>
      </patternFill>
    </fill>
    <fill>
      <patternFill patternType="solid">
        <fgColor indexed="44"/>
        <bgColor indexed="44"/>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42"/>
        <bgColor indexed="42"/>
      </patternFill>
    </fill>
    <fill>
      <patternFill patternType="solid">
        <fgColor indexed="27"/>
        <bgColor indexed="27"/>
      </patternFill>
    </fill>
    <fill>
      <patternFill patternType="solid">
        <fgColor indexed="47"/>
        <bgColor indexed="47"/>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42"/>
        <bgColor indexed="64"/>
      </patternFill>
    </fill>
    <fill>
      <patternFill patternType="mediumGray">
        <fgColor indexed="22"/>
      </patternFill>
    </fill>
    <fill>
      <patternFill patternType="solid">
        <fgColor theme="0" tint="-0.14990691854609822"/>
        <bgColor indexed="64"/>
      </patternFill>
    </fill>
    <fill>
      <patternFill patternType="solid">
        <fgColor rgb="FF366092"/>
        <bgColor rgb="FF000000"/>
      </patternFill>
    </fill>
    <fill>
      <patternFill patternType="solid">
        <fgColor rgb="FFFFFFFF"/>
        <bgColor rgb="FF000000"/>
      </patternFill>
    </fill>
    <fill>
      <patternFill patternType="solid">
        <fgColor theme="7" tint="0.59999389629810485"/>
        <bgColor indexed="64"/>
      </patternFill>
    </fill>
    <fill>
      <patternFill patternType="solid">
        <fgColor theme="4" tint="0.79998168889431442"/>
        <bgColor indexed="65"/>
      </patternFill>
    </fill>
    <fill>
      <patternFill patternType="solid">
        <fgColor theme="4" tint="0.59999389629810485"/>
        <bgColor indexed="65"/>
      </patternFill>
    </fill>
    <fill>
      <patternFill patternType="gray0625">
        <bgColor indexed="44"/>
      </patternFill>
    </fill>
    <fill>
      <patternFill patternType="solid">
        <fgColor theme="4" tint="-0.499984740745262"/>
        <bgColor indexed="64"/>
      </patternFill>
    </fill>
    <fill>
      <patternFill patternType="solid">
        <fgColor theme="5" tint="0.79998168889431442"/>
        <bgColor indexed="64"/>
      </patternFill>
    </fill>
    <fill>
      <patternFill patternType="solid">
        <fgColor theme="8" tint="0.59999389629810485"/>
        <bgColor indexed="64"/>
      </patternFill>
    </fill>
    <fill>
      <patternFill patternType="solid">
        <fgColor rgb="FFFFFF99"/>
        <bgColor indexed="64"/>
      </patternFill>
    </fill>
    <fill>
      <patternFill patternType="solid">
        <fgColor theme="8" tint="0.79998168889431442"/>
        <bgColor indexed="64"/>
      </patternFill>
    </fill>
    <fill>
      <patternFill patternType="solid">
        <fgColor theme="6" tint="0.79998168889431442"/>
        <bgColor indexed="64"/>
      </patternFill>
    </fill>
    <fill>
      <patternFill patternType="solid">
        <fgColor rgb="FFDAEEF3"/>
        <bgColor rgb="FF000000"/>
      </patternFill>
    </fill>
    <fill>
      <patternFill patternType="solid">
        <fgColor rgb="FFB8CCE4"/>
        <bgColor rgb="FF000000"/>
      </patternFill>
    </fill>
    <fill>
      <patternFill patternType="solid">
        <fgColor theme="9" tint="0.39997558519241921"/>
        <bgColor rgb="FF000000"/>
      </patternFill>
    </fill>
    <fill>
      <patternFill patternType="solid">
        <fgColor rgb="FFFABF8F"/>
        <bgColor rgb="FF000000"/>
      </patternFill>
    </fill>
    <fill>
      <patternFill patternType="solid">
        <fgColor theme="9" tint="0.79998168889431442"/>
        <bgColor indexed="64"/>
      </patternFill>
    </fill>
    <fill>
      <patternFill patternType="solid">
        <fgColor rgb="FFFCD5B4"/>
        <bgColor rgb="FF000000"/>
      </patternFill>
    </fill>
    <fill>
      <patternFill patternType="solid">
        <fgColor theme="6" tint="0.39997558519241921"/>
        <bgColor rgb="FF000000"/>
      </patternFill>
    </fill>
    <fill>
      <patternFill patternType="solid">
        <fgColor theme="7" tint="0.59999389629810485"/>
        <bgColor rgb="FF000000"/>
      </patternFill>
    </fill>
    <fill>
      <patternFill patternType="solid">
        <fgColor theme="6" tint="0.79998168889431442"/>
        <bgColor rgb="FF000000"/>
      </patternFill>
    </fill>
    <fill>
      <patternFill patternType="solid">
        <fgColor rgb="FFE4DFEC"/>
        <bgColor rgb="FF000000"/>
      </patternFill>
    </fill>
    <fill>
      <patternFill patternType="solid">
        <fgColor rgb="FFCCC0DA"/>
        <bgColor rgb="FF000000"/>
      </patternFill>
    </fill>
    <fill>
      <patternFill patternType="solid">
        <fgColor theme="7" tint="0.79998168889431442"/>
        <bgColor rgb="FF000000"/>
      </patternFill>
    </fill>
    <fill>
      <patternFill patternType="solid">
        <fgColor rgb="FFA6A6A6"/>
        <bgColor indexed="64"/>
      </patternFill>
    </fill>
    <fill>
      <patternFill patternType="solid">
        <fgColor rgb="FFF2F2F2"/>
        <bgColor indexed="64"/>
      </patternFill>
    </fill>
    <fill>
      <patternFill patternType="solid">
        <fgColor indexed="31"/>
      </patternFill>
    </fill>
    <fill>
      <patternFill patternType="solid">
        <fgColor indexed="46"/>
      </patternFill>
    </fill>
    <fill>
      <patternFill patternType="solid">
        <fgColor indexed="2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52"/>
      </patternFill>
    </fill>
    <fill>
      <patternFill patternType="solid">
        <fgColor indexed="62"/>
      </patternFill>
    </fill>
    <fill>
      <patternFill patternType="solid">
        <fgColor rgb="FFFFC7CE"/>
      </patternFill>
    </fill>
    <fill>
      <patternFill patternType="solid">
        <fgColor rgb="FFFFFF00"/>
        <bgColor indexed="64"/>
      </patternFill>
    </fill>
    <fill>
      <patternFill patternType="solid">
        <fgColor rgb="FF92D050"/>
        <bgColor indexed="64"/>
      </patternFill>
    </fill>
    <fill>
      <patternFill patternType="solid">
        <fgColor rgb="FFFFC000"/>
        <bgColor indexed="64"/>
      </patternFill>
    </fill>
    <fill>
      <patternFill patternType="solid">
        <fgColor theme="0"/>
        <bgColor rgb="FF000000"/>
      </patternFill>
    </fill>
    <fill>
      <patternFill patternType="solid">
        <fgColor rgb="FF99FF99"/>
        <bgColor indexed="64"/>
      </patternFill>
    </fill>
    <fill>
      <patternFill patternType="solid">
        <fgColor theme="1" tint="0.499984740745262"/>
        <bgColor indexed="64"/>
      </patternFill>
    </fill>
    <fill>
      <patternFill patternType="solid">
        <fgColor theme="2"/>
        <bgColor indexed="64"/>
      </patternFill>
    </fill>
    <fill>
      <patternFill patternType="solid">
        <fgColor theme="3" tint="0.79998168889431442"/>
        <bgColor indexed="64"/>
      </patternFill>
    </fill>
    <fill>
      <patternFill patternType="solid">
        <fgColor theme="5" tint="0.59999389629810485"/>
        <bgColor indexed="64"/>
      </patternFill>
    </fill>
  </fills>
  <borders count="386">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49"/>
      </bottom>
      <diagonal/>
    </border>
    <border>
      <left/>
      <right/>
      <top/>
      <bottom style="thick">
        <color indexed="62"/>
      </bottom>
      <diagonal/>
    </border>
    <border>
      <left/>
      <right/>
      <top/>
      <bottom style="thick">
        <color indexed="38"/>
      </bottom>
      <diagonal/>
    </border>
    <border>
      <left/>
      <right/>
      <top/>
      <bottom style="medium">
        <color indexed="38"/>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4"/>
      </left>
      <right/>
      <top/>
      <bottom/>
      <diagonal/>
    </border>
    <border>
      <left/>
      <right/>
      <top style="thin">
        <color indexed="49"/>
      </top>
      <bottom style="double">
        <color indexed="49"/>
      </bottom>
      <diagonal/>
    </border>
    <border>
      <left style="thin">
        <color indexed="64"/>
      </left>
      <right style="thin">
        <color indexed="64"/>
      </right>
      <top/>
      <bottom style="thin">
        <color indexed="64"/>
      </bottom>
      <diagonal/>
    </border>
    <border>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medium">
        <color indexed="64"/>
      </left>
      <right/>
      <top/>
      <bottom/>
      <diagonal/>
    </border>
    <border>
      <left style="thin">
        <color indexed="64"/>
      </left>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ck">
        <color indexed="62"/>
      </left>
      <right/>
      <top style="thick">
        <color indexed="62"/>
      </top>
      <bottom/>
      <diagonal/>
    </border>
    <border>
      <left/>
      <right/>
      <top style="thick">
        <color indexed="62"/>
      </top>
      <bottom/>
      <diagonal/>
    </border>
    <border>
      <left/>
      <right style="thick">
        <color indexed="62"/>
      </right>
      <top style="thick">
        <color indexed="62"/>
      </top>
      <bottom/>
      <diagonal/>
    </border>
    <border>
      <left style="thick">
        <color indexed="62"/>
      </left>
      <right/>
      <top/>
      <bottom/>
      <diagonal/>
    </border>
    <border>
      <left/>
      <right style="thick">
        <color indexed="62"/>
      </right>
      <top/>
      <bottom/>
      <diagonal/>
    </border>
    <border>
      <left style="thick">
        <color indexed="62"/>
      </left>
      <right/>
      <top/>
      <bottom style="thick">
        <color indexed="62"/>
      </bottom>
      <diagonal/>
    </border>
    <border>
      <left/>
      <right style="thick">
        <color indexed="62"/>
      </right>
      <top/>
      <bottom style="thick">
        <color indexed="62"/>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medium">
        <color indexed="64"/>
      </top>
      <bottom/>
      <diagonal/>
    </border>
    <border>
      <left/>
      <right/>
      <top/>
      <bottom style="medium">
        <color auto="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medium">
        <color indexed="64"/>
      </left>
      <right style="thin">
        <color theme="0" tint="-0.34998626667073579"/>
      </right>
      <top style="medium">
        <color indexed="64"/>
      </top>
      <bottom style="thin">
        <color theme="0" tint="-0.34998626667073579"/>
      </bottom>
      <diagonal/>
    </border>
    <border>
      <left style="medium">
        <color indexed="64"/>
      </left>
      <right style="medium">
        <color indexed="64"/>
      </right>
      <top style="medium">
        <color indexed="64"/>
      </top>
      <bottom style="medium">
        <color indexed="64"/>
      </bottom>
      <diagonal/>
    </border>
    <border>
      <left style="medium">
        <color indexed="64"/>
      </left>
      <right style="thin">
        <color theme="0" tint="-0.34998626667073579"/>
      </right>
      <top style="thin">
        <color theme="0" tint="-0.34998626667073579"/>
      </top>
      <bottom style="thin">
        <color theme="0" tint="-0.34998626667073579"/>
      </bottom>
      <diagonal/>
    </border>
    <border>
      <left style="thin">
        <color theme="0" tint="-0.34998626667073579"/>
      </left>
      <right/>
      <top/>
      <bottom/>
      <diagonal/>
    </border>
    <border>
      <left style="medium">
        <color indexed="64"/>
      </left>
      <right style="thin">
        <color theme="0" tint="-0.34998626667073579"/>
      </right>
      <top style="thin">
        <color theme="0" tint="-0.34998626667073579"/>
      </top>
      <bottom style="medium">
        <color auto="1"/>
      </bottom>
      <diagonal/>
    </border>
    <border>
      <left style="medium">
        <color indexed="64"/>
      </left>
      <right/>
      <top style="medium">
        <color indexed="64"/>
      </top>
      <bottom style="thin">
        <color theme="0" tint="-0.34998626667073579"/>
      </bottom>
      <diagonal/>
    </border>
    <border>
      <left style="medium">
        <color indexed="64"/>
      </left>
      <right/>
      <top style="thin">
        <color theme="0" tint="-0.34998626667073579"/>
      </top>
      <bottom style="thin">
        <color theme="0" tint="-0.34998626667073579"/>
      </bottom>
      <diagonal/>
    </border>
    <border>
      <left style="medium">
        <color indexed="64"/>
      </left>
      <right style="thin">
        <color theme="0" tint="-0.34998626667073579"/>
      </right>
      <top style="medium">
        <color indexed="64"/>
      </top>
      <bottom style="medium">
        <color auto="1"/>
      </bottom>
      <diagonal/>
    </border>
    <border>
      <left style="thin">
        <color theme="0" tint="-0.34998626667073579"/>
      </left>
      <right style="thin">
        <color theme="0" tint="-0.34998626667073579"/>
      </right>
      <top style="medium">
        <color indexed="64"/>
      </top>
      <bottom style="medium">
        <color indexed="64"/>
      </bottom>
      <diagonal/>
    </border>
    <border>
      <left style="thin">
        <color theme="0" tint="-0.34998626667073579"/>
      </left>
      <right style="medium">
        <color indexed="64"/>
      </right>
      <top style="medium">
        <color indexed="64"/>
      </top>
      <bottom style="medium">
        <color indexed="64"/>
      </bottom>
      <diagonal/>
    </border>
    <border>
      <left/>
      <right style="thin">
        <color theme="0" tint="-0.34998626667073579"/>
      </right>
      <top style="medium">
        <color indexed="64"/>
      </top>
      <bottom style="medium">
        <color indexed="64"/>
      </bottom>
      <diagonal/>
    </border>
    <border>
      <left style="medium">
        <color indexed="64"/>
      </left>
      <right style="thin">
        <color theme="0" tint="-0.34998626667073579"/>
      </right>
      <top/>
      <bottom style="thin">
        <color theme="0" tint="-0.34998626667073579"/>
      </bottom>
      <diagonal/>
    </border>
    <border>
      <left style="thin">
        <color theme="0" tint="-0.34998626667073579"/>
      </left>
      <right style="thin">
        <color theme="0" tint="-0.34998626667073579"/>
      </right>
      <top/>
      <bottom style="thin">
        <color theme="0" tint="-0.34998626667073579"/>
      </bottom>
      <diagonal/>
    </border>
    <border>
      <left style="thin">
        <color theme="0" tint="-0.34998626667073579"/>
      </left>
      <right style="thin">
        <color indexed="64"/>
      </right>
      <top/>
      <bottom style="thin">
        <color theme="0" tint="-0.34998626667073579"/>
      </bottom>
      <diagonal/>
    </border>
    <border>
      <left/>
      <right style="thin">
        <color theme="0" tint="-0.34998626667073579"/>
      </right>
      <top/>
      <bottom style="thin">
        <color theme="0" tint="-0.34998626667073579"/>
      </bottom>
      <diagonal/>
    </border>
    <border>
      <left style="thin">
        <color theme="0" tint="-0.34998626667073579"/>
      </left>
      <right style="medium">
        <color indexed="64"/>
      </right>
      <top/>
      <bottom style="thin">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indexed="64"/>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style="medium">
        <color indexed="64"/>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style="medium">
        <color auto="1"/>
      </bottom>
      <diagonal/>
    </border>
    <border>
      <left style="thin">
        <color theme="0" tint="-0.34998626667073579"/>
      </left>
      <right style="thin">
        <color indexed="64"/>
      </right>
      <top style="thin">
        <color theme="0" tint="-0.34998626667073579"/>
      </top>
      <bottom style="medium">
        <color auto="1"/>
      </bottom>
      <diagonal/>
    </border>
    <border>
      <left/>
      <right style="thin">
        <color theme="0" tint="-0.34998626667073579"/>
      </right>
      <top style="thin">
        <color theme="0" tint="-0.34998626667073579"/>
      </top>
      <bottom style="medium">
        <color auto="1"/>
      </bottom>
      <diagonal/>
    </border>
    <border>
      <left style="thin">
        <color theme="0" tint="-0.34998626667073579"/>
      </left>
      <right style="medium">
        <color indexed="64"/>
      </right>
      <top style="thin">
        <color theme="0" tint="-0.34998626667073579"/>
      </top>
      <bottom style="medium">
        <color auto="1"/>
      </bottom>
      <diagonal/>
    </border>
    <border>
      <left style="medium">
        <color indexed="64"/>
      </left>
      <right/>
      <top style="thin">
        <color theme="0" tint="-0.34998626667073579"/>
      </top>
      <bottom style="medium">
        <color indexed="64"/>
      </bottom>
      <diagonal/>
    </border>
    <border>
      <left style="thin">
        <color theme="0" tint="-0.34998626667073579"/>
      </left>
      <right style="thin">
        <color indexed="64"/>
      </right>
      <top style="medium">
        <color indexed="64"/>
      </top>
      <bottom style="medium">
        <color indexed="64"/>
      </bottom>
      <diagonal/>
    </border>
    <border>
      <left style="medium">
        <color indexed="64"/>
      </left>
      <right/>
      <top/>
      <bottom style="thin">
        <color theme="0" tint="-0.34998626667073579"/>
      </bottom>
      <diagonal/>
    </border>
    <border>
      <left style="thin">
        <color theme="0" tint="-0.34998626667073579"/>
      </left>
      <right style="thin">
        <color indexed="64"/>
      </right>
      <top style="medium">
        <color indexed="64"/>
      </top>
      <bottom style="thin">
        <color theme="0" tint="-0.34998626667073579"/>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right/>
      <top style="medium">
        <color indexed="64"/>
      </top>
      <bottom style="thin">
        <color theme="0" tint="-0.34998626667073579"/>
      </bottom>
      <diagonal/>
    </border>
    <border>
      <left/>
      <right style="medium">
        <color indexed="64"/>
      </right>
      <top style="medium">
        <color indexed="64"/>
      </top>
      <bottom style="thin">
        <color theme="0" tint="-0.34998626667073579"/>
      </bottom>
      <diagonal/>
    </border>
    <border>
      <left/>
      <right/>
      <top style="thin">
        <color theme="0" tint="-0.34998626667073579"/>
      </top>
      <bottom style="thin">
        <color theme="0" tint="-0.34998626667073579"/>
      </bottom>
      <diagonal/>
    </border>
    <border>
      <left/>
      <right style="medium">
        <color indexed="64"/>
      </right>
      <top style="thin">
        <color theme="0" tint="-0.34998626667073579"/>
      </top>
      <bottom style="thin">
        <color theme="0" tint="-0.34998626667073579"/>
      </bottom>
      <diagonal/>
    </border>
    <border>
      <left style="medium">
        <color indexed="64"/>
      </left>
      <right style="thin">
        <color theme="0" tint="-0.34998626667073579"/>
      </right>
      <top style="thin">
        <color theme="0" tint="-0.34998626667073579"/>
      </top>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style="medium">
        <color indexed="64"/>
      </right>
      <top style="thin">
        <color theme="0" tint="-0.34998626667073579"/>
      </top>
      <bottom/>
      <diagonal/>
    </border>
    <border>
      <left/>
      <right style="thin">
        <color theme="0" tint="-0.34998626667073579"/>
      </right>
      <top style="thin">
        <color theme="0" tint="-0.34998626667073579"/>
      </top>
      <bottom/>
      <diagonal/>
    </border>
    <border>
      <left style="thin">
        <color theme="0" tint="-0.34998626667073579"/>
      </left>
      <right style="thin">
        <color theme="0" tint="-0.34998626667073579"/>
      </right>
      <top style="medium">
        <color indexed="64"/>
      </top>
      <bottom style="thin">
        <color theme="0" tint="-0.34998626667073579"/>
      </bottom>
      <diagonal/>
    </border>
    <border>
      <left style="medium">
        <color indexed="64"/>
      </left>
      <right/>
      <top style="thin">
        <color theme="0" tint="-0.34998626667073579"/>
      </top>
      <bottom/>
      <diagonal/>
    </border>
    <border>
      <left style="thin">
        <color theme="0" tint="-0.34998626667073579"/>
      </left>
      <right style="thin">
        <color indexed="64"/>
      </right>
      <top style="thin">
        <color theme="0" tint="-0.34998626667073579"/>
      </top>
      <bottom/>
      <diagonal/>
    </border>
    <border>
      <left style="thin">
        <color theme="0" tint="-0.34998626667073579"/>
      </left>
      <right/>
      <top style="medium">
        <color indexed="64"/>
      </top>
      <bottom style="thin">
        <color theme="0" tint="-0.34998626667073579"/>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top style="thin">
        <color theme="0" tint="-0.34998626667073579"/>
      </top>
      <bottom/>
      <diagonal/>
    </border>
    <border>
      <left style="thin">
        <color theme="0" tint="-0.34998626667073579"/>
      </left>
      <right/>
      <top style="thin">
        <color theme="0" tint="-0.34998626667073579"/>
      </top>
      <bottom style="medium">
        <color auto="1"/>
      </bottom>
      <diagonal/>
    </border>
    <border>
      <left/>
      <right style="thin">
        <color theme="0" tint="-0.34998626667073579"/>
      </right>
      <top style="medium">
        <color indexed="64"/>
      </top>
      <bottom style="thin">
        <color theme="0" tint="-0.34998626667073579"/>
      </bottom>
      <diagonal/>
    </border>
    <border>
      <left style="thin">
        <color theme="0" tint="-0.34998626667073579"/>
      </left>
      <right style="medium">
        <color indexed="64"/>
      </right>
      <top style="medium">
        <color indexed="64"/>
      </top>
      <bottom style="thin">
        <color theme="0" tint="-0.34998626667073579"/>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thin">
        <color theme="0" tint="-0.34998626667073579"/>
      </bottom>
      <diagonal/>
    </border>
    <border>
      <left style="medium">
        <color indexed="64"/>
      </left>
      <right style="medium">
        <color indexed="64"/>
      </right>
      <top style="thin">
        <color theme="0" tint="-0.34998626667073579"/>
      </top>
      <bottom style="thin">
        <color theme="0" tint="-0.34998626667073579"/>
      </bottom>
      <diagonal/>
    </border>
    <border>
      <left style="medium">
        <color indexed="64"/>
      </left>
      <right style="medium">
        <color indexed="64"/>
      </right>
      <top style="thin">
        <color theme="0" tint="-0.34998626667073579"/>
      </top>
      <bottom style="medium">
        <color indexed="64"/>
      </bottom>
      <diagonal/>
    </border>
    <border>
      <left style="thin">
        <color theme="0" tint="-0.34998626667073579"/>
      </left>
      <right style="thin">
        <color theme="0" tint="-0.34998626667073579"/>
      </right>
      <top style="medium">
        <color indexed="64"/>
      </top>
      <bottom/>
      <diagonal/>
    </border>
    <border>
      <left style="thin">
        <color theme="0" tint="-0.34998626667073579"/>
      </left>
      <right style="thin">
        <color theme="0" tint="-0.34998626667073579"/>
      </right>
      <top/>
      <bottom/>
      <diagonal/>
    </border>
    <border>
      <left/>
      <right/>
      <top/>
      <bottom style="thin">
        <color theme="0" tint="-0.34998626667073579"/>
      </bottom>
      <diagonal/>
    </border>
    <border>
      <left style="medium">
        <color indexed="64"/>
      </left>
      <right style="thin">
        <color indexed="64"/>
      </right>
      <top/>
      <bottom/>
      <diagonal/>
    </border>
    <border>
      <left style="medium">
        <color indexed="64"/>
      </left>
      <right/>
      <top style="thin">
        <color theme="0" tint="-0.34998626667073579"/>
      </top>
      <bottom style="thin">
        <color theme="0" tint="-0.24994659260841701"/>
      </bottom>
      <diagonal/>
    </border>
    <border>
      <left style="thin">
        <color theme="0" tint="-0.24994659260841701"/>
      </left>
      <right style="thin">
        <color theme="0" tint="-0.24994659260841701"/>
      </right>
      <top style="thin">
        <color theme="0" tint="-0.34998626667073579"/>
      </top>
      <bottom style="thin">
        <color theme="0" tint="-0.34998626667073579"/>
      </bottom>
      <diagonal/>
    </border>
    <border>
      <left style="medium">
        <color indexed="64"/>
      </left>
      <right style="thin">
        <color theme="0" tint="-0.24994659260841701"/>
      </right>
      <top style="thin">
        <color theme="0" tint="-0.34998626667073579"/>
      </top>
      <bottom style="thin">
        <color theme="0" tint="-0.34998626667073579"/>
      </bottom>
      <diagonal/>
    </border>
    <border>
      <left style="medium">
        <color indexed="64"/>
      </left>
      <right/>
      <top style="medium">
        <color indexed="64"/>
      </top>
      <bottom style="thin">
        <color theme="0" tint="-0.24994659260841701"/>
      </bottom>
      <diagonal/>
    </border>
    <border>
      <left style="thin">
        <color theme="0" tint="-0.24994659260841701"/>
      </left>
      <right style="medium">
        <color indexed="64"/>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style="medium">
        <color indexed="64"/>
      </bottom>
      <diagonal/>
    </border>
    <border>
      <left style="thin">
        <color theme="0" tint="-0.24994659260841701"/>
      </left>
      <right style="medium">
        <color indexed="64"/>
      </right>
      <top style="thin">
        <color theme="0" tint="-0.24994659260841701"/>
      </top>
      <bottom style="medium">
        <color indexed="64"/>
      </bottom>
      <diagonal/>
    </border>
    <border>
      <left/>
      <right style="thin">
        <color theme="0" tint="-0.24994659260841701"/>
      </right>
      <top style="thin">
        <color theme="0" tint="-0.24994659260841701"/>
      </top>
      <bottom style="thin">
        <color theme="0" tint="-0.24994659260841701"/>
      </bottom>
      <diagonal/>
    </border>
    <border>
      <left/>
      <right style="thin">
        <color theme="0" tint="-0.24994659260841701"/>
      </right>
      <top style="thin">
        <color theme="0" tint="-0.24994659260841701"/>
      </top>
      <bottom style="medium">
        <color indexed="64"/>
      </bottom>
      <diagonal/>
    </border>
    <border>
      <left style="thin">
        <color theme="0" tint="-0.34998626667073579"/>
      </left>
      <right style="medium">
        <color indexed="64"/>
      </right>
      <top/>
      <bottom/>
      <diagonal/>
    </border>
    <border>
      <left style="medium">
        <color indexed="64"/>
      </left>
      <right style="thin">
        <color theme="0" tint="-0.24994659260841701"/>
      </right>
      <top style="thin">
        <color theme="0" tint="-0.24994659260841701"/>
      </top>
      <bottom style="thin">
        <color theme="0" tint="-0.24994659260841701"/>
      </bottom>
      <diagonal/>
    </border>
    <border>
      <left style="medium">
        <color indexed="64"/>
      </left>
      <right style="thin">
        <color theme="0" tint="-0.24994659260841701"/>
      </right>
      <top style="thin">
        <color theme="0" tint="-0.24994659260841701"/>
      </top>
      <bottom style="medium">
        <color indexed="64"/>
      </bottom>
      <diagonal/>
    </border>
    <border>
      <left/>
      <right/>
      <top style="thin">
        <color theme="0" tint="-0.24994659260841701"/>
      </top>
      <bottom style="thin">
        <color theme="0" tint="-0.24994659260841701"/>
      </bottom>
      <diagonal/>
    </border>
    <border>
      <left/>
      <right style="thin">
        <color indexed="64"/>
      </right>
      <top style="medium">
        <color indexed="64"/>
      </top>
      <bottom style="thin">
        <color theme="0" tint="-0.34998626667073579"/>
      </bottom>
      <diagonal/>
    </border>
    <border>
      <left/>
      <right/>
      <top/>
      <bottom style="thin">
        <color theme="0" tint="-0.24994659260841701"/>
      </bottom>
      <diagonal/>
    </border>
    <border>
      <left/>
      <right style="thin">
        <color theme="0" tint="-0.24994659260841701"/>
      </right>
      <top/>
      <bottom style="thin">
        <color theme="0" tint="-0.24994659260841701"/>
      </bottom>
      <diagonal/>
    </border>
    <border>
      <left style="medium">
        <color indexed="64"/>
      </left>
      <right/>
      <top style="thin">
        <color theme="0" tint="-0.24994659260841701"/>
      </top>
      <bottom style="thin">
        <color theme="0" tint="-0.24994659260841701"/>
      </bottom>
      <diagonal/>
    </border>
    <border>
      <left/>
      <right/>
      <top style="thin">
        <color theme="0" tint="-0.34998626667073579"/>
      </top>
      <bottom style="medium">
        <color auto="1"/>
      </bottom>
      <diagonal/>
    </border>
    <border>
      <left style="thin">
        <color theme="0" tint="-0.24994659260841701"/>
      </left>
      <right style="thin">
        <color theme="0" tint="-0.24994659260841701"/>
      </right>
      <top/>
      <bottom style="thin">
        <color theme="0" tint="-0.24994659260841701"/>
      </bottom>
      <diagonal/>
    </border>
    <border>
      <left/>
      <right/>
      <top/>
      <bottom style="medium">
        <color auto="1"/>
      </bottom>
      <diagonal/>
    </border>
    <border>
      <left style="thin">
        <color theme="0" tint="-0.24994659260841701"/>
      </left>
      <right style="thin">
        <color theme="0" tint="-0.24994659260841701"/>
      </right>
      <top style="medium">
        <color indexed="64"/>
      </top>
      <bottom style="thin">
        <color theme="0" tint="-0.24994659260841701"/>
      </bottom>
      <diagonal/>
    </border>
    <border>
      <left style="medium">
        <color indexed="64"/>
      </left>
      <right style="medium">
        <color indexed="64"/>
      </right>
      <top/>
      <bottom style="thin">
        <color theme="0" tint="-0.34998626667073579"/>
      </bottom>
      <diagonal/>
    </border>
    <border>
      <left style="medium">
        <color indexed="64"/>
      </left>
      <right style="medium">
        <color indexed="64"/>
      </right>
      <top style="thin">
        <color theme="0" tint="-0.24994659260841701"/>
      </top>
      <bottom style="thin">
        <color theme="0" tint="-0.24994659260841701"/>
      </bottom>
      <diagonal/>
    </border>
    <border>
      <left style="thin">
        <color theme="0" tint="-0.24994659260841701"/>
      </left>
      <right style="medium">
        <color indexed="64"/>
      </right>
      <top/>
      <bottom style="thin">
        <color theme="0" tint="-0.24994659260841701"/>
      </bottom>
      <diagonal/>
    </border>
    <border>
      <left/>
      <right/>
      <top/>
      <bottom style="medium">
        <color indexed="64"/>
      </bottom>
      <diagonal/>
    </border>
    <border>
      <left style="medium">
        <color indexed="64"/>
      </left>
      <right style="thin">
        <color theme="0" tint="-0.24994659260841701"/>
      </right>
      <top/>
      <bottom style="thin">
        <color theme="0" tint="-0.24994659260841701"/>
      </bottom>
      <diagonal/>
    </border>
    <border>
      <left/>
      <right style="medium">
        <color indexed="64"/>
      </right>
      <top/>
      <bottom style="thin">
        <color theme="0" tint="-0.34998626667073579"/>
      </bottom>
      <diagonal/>
    </border>
    <border>
      <left style="medium">
        <color indexed="64"/>
      </left>
      <right/>
      <top style="medium">
        <color auto="1"/>
      </top>
      <bottom style="thin">
        <color indexed="64"/>
      </bottom>
      <diagonal/>
    </border>
    <border>
      <left style="medium">
        <color indexed="64"/>
      </left>
      <right style="medium">
        <color indexed="64"/>
      </right>
      <top style="thin">
        <color theme="0" tint="-0.34998626667073579"/>
      </top>
      <bottom/>
      <diagonal/>
    </border>
    <border>
      <left style="thin">
        <color theme="0" tint="-0.34998626667073579"/>
      </left>
      <right/>
      <top style="medium">
        <color indexed="64"/>
      </top>
      <bottom style="medium">
        <color indexed="64"/>
      </bottom>
      <diagonal/>
    </border>
    <border>
      <left/>
      <right style="medium">
        <color indexed="64"/>
      </right>
      <top/>
      <bottom style="medium">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bottom style="medium">
        <color indexed="64"/>
      </bottom>
      <diagonal/>
    </border>
    <border>
      <left style="thin">
        <color theme="0" tint="-0.34998626667073579"/>
      </left>
      <right/>
      <top/>
      <bottom style="thin">
        <color theme="0" tint="-0.34998626667073579"/>
      </bottom>
      <diagonal/>
    </border>
    <border>
      <left/>
      <right/>
      <top style="thin">
        <color theme="0" tint="-0.34998626667073579"/>
      </top>
      <bottom/>
      <diagonal/>
    </border>
    <border>
      <left style="thin">
        <color indexed="64"/>
      </left>
      <right/>
      <top style="thin">
        <color theme="0" tint="-0.34998626667073579"/>
      </top>
      <bottom/>
      <diagonal/>
    </border>
    <border>
      <left/>
      <right style="thin">
        <color indexed="64"/>
      </right>
      <top style="thin">
        <color theme="0" tint="-0.34998626667073579"/>
      </top>
      <bottom/>
      <diagonal/>
    </border>
    <border>
      <left style="thin">
        <color indexed="64"/>
      </left>
      <right/>
      <top/>
      <bottom style="thin">
        <color theme="0" tint="-0.34998626667073579"/>
      </bottom>
      <diagonal/>
    </border>
    <border>
      <left/>
      <right style="thin">
        <color indexed="64"/>
      </right>
      <top/>
      <bottom style="thin">
        <color theme="0" tint="-0.34998626667073579"/>
      </bottom>
      <diagonal/>
    </border>
    <border>
      <left/>
      <right style="thin">
        <color indexed="64"/>
      </right>
      <top style="thin">
        <color theme="0" tint="-0.34998626667073579"/>
      </top>
      <bottom style="thin">
        <color theme="0" tint="-0.34998626667073579"/>
      </bottom>
      <diagonal/>
    </border>
    <border>
      <left style="medium">
        <color indexed="64"/>
      </left>
      <right style="thin">
        <color indexed="64"/>
      </right>
      <top style="medium">
        <color indexed="64"/>
      </top>
      <bottom style="thin">
        <color theme="0" tint="-0.34998626667073579"/>
      </bottom>
      <diagonal/>
    </border>
    <border>
      <left style="medium">
        <color indexed="64"/>
      </left>
      <right style="thin">
        <color indexed="64"/>
      </right>
      <top style="thin">
        <color theme="0" tint="-0.34998626667073579"/>
      </top>
      <bottom style="thin">
        <color theme="0" tint="-0.34998626667073579"/>
      </bottom>
      <diagonal/>
    </border>
    <border>
      <left style="medium">
        <color indexed="64"/>
      </left>
      <right style="thin">
        <color theme="0" tint="-0.34998626667073579"/>
      </right>
      <top/>
      <bottom/>
      <diagonal/>
    </border>
    <border>
      <left style="medium">
        <color indexed="64"/>
      </left>
      <right style="thin">
        <color theme="0" tint="-0.34998626667073579"/>
      </right>
      <top style="medium">
        <color indexed="64"/>
      </top>
      <bottom/>
      <diagonal/>
    </border>
    <border>
      <left style="thin">
        <color theme="0" tint="-0.34998626667073579"/>
      </left>
      <right style="thin">
        <color theme="0" tint="-0.34998626667073579"/>
      </right>
      <top/>
      <bottom style="medium">
        <color indexed="64"/>
      </bottom>
      <diagonal/>
    </border>
    <border>
      <left/>
      <right style="thin">
        <color indexed="64"/>
      </right>
      <top style="thin">
        <color theme="0" tint="-0.34998626667073579"/>
      </top>
      <bottom style="medium">
        <color auto="1"/>
      </bottom>
      <diagonal/>
    </border>
    <border>
      <left style="medium">
        <color indexed="64"/>
      </left>
      <right style="thin">
        <color indexed="64"/>
      </right>
      <top style="thin">
        <color theme="0" tint="-0.34998626667073579"/>
      </top>
      <bottom style="medium">
        <color indexed="64"/>
      </bottom>
      <diagonal/>
    </border>
    <border>
      <left/>
      <right style="medium">
        <color indexed="64"/>
      </right>
      <top style="thin">
        <color theme="0" tint="-0.34998626667073579"/>
      </top>
      <bottom style="medium">
        <color indexed="64"/>
      </bottom>
      <diagonal/>
    </border>
    <border>
      <left style="thin">
        <color indexed="64"/>
      </left>
      <right style="thin">
        <color theme="0" tint="-0.34998626667073579"/>
      </right>
      <top style="thin">
        <color theme="0" tint="-0.34998626667073579"/>
      </top>
      <bottom style="medium">
        <color auto="1"/>
      </bottom>
      <diagonal/>
    </border>
    <border>
      <left/>
      <right style="thin">
        <color indexed="64"/>
      </right>
      <top style="medium">
        <color indexed="64"/>
      </top>
      <bottom style="medium">
        <color indexed="64"/>
      </bottom>
      <diagonal/>
    </border>
    <border>
      <left style="thin">
        <color theme="0" tint="-0.34998626667073579"/>
      </left>
      <right style="thin">
        <color theme="0" tint="-0.34998626667073579"/>
      </right>
      <top style="medium">
        <color indexed="64"/>
      </top>
      <bottom style="thin">
        <color indexed="64"/>
      </bottom>
      <diagonal/>
    </border>
    <border>
      <left style="thin">
        <color theme="0" tint="-0.34998626667073579"/>
      </left>
      <right style="thin">
        <color indexed="64"/>
      </right>
      <top style="medium">
        <color indexed="64"/>
      </top>
      <bottom style="thin">
        <color indexed="64"/>
      </bottom>
      <diagonal/>
    </border>
    <border>
      <left style="medium">
        <color indexed="64"/>
      </left>
      <right/>
      <top style="thin">
        <color indexed="64"/>
      </top>
      <bottom/>
      <diagonal/>
    </border>
    <border>
      <left style="medium">
        <color indexed="64"/>
      </left>
      <right style="thin">
        <color theme="0" tint="-0.34998626667073579"/>
      </right>
      <top/>
      <bottom style="medium">
        <color auto="1"/>
      </bottom>
      <diagonal/>
    </border>
    <border>
      <left style="thin">
        <color indexed="64"/>
      </left>
      <right style="thin">
        <color indexed="64"/>
      </right>
      <top style="medium">
        <color indexed="64"/>
      </top>
      <bottom style="medium">
        <color indexed="64"/>
      </bottom>
      <diagonal/>
    </border>
    <border>
      <left style="thin">
        <color indexed="64"/>
      </left>
      <right style="thin">
        <color theme="0" tint="-0.34998626667073579"/>
      </right>
      <top style="thin">
        <color theme="0" tint="-0.34998626667073579"/>
      </top>
      <bottom style="thin">
        <color theme="0" tint="-0.34998626667073579"/>
      </bottom>
      <diagonal/>
    </border>
    <border>
      <left/>
      <right/>
      <top style="medium">
        <color indexed="64"/>
      </top>
      <bottom style="thin">
        <color theme="0" tint="-0.24994659260841701"/>
      </bottom>
      <diagonal/>
    </border>
    <border>
      <left style="thin">
        <color indexed="64"/>
      </left>
      <right style="thin">
        <color theme="0" tint="-0.34998626667073579"/>
      </right>
      <top/>
      <bottom style="thin">
        <color theme="0" tint="-0.34998626667073579"/>
      </bottom>
      <diagonal/>
    </border>
    <border>
      <left style="medium">
        <color auto="1"/>
      </left>
      <right style="thin">
        <color theme="0" tint="-0.24994659260841701"/>
      </right>
      <top style="medium">
        <color auto="1"/>
      </top>
      <bottom style="thin">
        <color indexed="64"/>
      </bottom>
      <diagonal/>
    </border>
    <border>
      <left style="thin">
        <color theme="0" tint="-0.24994659260841701"/>
      </left>
      <right style="thin">
        <color indexed="64"/>
      </right>
      <top style="medium">
        <color auto="1"/>
      </top>
      <bottom style="thin">
        <color indexed="64"/>
      </bottom>
      <diagonal/>
    </border>
    <border>
      <left/>
      <right style="thin">
        <color theme="0" tint="-0.34998626667073579"/>
      </right>
      <top style="medium">
        <color auto="1"/>
      </top>
      <bottom style="thin">
        <color indexed="64"/>
      </bottom>
      <diagonal/>
    </border>
    <border>
      <left style="thin">
        <color theme="0" tint="-0.34998626667073579"/>
      </left>
      <right style="medium">
        <color indexed="64"/>
      </right>
      <top style="medium">
        <color auto="1"/>
      </top>
      <bottom style="thin">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theme="0" tint="-0.24994659260841701"/>
      </right>
      <top style="medium">
        <color indexed="64"/>
      </top>
      <bottom style="thin">
        <color theme="0" tint="-0.24994659260841701"/>
      </bottom>
      <diagonal/>
    </border>
    <border>
      <left style="thin">
        <color theme="0" tint="-0.24994659260841701"/>
      </left>
      <right style="medium">
        <color indexed="64"/>
      </right>
      <top style="medium">
        <color indexed="64"/>
      </top>
      <bottom style="thin">
        <color theme="0" tint="-0.24994659260841701"/>
      </bottom>
      <diagonal/>
    </border>
    <border>
      <left style="thin">
        <color theme="0" tint="-0.24994659260841701"/>
      </left>
      <right style="medium">
        <color indexed="64"/>
      </right>
      <top style="thin">
        <color theme="0" tint="-0.34998626667073579"/>
      </top>
      <bottom style="thin">
        <color theme="0" tint="-0.34998626667073579"/>
      </bottom>
      <diagonal/>
    </border>
    <border>
      <left/>
      <right style="medium">
        <color indexed="64"/>
      </right>
      <top style="thin">
        <color theme="0" tint="-0.34998626667073579"/>
      </top>
      <bottom/>
      <diagonal/>
    </border>
    <border>
      <left style="thin">
        <color theme="0" tint="-0.24994659260841701"/>
      </left>
      <right/>
      <top style="thin">
        <color theme="0" tint="-0.34998626667073579"/>
      </top>
      <bottom style="medium">
        <color auto="1"/>
      </bottom>
      <diagonal/>
    </border>
    <border>
      <left style="medium">
        <color indexed="64"/>
      </left>
      <right/>
      <top/>
      <bottom style="thin">
        <color theme="0" tint="-0.24994659260841701"/>
      </bottom>
      <diagonal/>
    </border>
    <border>
      <left/>
      <right style="medium">
        <color indexed="64"/>
      </right>
      <top/>
      <bottom style="thin">
        <color theme="0" tint="-0.24994659260841701"/>
      </bottom>
      <diagonal/>
    </border>
    <border>
      <left style="medium">
        <color indexed="64"/>
      </left>
      <right style="thin">
        <color theme="0" tint="-0.34998626667073579"/>
      </right>
      <top style="thin">
        <color theme="0" tint="-0.24994659260841701"/>
      </top>
      <bottom style="thin">
        <color theme="0" tint="-0.24994659260841701"/>
      </bottom>
      <diagonal/>
    </border>
    <border>
      <left style="medium">
        <color indexed="64"/>
      </left>
      <right style="thin">
        <color theme="0" tint="-0.34998626667073579"/>
      </right>
      <top style="thin">
        <color theme="0" tint="-0.24994659260841701"/>
      </top>
      <bottom style="medium">
        <color indexed="64"/>
      </bottom>
      <diagonal/>
    </border>
    <border>
      <left/>
      <right/>
      <top style="thin">
        <color theme="0" tint="-0.24994659260841701"/>
      </top>
      <bottom style="medium">
        <color indexed="64"/>
      </bottom>
      <diagonal/>
    </border>
    <border>
      <left/>
      <right style="medium">
        <color indexed="64"/>
      </right>
      <top style="thin">
        <color theme="0" tint="-0.24994659260841701"/>
      </top>
      <bottom style="thin">
        <color theme="0" tint="-0.24994659260841701"/>
      </bottom>
      <diagonal/>
    </border>
    <border>
      <left/>
      <right style="medium">
        <color indexed="64"/>
      </right>
      <top style="thin">
        <color theme="0" tint="-0.24994659260841701"/>
      </top>
      <bottom style="medium">
        <color indexed="64"/>
      </bottom>
      <diagonal/>
    </border>
    <border>
      <left/>
      <right style="thin">
        <color theme="0" tint="-0.24994659260841701"/>
      </right>
      <top/>
      <bottom/>
      <diagonal/>
    </border>
    <border>
      <left style="thin">
        <color theme="0" tint="-0.34998626667073579"/>
      </left>
      <right style="medium">
        <color indexed="64"/>
      </right>
      <top/>
      <bottom style="medium">
        <color indexed="64"/>
      </bottom>
      <diagonal/>
    </border>
    <border>
      <left style="thin">
        <color auto="1"/>
      </left>
      <right style="medium">
        <color auto="1"/>
      </right>
      <top/>
      <bottom style="thin">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auto="1"/>
      </bottom>
      <diagonal/>
    </border>
    <border>
      <left style="thin">
        <color indexed="64"/>
      </left>
      <right style="medium">
        <color indexed="64"/>
      </right>
      <top style="thin">
        <color indexed="64"/>
      </top>
      <bottom style="medium">
        <color auto="1"/>
      </bottom>
      <diagonal/>
    </border>
    <border>
      <left style="medium">
        <color indexed="64"/>
      </left>
      <right/>
      <top style="thin">
        <color theme="0" tint="-0.24994659260841701"/>
      </top>
      <bottom style="medium">
        <color auto="1"/>
      </bottom>
      <diagonal/>
    </border>
    <border>
      <left/>
      <right style="thin">
        <color theme="0" tint="-0.34998626667073579"/>
      </right>
      <top style="medium">
        <color indexed="64"/>
      </top>
      <bottom/>
      <diagonal/>
    </border>
    <border>
      <left style="thin">
        <color theme="0" tint="-0.34998626667073579"/>
      </left>
      <right style="medium">
        <color indexed="64"/>
      </right>
      <top style="medium">
        <color indexed="64"/>
      </top>
      <bottom/>
      <diagonal/>
    </border>
    <border>
      <left style="thin">
        <color indexed="64"/>
      </left>
      <right style="medium">
        <color indexed="64"/>
      </right>
      <top style="medium">
        <color indexed="64"/>
      </top>
      <bottom/>
      <diagonal/>
    </border>
    <border>
      <left style="thin">
        <color auto="1"/>
      </left>
      <right style="medium">
        <color indexed="64"/>
      </right>
      <top/>
      <bottom/>
      <diagonal/>
    </border>
    <border>
      <left style="medium">
        <color indexed="64"/>
      </left>
      <right style="thin">
        <color indexed="64"/>
      </right>
      <top style="thin">
        <color indexed="64"/>
      </top>
      <bottom style="medium">
        <color auto="1"/>
      </bottom>
      <diagonal/>
    </border>
    <border>
      <left style="thin">
        <color indexed="64"/>
      </left>
      <right style="thin">
        <color indexed="64"/>
      </right>
      <top style="medium">
        <color auto="1"/>
      </top>
      <bottom style="thin">
        <color theme="0" tint="-0.34998626667073579"/>
      </bottom>
      <diagonal/>
    </border>
    <border>
      <left style="thin">
        <color indexed="64"/>
      </left>
      <right style="medium">
        <color indexed="64"/>
      </right>
      <top style="medium">
        <color auto="1"/>
      </top>
      <bottom style="thin">
        <color theme="0" tint="-0.34998626667073579"/>
      </bottom>
      <diagonal/>
    </border>
    <border>
      <left style="thin">
        <color auto="1"/>
      </left>
      <right style="thin">
        <color auto="1"/>
      </right>
      <top style="thin">
        <color theme="0" tint="-0.34998626667073579"/>
      </top>
      <bottom style="thin">
        <color theme="0" tint="-0.34998626667073579"/>
      </bottom>
      <diagonal/>
    </border>
    <border>
      <left style="thin">
        <color indexed="64"/>
      </left>
      <right style="medium">
        <color indexed="64"/>
      </right>
      <top style="thin">
        <color theme="0" tint="-0.34998626667073579"/>
      </top>
      <bottom style="thin">
        <color theme="0" tint="-0.34998626667073579"/>
      </bottom>
      <diagonal/>
    </border>
    <border>
      <left style="thin">
        <color indexed="64"/>
      </left>
      <right style="thin">
        <color indexed="64"/>
      </right>
      <top style="thin">
        <color theme="0" tint="-0.34998626667073579"/>
      </top>
      <bottom style="medium">
        <color indexed="64"/>
      </bottom>
      <diagonal/>
    </border>
    <border>
      <left style="thin">
        <color indexed="64"/>
      </left>
      <right style="medium">
        <color auto="1"/>
      </right>
      <top style="thin">
        <color theme="0" tint="-0.34998626667073579"/>
      </top>
      <bottom style="medium">
        <color indexed="64"/>
      </bottom>
      <diagonal/>
    </border>
    <border>
      <left style="medium">
        <color auto="1"/>
      </left>
      <right style="thin">
        <color auto="1"/>
      </right>
      <top style="medium">
        <color auto="1"/>
      </top>
      <bottom style="thin">
        <color theme="0" tint="-0.24994659260841701"/>
      </bottom>
      <diagonal/>
    </border>
    <border>
      <left style="thin">
        <color indexed="64"/>
      </left>
      <right style="thin">
        <color indexed="64"/>
      </right>
      <top style="medium">
        <color auto="1"/>
      </top>
      <bottom style="thin">
        <color theme="0" tint="-0.24994659260841701"/>
      </bottom>
      <diagonal/>
    </border>
    <border>
      <left style="thin">
        <color theme="0" tint="-0.34998626667073579"/>
      </left>
      <right style="thin">
        <color theme="0" tint="-0.34998626667073579"/>
      </right>
      <top style="thin">
        <color theme="0" tint="-0.24994659260841701"/>
      </top>
      <bottom style="medium">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9"/>
      </top>
      <bottom style="double">
        <color indexed="49"/>
      </bottom>
      <diagonal/>
    </border>
    <border>
      <left/>
      <right/>
      <top/>
      <bottom style="medium">
        <color indexed="38"/>
      </bottom>
      <diagonal/>
    </border>
    <border>
      <left/>
      <right/>
      <top/>
      <bottom style="medium">
        <color indexed="64"/>
      </bottom>
      <diagonal/>
    </border>
    <border>
      <left/>
      <right style="medium">
        <color indexed="64"/>
      </right>
      <top/>
      <bottom style="medium">
        <color indexed="64"/>
      </bottom>
      <diagonal/>
    </border>
    <border>
      <left style="thin">
        <color theme="0" tint="-0.34998626667073579"/>
      </left>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bottom style="thin">
        <color indexed="64"/>
      </bottom>
      <diagonal/>
    </border>
    <border>
      <left style="medium">
        <color auto="1"/>
      </left>
      <right style="thin">
        <color theme="0" tint="-0.34998626667073579"/>
      </right>
      <top style="medium">
        <color indexed="64"/>
      </top>
      <bottom style="thin">
        <color theme="0" tint="-0.34998626667073579"/>
      </bottom>
      <diagonal/>
    </border>
    <border>
      <left style="medium">
        <color auto="1"/>
      </left>
      <right style="thin">
        <color theme="0" tint="-0.34998626667073579"/>
      </right>
      <top style="thin">
        <color theme="0" tint="-0.34998626667073579"/>
      </top>
      <bottom style="medium">
        <color auto="1"/>
      </bottom>
      <diagonal/>
    </border>
    <border>
      <left style="thin">
        <color theme="0" tint="-0.34998626667073579"/>
      </left>
      <right style="thin">
        <color theme="0" tint="-0.34998626667073579"/>
      </right>
      <top style="thin">
        <color indexed="64"/>
      </top>
      <bottom style="medium">
        <color auto="1"/>
      </bottom>
      <diagonal/>
    </border>
    <border>
      <left style="thin">
        <color theme="0" tint="-0.34998626667073579"/>
      </left>
      <right style="medium">
        <color indexed="64"/>
      </right>
      <top style="thin">
        <color indexed="64"/>
      </top>
      <bottom style="medium">
        <color auto="1"/>
      </bottom>
      <diagonal/>
    </border>
    <border>
      <left style="medium">
        <color indexed="64"/>
      </left>
      <right style="thin">
        <color theme="0" tint="-0.34998626667073579"/>
      </right>
      <top style="thin">
        <color indexed="64"/>
      </top>
      <bottom style="medium">
        <color auto="1"/>
      </bottom>
      <diagonal/>
    </border>
    <border>
      <left style="medium">
        <color indexed="64"/>
      </left>
      <right style="thin">
        <color indexed="64"/>
      </right>
      <top style="thin">
        <color theme="0" tint="-0.34998626667073579"/>
      </top>
      <bottom/>
      <diagonal/>
    </border>
    <border>
      <left style="medium">
        <color indexed="64"/>
      </left>
      <right/>
      <top style="thin">
        <color indexed="64"/>
      </top>
      <bottom style="thin">
        <color indexed="64"/>
      </bottom>
      <diagonal/>
    </border>
    <border>
      <left style="thin">
        <color indexed="64"/>
      </left>
      <right style="thin">
        <color indexed="64"/>
      </right>
      <top/>
      <bottom/>
      <diagonal/>
    </border>
    <border>
      <left/>
      <right/>
      <top/>
      <bottom style="thin">
        <color indexed="64"/>
      </bottom>
      <diagonal/>
    </border>
    <border>
      <left style="medium">
        <color indexed="64"/>
      </left>
      <right style="thin">
        <color indexed="64"/>
      </right>
      <top/>
      <bottom style="thin">
        <color theme="0" tint="-0.34998626667073579"/>
      </bottom>
      <diagonal/>
    </border>
    <border>
      <left style="medium">
        <color indexed="64"/>
      </left>
      <right style="medium">
        <color indexed="64"/>
      </right>
      <top style="thin">
        <color theme="0" tint="-0.34998626667073579"/>
      </top>
      <bottom style="thin">
        <color indexed="64"/>
      </bottom>
      <diagonal/>
    </border>
    <border>
      <left style="medium">
        <color indexed="64"/>
      </left>
      <right style="thin">
        <color theme="0" tint="-0.34998626667073579"/>
      </right>
      <top style="thin">
        <color theme="0" tint="-0.34998626667073579"/>
      </top>
      <bottom style="thin">
        <color indexed="64"/>
      </bottom>
      <diagonal/>
    </border>
    <border>
      <left style="thin">
        <color theme="0" tint="-0.34998626667073579"/>
      </left>
      <right style="thin">
        <color theme="0" tint="-0.34998626667073579"/>
      </right>
      <top style="thin">
        <color theme="0" tint="-0.34998626667073579"/>
      </top>
      <bottom style="thin">
        <color indexed="64"/>
      </bottom>
      <diagonal/>
    </border>
    <border>
      <left style="thin">
        <color theme="0" tint="-0.34998626667073579"/>
      </left>
      <right style="medium">
        <color indexed="64"/>
      </right>
      <top style="thin">
        <color theme="0" tint="-0.34998626667073579"/>
      </top>
      <bottom style="thin">
        <color indexed="64"/>
      </bottom>
      <diagonal/>
    </border>
    <border>
      <left style="thin">
        <color theme="0" tint="-0.34998626667073579"/>
      </left>
      <right/>
      <top style="thin">
        <color indexed="64"/>
      </top>
      <bottom style="medium">
        <color indexed="64"/>
      </bottom>
      <diagonal/>
    </border>
    <border>
      <left/>
      <right style="thin">
        <color theme="0" tint="-0.34998626667073579"/>
      </right>
      <top style="thin">
        <color indexed="64"/>
      </top>
      <bottom style="medium">
        <color indexed="64"/>
      </bottom>
      <diagonal/>
    </border>
    <border>
      <left style="medium">
        <color indexed="64"/>
      </left>
      <right style="medium">
        <color indexed="64"/>
      </right>
      <top style="thin">
        <color indexed="64"/>
      </top>
      <bottom style="thin">
        <color theme="0" tint="-0.34998626667073579"/>
      </bottom>
      <diagonal/>
    </border>
    <border>
      <left style="thin">
        <color indexed="64"/>
      </left>
      <right style="medium">
        <color indexed="64"/>
      </right>
      <top/>
      <bottom style="thin">
        <color theme="0" tint="-0.34998626667073579"/>
      </bottom>
      <diagonal/>
    </border>
    <border>
      <left style="medium">
        <color indexed="64"/>
      </left>
      <right style="medium">
        <color indexed="64"/>
      </right>
      <top style="thin">
        <color theme="0" tint="-0.24994659260841701"/>
      </top>
      <bottom style="thin">
        <color indexed="64"/>
      </bottom>
      <diagonal/>
    </border>
    <border>
      <left style="medium">
        <color indexed="64"/>
      </left>
      <right style="medium">
        <color indexed="64"/>
      </right>
      <top style="thin">
        <color indexed="64"/>
      </top>
      <bottom style="thin">
        <color theme="0" tint="-0.24994659260841701"/>
      </bottom>
      <diagonal/>
    </border>
    <border>
      <left style="medium">
        <color indexed="64"/>
      </left>
      <right style="medium">
        <color indexed="64"/>
      </right>
      <top/>
      <bottom style="thin">
        <color theme="0" tint="-0.24994659260841701"/>
      </bottom>
      <diagonal/>
    </border>
    <border>
      <left style="thin">
        <color theme="0" tint="-0.34998626667073579"/>
      </left>
      <right style="thin">
        <color indexed="64"/>
      </right>
      <top style="thin">
        <color theme="0" tint="-0.34998626667073579"/>
      </top>
      <bottom style="thin">
        <color indexed="64"/>
      </bottom>
      <diagonal/>
    </border>
    <border>
      <left style="medium">
        <color indexed="64"/>
      </left>
      <right/>
      <top style="medium">
        <color auto="1"/>
      </top>
      <bottom style="thin">
        <color theme="1"/>
      </bottom>
      <diagonal/>
    </border>
    <border>
      <left/>
      <right/>
      <top style="medium">
        <color auto="1"/>
      </top>
      <bottom style="thin">
        <color theme="1"/>
      </bottom>
      <diagonal/>
    </border>
    <border>
      <left/>
      <right style="medium">
        <color indexed="64"/>
      </right>
      <top style="medium">
        <color auto="1"/>
      </top>
      <bottom style="thin">
        <color theme="1"/>
      </bottom>
      <diagonal/>
    </border>
    <border>
      <left style="thin">
        <color indexed="64"/>
      </left>
      <right style="thin">
        <color theme="0" tint="-0.34998626667073579"/>
      </right>
      <top style="thin">
        <color theme="0" tint="-0.34998626667073579"/>
      </top>
      <bottom style="thin">
        <color indexed="64"/>
      </bottom>
      <diagonal/>
    </border>
    <border>
      <left/>
      <right style="thin">
        <color theme="0" tint="-0.34998626667073579"/>
      </right>
      <top style="thin">
        <color theme="0" tint="-0.34998626667073579"/>
      </top>
      <bottom style="thin">
        <color indexed="64"/>
      </bottom>
      <diagonal/>
    </border>
    <border>
      <left style="medium">
        <color indexed="64"/>
      </left>
      <right/>
      <top style="thin">
        <color theme="0" tint="-0.34998626667073579"/>
      </top>
      <bottom style="thin">
        <color indexed="64"/>
      </bottom>
      <diagonal/>
    </border>
    <border>
      <left style="thin">
        <color theme="0" tint="-0.34998626667073579"/>
      </left>
      <right/>
      <top style="thin">
        <color theme="0" tint="-0.34998626667073579"/>
      </top>
      <bottom style="thin">
        <color indexed="64"/>
      </bottom>
      <diagonal/>
    </border>
    <border>
      <left style="medium">
        <color indexed="64"/>
      </left>
      <right style="thin">
        <color theme="0" tint="-0.34998626667073579"/>
      </right>
      <top/>
      <bottom style="thin">
        <color indexed="64"/>
      </bottom>
      <diagonal/>
    </border>
    <border>
      <left style="medium">
        <color indexed="64"/>
      </left>
      <right style="thin">
        <color theme="0" tint="-0.34998626667073579"/>
      </right>
      <top style="thin">
        <color indexed="64"/>
      </top>
      <bottom/>
      <diagonal/>
    </border>
    <border>
      <left style="thin">
        <color theme="0" tint="-0.34998626667073579"/>
      </left>
      <right/>
      <top style="thin">
        <color indexed="64"/>
      </top>
      <bottom style="thin">
        <color theme="0" tint="-0.34998626667073579"/>
      </bottom>
      <diagonal/>
    </border>
    <border>
      <left style="medium">
        <color indexed="64"/>
      </left>
      <right style="thin">
        <color theme="0" tint="-0.34998626667073579"/>
      </right>
      <top style="thin">
        <color indexed="64"/>
      </top>
      <bottom style="thin">
        <color theme="0" tint="-0.34998626667073579"/>
      </bottom>
      <diagonal/>
    </border>
    <border>
      <left style="thin">
        <color theme="0" tint="-0.34998626667073579"/>
      </left>
      <right style="medium">
        <color indexed="64"/>
      </right>
      <top style="thin">
        <color indexed="64"/>
      </top>
      <bottom style="thin">
        <color theme="0" tint="-0.34998626667073579"/>
      </bottom>
      <diagonal/>
    </border>
    <border>
      <left style="thin">
        <color theme="0" tint="-0.34998626667073579"/>
      </left>
      <right style="thin">
        <color theme="0" tint="-0.34998626667073579"/>
      </right>
      <top style="thin">
        <color indexed="64"/>
      </top>
      <bottom style="thin">
        <color theme="0" tint="-0.34998626667073579"/>
      </bottom>
      <diagonal/>
    </border>
    <border>
      <left style="medium">
        <color indexed="64"/>
      </left>
      <right style="medium">
        <color indexed="64"/>
      </right>
      <top style="thin">
        <color indexed="64"/>
      </top>
      <bottom/>
      <diagonal/>
    </border>
    <border>
      <left/>
      <right style="medium">
        <color indexed="64"/>
      </right>
      <top style="thin">
        <color indexed="64"/>
      </top>
      <bottom/>
      <diagonal/>
    </border>
    <border>
      <left style="medium">
        <color indexed="64"/>
      </left>
      <right/>
      <top style="thin">
        <color indexed="64"/>
      </top>
      <bottom style="thin">
        <color theme="0" tint="-0.34998626667073579"/>
      </bottom>
      <diagonal/>
    </border>
    <border>
      <left/>
      <right style="medium">
        <color indexed="64"/>
      </right>
      <top style="thin">
        <color indexed="64"/>
      </top>
      <bottom style="thin">
        <color theme="0" tint="-0.34998626667073579"/>
      </bottom>
      <diagonal/>
    </border>
    <border>
      <left/>
      <right style="thin">
        <color theme="0" tint="-0.34998626667073579"/>
      </right>
      <top style="thin">
        <color indexed="64"/>
      </top>
      <bottom style="thin">
        <color theme="0" tint="-0.34998626667073579"/>
      </bottom>
      <diagonal/>
    </border>
    <border>
      <left style="medium">
        <color indexed="64"/>
      </left>
      <right/>
      <top/>
      <bottom style="medium">
        <color indexed="64"/>
      </bottom>
      <diagonal/>
    </border>
    <border>
      <left/>
      <right/>
      <top style="thin">
        <color indexed="64"/>
      </top>
      <bottom style="thin">
        <color theme="0" tint="-0.34998626667073579"/>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indexed="64"/>
      </left>
      <right style="thin">
        <color theme="0" tint="-0.34998626667073579"/>
      </right>
      <top/>
      <bottom style="medium">
        <color auto="1"/>
      </bottom>
      <diagonal/>
    </border>
    <border>
      <left style="thin">
        <color theme="0" tint="-0.34998626667073579"/>
      </left>
      <right style="thin">
        <color theme="0" tint="-0.34998626667073579"/>
      </right>
      <top/>
      <bottom style="medium">
        <color auto="1"/>
      </bottom>
      <diagonal/>
    </border>
    <border>
      <left style="thin">
        <color theme="0" tint="-0.34998626667073579"/>
      </left>
      <right style="medium">
        <color indexed="64"/>
      </right>
      <top/>
      <bottom style="medium">
        <color auto="1"/>
      </bottom>
      <diagonal/>
    </border>
    <border>
      <left style="medium">
        <color indexed="64"/>
      </left>
      <right style="medium">
        <color indexed="64"/>
      </right>
      <top style="medium">
        <color indexed="64"/>
      </top>
      <bottom style="thin">
        <color indexed="64"/>
      </bottom>
      <diagonal/>
    </border>
    <border>
      <left/>
      <right style="thin">
        <color indexed="64"/>
      </right>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auto="1"/>
      </left>
      <right/>
      <top/>
      <bottom style="medium">
        <color auto="1"/>
      </bottom>
      <diagonal/>
    </border>
    <border>
      <left style="thin">
        <color indexed="64"/>
      </left>
      <right style="thin">
        <color indexed="64"/>
      </right>
      <top/>
      <bottom style="medium">
        <color indexed="64"/>
      </bottom>
      <diagonal/>
    </border>
    <border>
      <left style="thin">
        <color indexed="64"/>
      </left>
      <right style="medium">
        <color indexed="64"/>
      </right>
      <top style="medium">
        <color indexed="64"/>
      </top>
      <bottom style="thin">
        <color theme="0" tint="-0.24994659260841701"/>
      </bottom>
      <diagonal/>
    </border>
    <border>
      <left style="thin">
        <color theme="0" tint="-0.34998626667073579"/>
      </left>
      <right style="medium">
        <color indexed="64"/>
      </right>
      <top style="thin">
        <color theme="0" tint="-0.24994659260841701"/>
      </top>
      <bottom style="medium">
        <color indexed="64"/>
      </bottom>
      <diagonal/>
    </border>
    <border>
      <left style="medium">
        <color indexed="64"/>
      </left>
      <right/>
      <top/>
      <bottom style="thin">
        <color indexed="64"/>
      </bottom>
      <diagonal/>
    </border>
    <border>
      <left/>
      <right style="medium">
        <color auto="1"/>
      </right>
      <top/>
      <bottom style="thin">
        <color auto="1"/>
      </bottom>
      <diagonal/>
    </border>
    <border>
      <left style="medium">
        <color indexed="64"/>
      </left>
      <right/>
      <top style="thin">
        <color theme="0" tint="-0.24994659260841701"/>
      </top>
      <bottom/>
      <diagonal/>
    </border>
    <border>
      <left style="thin">
        <color theme="0" tint="-0.24994659260841701"/>
      </left>
      <right/>
      <top style="medium">
        <color indexed="64"/>
      </top>
      <bottom style="thin">
        <color theme="0" tint="-0.24994659260841701"/>
      </bottom>
      <diagonal/>
    </border>
    <border>
      <left/>
      <right style="medium">
        <color indexed="64"/>
      </right>
      <top style="medium">
        <color auto="1"/>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style="thin">
        <color theme="0" tint="-0.24994659260841701"/>
      </left>
      <right/>
      <top style="thin">
        <color theme="0" tint="-0.24994659260841701"/>
      </top>
      <bottom style="medium">
        <color indexed="64"/>
      </bottom>
      <diagonal/>
    </border>
    <border>
      <left style="medium">
        <color indexed="64"/>
      </left>
      <right style="thin">
        <color theme="0" tint="-0.24994659260841701"/>
      </right>
      <top style="medium">
        <color indexed="64"/>
      </top>
      <bottom/>
      <diagonal/>
    </border>
    <border>
      <left style="medium">
        <color indexed="64"/>
      </left>
      <right style="thin">
        <color theme="0" tint="-0.24994659260841701"/>
      </right>
      <top/>
      <bottom style="thin">
        <color indexed="64"/>
      </bottom>
      <diagonal/>
    </border>
    <border>
      <left style="thin">
        <color theme="0" tint="-0.24994659260841701"/>
      </left>
      <right style="thin">
        <color theme="0" tint="-0.24994659260841701"/>
      </right>
      <top/>
      <bottom style="thin">
        <color indexed="64"/>
      </bottom>
      <diagonal/>
    </border>
    <border>
      <left style="thin">
        <color theme="0" tint="-0.24994659260841701"/>
      </left>
      <right/>
      <top/>
      <bottom style="thin">
        <color indexed="64"/>
      </bottom>
      <diagonal/>
    </border>
    <border>
      <left style="medium">
        <color indexed="64"/>
      </left>
      <right style="thin">
        <color theme="0" tint="-0.24994659260841701"/>
      </right>
      <top/>
      <bottom/>
      <diagonal/>
    </border>
    <border>
      <left style="thin">
        <color theme="0" tint="-0.24994659260841701"/>
      </left>
      <right/>
      <top/>
      <bottom style="thin">
        <color theme="0" tint="-0.24994659260841701"/>
      </bottom>
      <diagonal/>
    </border>
    <border>
      <left style="medium">
        <color indexed="64"/>
      </left>
      <right style="thin">
        <color theme="0" tint="-0.24994659260841701"/>
      </right>
      <top style="thin">
        <color theme="0" tint="-0.24994659260841701"/>
      </top>
      <bottom/>
      <diagonal/>
    </border>
    <border>
      <left style="thin">
        <color theme="0" tint="-0.24994659260841701"/>
      </left>
      <right style="thin">
        <color theme="0" tint="-0.24994659260841701"/>
      </right>
      <top style="thin">
        <color theme="0" tint="-0.24994659260841701"/>
      </top>
      <bottom/>
      <diagonal/>
    </border>
    <border>
      <left/>
      <right/>
      <top style="thin">
        <color theme="0" tint="-0.24994659260841701"/>
      </top>
      <bottom/>
      <diagonal/>
    </border>
    <border>
      <left style="thin">
        <color theme="0" tint="-0.24994659260841701"/>
      </left>
      <right/>
      <top style="thin">
        <color theme="0" tint="-0.24994659260841701"/>
      </top>
      <bottom/>
      <diagonal/>
    </border>
    <border>
      <left/>
      <right style="medium">
        <color indexed="64"/>
      </right>
      <top style="thin">
        <color theme="0" tint="-0.24994659260841701"/>
      </top>
      <bottom/>
      <diagonal/>
    </border>
    <border>
      <left style="medium">
        <color indexed="64"/>
      </left>
      <right style="thin">
        <color theme="0" tint="-0.24994659260841701"/>
      </right>
      <top/>
      <bottom style="medium">
        <color indexed="64"/>
      </bottom>
      <diagonal/>
    </border>
    <border>
      <left style="thin">
        <color theme="0" tint="-0.24994659260841701"/>
      </left>
      <right style="thin">
        <color indexed="64"/>
      </right>
      <top/>
      <bottom style="medium">
        <color indexed="64"/>
      </bottom>
      <diagonal/>
    </border>
    <border>
      <left style="thin">
        <color theme="0" tint="-0.24994659260841701"/>
      </left>
      <right style="thin">
        <color theme="0" tint="-0.24994659260841701"/>
      </right>
      <top/>
      <bottom/>
      <diagonal/>
    </border>
    <border>
      <left style="thin">
        <color theme="0" tint="-0.24994659260841701"/>
      </left>
      <right style="medium">
        <color indexed="64"/>
      </right>
      <top/>
      <bottom/>
      <diagonal/>
    </border>
    <border>
      <left style="thin">
        <color theme="0" tint="-0.24994659260841701"/>
      </left>
      <right style="thin">
        <color indexed="64"/>
      </right>
      <top style="medium">
        <color auto="1"/>
      </top>
      <bottom style="thin">
        <color theme="0" tint="-0.24994659260841701"/>
      </bottom>
      <diagonal/>
    </border>
    <border>
      <left style="thin">
        <color theme="0" tint="-0.24994659260841701"/>
      </left>
      <right style="thin">
        <color indexed="64"/>
      </right>
      <top style="thin">
        <color theme="0" tint="-0.24994659260841701"/>
      </top>
      <bottom style="thin">
        <color theme="0" tint="-0.24994659260841701"/>
      </bottom>
      <diagonal/>
    </border>
    <border>
      <left style="thin">
        <color theme="0" tint="-0.24994659260841701"/>
      </left>
      <right style="thin">
        <color indexed="64"/>
      </right>
      <top style="thin">
        <color theme="0" tint="-0.24994659260841701"/>
      </top>
      <bottom/>
      <diagonal/>
    </border>
    <border>
      <left style="thin">
        <color theme="0" tint="-0.24994659260841701"/>
      </left>
      <right style="thin">
        <color indexed="64"/>
      </right>
      <top style="thin">
        <color theme="0" tint="-0.24994659260841701"/>
      </top>
      <bottom style="medium">
        <color auto="1"/>
      </bottom>
      <diagonal/>
    </border>
    <border>
      <left style="medium">
        <color rgb="FFFF0000"/>
      </left>
      <right/>
      <top style="medium">
        <color rgb="FFFF0000"/>
      </top>
      <bottom style="medium">
        <color auto="1"/>
      </bottom>
      <diagonal/>
    </border>
    <border>
      <left/>
      <right/>
      <top style="medium">
        <color rgb="FFFF0000"/>
      </top>
      <bottom style="medium">
        <color auto="1"/>
      </bottom>
      <diagonal/>
    </border>
    <border>
      <left/>
      <right style="medium">
        <color rgb="FFFF0000"/>
      </right>
      <top style="medium">
        <color rgb="FFFF0000"/>
      </top>
      <bottom style="medium">
        <color auto="1"/>
      </bottom>
      <diagonal/>
    </border>
    <border>
      <left style="medium">
        <color indexed="64"/>
      </left>
      <right style="thin">
        <color rgb="FFBFBFBF"/>
      </right>
      <top style="medium">
        <color indexed="64"/>
      </top>
      <bottom style="medium">
        <color auto="1"/>
      </bottom>
      <diagonal/>
    </border>
    <border>
      <left style="thin">
        <color rgb="FFBFBFBF"/>
      </left>
      <right style="thin">
        <color rgb="FFBFBFBF"/>
      </right>
      <top style="medium">
        <color indexed="64"/>
      </top>
      <bottom style="medium">
        <color auto="1"/>
      </bottom>
      <diagonal/>
    </border>
    <border>
      <left style="thin">
        <color rgb="FFBFBFBF"/>
      </left>
      <right/>
      <top style="medium">
        <color indexed="64"/>
      </top>
      <bottom style="medium">
        <color auto="1"/>
      </bottom>
      <diagonal/>
    </border>
    <border>
      <left style="medium">
        <color rgb="FFFF0000"/>
      </left>
      <right style="thin">
        <color indexed="64"/>
      </right>
      <top style="medium">
        <color indexed="64"/>
      </top>
      <bottom style="medium">
        <color auto="1"/>
      </bottom>
      <diagonal/>
    </border>
    <border>
      <left style="thin">
        <color rgb="FFBFBFBF"/>
      </left>
      <right style="thin">
        <color indexed="64"/>
      </right>
      <top style="medium">
        <color indexed="64"/>
      </top>
      <bottom style="medium">
        <color auto="1"/>
      </bottom>
      <diagonal/>
    </border>
    <border>
      <left style="thin">
        <color rgb="FFBFBFBF"/>
      </left>
      <right style="medium">
        <color rgb="FFFF0000"/>
      </right>
      <top style="medium">
        <color indexed="64"/>
      </top>
      <bottom style="medium">
        <color indexed="64"/>
      </bottom>
      <diagonal/>
    </border>
    <border>
      <left style="medium">
        <color auto="1"/>
      </left>
      <right style="medium">
        <color indexed="64"/>
      </right>
      <top style="medium">
        <color auto="1"/>
      </top>
      <bottom style="thin">
        <color theme="0" tint="-0.24994659260841701"/>
      </bottom>
      <diagonal/>
    </border>
    <border>
      <left style="medium">
        <color indexed="64"/>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rgb="FFBFBFBF"/>
      </left>
      <right/>
      <top/>
      <bottom style="thin">
        <color rgb="FFBFBFBF"/>
      </bottom>
      <diagonal/>
    </border>
    <border>
      <left style="medium">
        <color rgb="FFFF0000"/>
      </left>
      <right/>
      <top/>
      <bottom/>
      <diagonal/>
    </border>
    <border>
      <left style="thin">
        <color theme="0" tint="-0.24994659260841701"/>
      </left>
      <right style="medium">
        <color rgb="FFFF0000"/>
      </right>
      <top/>
      <bottom style="thin">
        <color theme="0" tint="-0.24994659260841701"/>
      </bottom>
      <diagonal/>
    </border>
    <border>
      <left style="medium">
        <color indexed="64"/>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top style="thin">
        <color rgb="FFBFBFBF"/>
      </top>
      <bottom style="thin">
        <color rgb="FFBFBFBF"/>
      </bottom>
      <diagonal/>
    </border>
    <border>
      <left style="thin">
        <color theme="0" tint="-0.24994659260841701"/>
      </left>
      <right style="medium">
        <color rgb="FFFF0000"/>
      </right>
      <top style="thin">
        <color theme="0" tint="-0.24994659260841701"/>
      </top>
      <bottom style="thin">
        <color theme="0" tint="-0.24994659260841701"/>
      </bottom>
      <diagonal/>
    </border>
    <border>
      <left style="medium">
        <color indexed="64"/>
      </left>
      <right style="medium">
        <color indexed="64"/>
      </right>
      <top style="thin">
        <color theme="0" tint="-0.24994659260841701"/>
      </top>
      <bottom/>
      <diagonal/>
    </border>
    <border>
      <left style="medium">
        <color rgb="FFFF0000"/>
      </left>
      <right style="thin">
        <color theme="0" tint="-0.24994659260841701"/>
      </right>
      <top style="thin">
        <color theme="0" tint="-0.24994659260841701"/>
      </top>
      <bottom style="thin">
        <color theme="0" tint="-0.24994659260841701"/>
      </bottom>
      <diagonal/>
    </border>
    <border>
      <left style="medium">
        <color auto="1"/>
      </left>
      <right style="medium">
        <color auto="1"/>
      </right>
      <top style="thin">
        <color theme="0" tint="-0.24994659260841701"/>
      </top>
      <bottom style="medium">
        <color auto="1"/>
      </bottom>
      <diagonal/>
    </border>
    <border>
      <left style="medium">
        <color indexed="64"/>
      </left>
      <right style="medium">
        <color indexed="64"/>
      </right>
      <top style="thin">
        <color indexed="64"/>
      </top>
      <bottom style="thin">
        <color indexed="64"/>
      </bottom>
      <diagonal/>
    </border>
    <border>
      <left style="medium">
        <color indexed="64"/>
      </left>
      <right style="thin">
        <color rgb="FFBFBFBF"/>
      </right>
      <top style="thin">
        <color rgb="FFBFBFBF"/>
      </top>
      <bottom style="medium">
        <color auto="1"/>
      </bottom>
      <diagonal/>
    </border>
    <border>
      <left style="thin">
        <color rgb="FFBFBFBF"/>
      </left>
      <right style="thin">
        <color rgb="FFBFBFBF"/>
      </right>
      <top style="thin">
        <color rgb="FFBFBFBF"/>
      </top>
      <bottom style="medium">
        <color indexed="64"/>
      </bottom>
      <diagonal/>
    </border>
    <border>
      <left style="thin">
        <color rgb="FFBFBFBF"/>
      </left>
      <right/>
      <top style="thin">
        <color rgb="FFBFBFBF"/>
      </top>
      <bottom style="medium">
        <color auto="1"/>
      </bottom>
      <diagonal/>
    </border>
    <border>
      <left style="medium">
        <color rgb="FFFF0000"/>
      </left>
      <right style="thin">
        <color theme="0" tint="-0.24994659260841701"/>
      </right>
      <top style="thin">
        <color theme="0" tint="-0.24994659260841701"/>
      </top>
      <bottom style="medium">
        <color auto="1"/>
      </bottom>
      <diagonal/>
    </border>
    <border>
      <left style="thin">
        <color theme="0" tint="-0.24994659260841701"/>
      </left>
      <right style="medium">
        <color rgb="FFFF0000"/>
      </right>
      <top style="thin">
        <color theme="0" tint="-0.24994659260841701"/>
      </top>
      <bottom style="medium">
        <color indexed="64"/>
      </bottom>
      <diagonal/>
    </border>
    <border>
      <left/>
      <right style="medium">
        <color rgb="FFFF0000"/>
      </right>
      <top/>
      <bottom/>
      <diagonal/>
    </border>
    <border>
      <left style="medium">
        <color rgb="FFFF0000"/>
      </left>
      <right/>
      <top style="medium">
        <color indexed="64"/>
      </top>
      <bottom style="medium">
        <color indexed="64"/>
      </bottom>
      <diagonal/>
    </border>
    <border>
      <left style="medium">
        <color auto="1"/>
      </left>
      <right style="thin">
        <color rgb="FFA6A6A6"/>
      </right>
      <top style="medium">
        <color auto="1"/>
      </top>
      <bottom style="medium">
        <color auto="1"/>
      </bottom>
      <diagonal/>
    </border>
    <border>
      <left style="thin">
        <color rgb="FFA6A6A6"/>
      </left>
      <right style="thin">
        <color rgb="FFA6A6A6"/>
      </right>
      <top style="medium">
        <color indexed="64"/>
      </top>
      <bottom style="medium">
        <color indexed="64"/>
      </bottom>
      <diagonal/>
    </border>
    <border>
      <left style="thin">
        <color rgb="FFBFBFBF"/>
      </left>
      <right style="medium">
        <color indexed="64"/>
      </right>
      <top style="medium">
        <color indexed="64"/>
      </top>
      <bottom style="medium">
        <color indexed="64"/>
      </bottom>
      <diagonal/>
    </border>
    <border>
      <left style="medium">
        <color rgb="FFFF0000"/>
      </left>
      <right style="thin">
        <color theme="0" tint="-0.24994659260841701"/>
      </right>
      <top style="medium">
        <color indexed="64"/>
      </top>
      <bottom/>
      <diagonal/>
    </border>
    <border>
      <left style="thin">
        <color theme="0" tint="-0.24994659260841701"/>
      </left>
      <right style="medium">
        <color indexed="64"/>
      </right>
      <top style="medium">
        <color indexed="64"/>
      </top>
      <bottom/>
      <diagonal/>
    </border>
    <border>
      <left style="medium">
        <color indexed="64"/>
      </left>
      <right style="thin">
        <color rgb="FFA6A6A6"/>
      </right>
      <top/>
      <bottom style="thin">
        <color rgb="FFA6A6A6"/>
      </bottom>
      <diagonal/>
    </border>
    <border>
      <left style="thin">
        <color rgb="FFA6A6A6"/>
      </left>
      <right style="thin">
        <color rgb="FFA6A6A6"/>
      </right>
      <top/>
      <bottom style="thin">
        <color rgb="FFA6A6A6"/>
      </bottom>
      <diagonal/>
    </border>
    <border>
      <left style="thin">
        <color rgb="FFBFBFBF"/>
      </left>
      <right style="thin">
        <color indexed="64"/>
      </right>
      <top/>
      <bottom style="thin">
        <color rgb="FFBFBFBF"/>
      </bottom>
      <diagonal/>
    </border>
    <border>
      <left style="medium">
        <color rgb="FFFF0000"/>
      </left>
      <right style="thin">
        <color theme="0" tint="-0.24994659260841701"/>
      </right>
      <top style="medium">
        <color indexed="64"/>
      </top>
      <bottom style="thin">
        <color theme="0" tint="-0.24994659260841701"/>
      </bottom>
      <diagonal/>
    </border>
    <border>
      <left style="medium">
        <color indexed="64"/>
      </left>
      <right style="thin">
        <color rgb="FFA6A6A6"/>
      </right>
      <top style="thin">
        <color rgb="FFA6A6A6"/>
      </top>
      <bottom style="thin">
        <color rgb="FFA6A6A6"/>
      </bottom>
      <diagonal/>
    </border>
    <border>
      <left style="thin">
        <color rgb="FFA6A6A6"/>
      </left>
      <right style="thin">
        <color rgb="FFA6A6A6"/>
      </right>
      <top style="thin">
        <color rgb="FFA6A6A6"/>
      </top>
      <bottom style="thin">
        <color rgb="FFA6A6A6"/>
      </bottom>
      <diagonal/>
    </border>
    <border>
      <left style="thin">
        <color rgb="FFBFBFBF"/>
      </left>
      <right style="thin">
        <color indexed="64"/>
      </right>
      <top style="thin">
        <color rgb="FFBFBFBF"/>
      </top>
      <bottom style="thin">
        <color rgb="FFBFBFBF"/>
      </bottom>
      <diagonal/>
    </border>
    <border>
      <left style="medium">
        <color indexed="64"/>
      </left>
      <right style="thin">
        <color indexed="64"/>
      </right>
      <top style="thin">
        <color indexed="64"/>
      </top>
      <bottom style="thin">
        <color indexed="64"/>
      </bottom>
      <diagonal/>
    </border>
    <border>
      <left style="medium">
        <color auto="1"/>
      </left>
      <right style="thin">
        <color auto="1"/>
      </right>
      <top/>
      <bottom style="thin">
        <color theme="0" tint="-0.24994659260841701"/>
      </bottom>
      <diagonal/>
    </border>
    <border>
      <left style="medium">
        <color auto="1"/>
      </left>
      <right style="thin">
        <color auto="1"/>
      </right>
      <top style="thin">
        <color theme="0" tint="-0.24994659260841701"/>
      </top>
      <bottom style="thin">
        <color theme="0" tint="-0.24994659260841701"/>
      </bottom>
      <diagonal/>
    </border>
    <border>
      <left style="medium">
        <color indexed="64"/>
      </left>
      <right style="thin">
        <color rgb="FFA6A6A6"/>
      </right>
      <top style="thin">
        <color rgb="FFA6A6A6"/>
      </top>
      <bottom style="thin">
        <color rgb="FFBFBFBF"/>
      </bottom>
      <diagonal/>
    </border>
    <border>
      <left style="thin">
        <color rgb="FFA6A6A6"/>
      </left>
      <right style="thin">
        <color rgb="FFA6A6A6"/>
      </right>
      <top style="thin">
        <color rgb="FFA6A6A6"/>
      </top>
      <bottom style="thin">
        <color rgb="FFBFBFBF"/>
      </bottom>
      <diagonal/>
    </border>
    <border>
      <left style="medium">
        <color auto="1"/>
      </left>
      <right style="thin">
        <color indexed="64"/>
      </right>
      <top style="thin">
        <color theme="0" tint="-0.24994659260841701"/>
      </top>
      <bottom style="medium">
        <color auto="1"/>
      </bottom>
      <diagonal/>
    </border>
    <border>
      <left style="medium">
        <color rgb="FFFF0000"/>
      </left>
      <right style="thin">
        <color theme="0" tint="-0.24994659260841701"/>
      </right>
      <top style="thin">
        <color theme="0" tint="-0.24994659260841701"/>
      </top>
      <bottom style="medium">
        <color rgb="FFFF0000"/>
      </bottom>
      <diagonal/>
    </border>
    <border>
      <left style="thin">
        <color theme="0" tint="-0.24994659260841701"/>
      </left>
      <right style="thin">
        <color theme="0" tint="-0.24994659260841701"/>
      </right>
      <top style="thin">
        <color theme="0" tint="-0.24994659260841701"/>
      </top>
      <bottom style="medium">
        <color rgb="FFFF0000"/>
      </bottom>
      <diagonal/>
    </border>
    <border>
      <left style="thin">
        <color theme="0" tint="-0.24994659260841701"/>
      </left>
      <right style="thin">
        <color indexed="64"/>
      </right>
      <top style="thin">
        <color theme="0" tint="-0.24994659260841701"/>
      </top>
      <bottom style="medium">
        <color rgb="FFFF0000"/>
      </bottom>
      <diagonal/>
    </border>
    <border>
      <left/>
      <right style="medium">
        <color rgb="FFFF0000"/>
      </right>
      <top/>
      <bottom style="medium">
        <color rgb="FFFF0000"/>
      </bottom>
      <diagonal/>
    </border>
    <border>
      <left style="medium">
        <color indexed="64"/>
      </left>
      <right style="medium">
        <color indexed="64"/>
      </right>
      <top style="medium">
        <color indexed="64"/>
      </top>
      <bottom style="thin">
        <color rgb="FFBFBFBF"/>
      </bottom>
      <diagonal/>
    </border>
    <border>
      <left style="medium">
        <color auto="1"/>
      </left>
      <right style="thin">
        <color auto="1"/>
      </right>
      <top style="thin">
        <color rgb="FFBFBFBF"/>
      </top>
      <bottom style="thin">
        <color rgb="FFBFBFBF"/>
      </bottom>
      <diagonal/>
    </border>
    <border>
      <left style="medium">
        <color indexed="64"/>
      </left>
      <right style="medium">
        <color indexed="64"/>
      </right>
      <top style="thin">
        <color rgb="FFBFBFBF"/>
      </top>
      <bottom style="thin">
        <color rgb="FFBFBFBF"/>
      </bottom>
      <diagonal/>
    </border>
    <border>
      <left style="medium">
        <color indexed="64"/>
      </left>
      <right style="medium">
        <color indexed="64"/>
      </right>
      <top/>
      <bottom style="thin">
        <color rgb="FFBFBFBF"/>
      </bottom>
      <diagonal/>
    </border>
    <border>
      <left style="medium">
        <color auto="1"/>
      </left>
      <right/>
      <top style="medium">
        <color auto="1"/>
      </top>
      <bottom style="thin">
        <color rgb="FFBFBFBF"/>
      </bottom>
      <diagonal/>
    </border>
    <border>
      <left style="medium">
        <color indexed="64"/>
      </left>
      <right style="thin">
        <color indexed="64"/>
      </right>
      <top style="medium">
        <color indexed="64"/>
      </top>
      <bottom style="thin">
        <color rgb="FFBFBFBF"/>
      </bottom>
      <diagonal/>
    </border>
    <border>
      <left/>
      <right style="medium">
        <color indexed="64"/>
      </right>
      <top style="thin">
        <color rgb="FFBFBFBF"/>
      </top>
      <bottom style="thin">
        <color rgb="FFBFBFBF"/>
      </bottom>
      <diagonal/>
    </border>
    <border>
      <left style="medium">
        <color auto="1"/>
      </left>
      <right/>
      <top style="thin">
        <color rgb="FFBFBFBF"/>
      </top>
      <bottom style="thin">
        <color rgb="FFBFBFBF"/>
      </bottom>
      <diagonal/>
    </border>
    <border>
      <left style="medium">
        <color indexed="64"/>
      </left>
      <right/>
      <top/>
      <bottom style="thin">
        <color rgb="FFBFBFBF"/>
      </bottom>
      <diagonal/>
    </border>
    <border>
      <left style="medium">
        <color indexed="64"/>
      </left>
      <right style="thin">
        <color indexed="64"/>
      </right>
      <top style="thin">
        <color rgb="FFBFBFBF"/>
      </top>
      <bottom style="medium">
        <color auto="1"/>
      </bottom>
      <diagonal/>
    </border>
    <border>
      <left style="medium">
        <color indexed="64"/>
      </left>
      <right style="medium">
        <color indexed="64"/>
      </right>
      <top style="thin">
        <color rgb="FFBFBFBF"/>
      </top>
      <bottom style="medium">
        <color indexed="64"/>
      </bottom>
      <diagonal/>
    </border>
    <border>
      <left style="thin">
        <color indexed="64"/>
      </left>
      <right style="medium">
        <color indexed="64"/>
      </right>
      <top style="thin">
        <color rgb="FFBFBFBF"/>
      </top>
      <bottom style="medium">
        <color indexed="64"/>
      </bottom>
      <diagonal/>
    </border>
    <border>
      <left style="thin">
        <color theme="0" tint="-0.34998626667073579"/>
      </left>
      <right style="thin">
        <color indexed="64"/>
      </right>
      <top/>
      <bottom/>
      <diagonal/>
    </border>
    <border>
      <left style="thin">
        <color indexed="64"/>
      </left>
      <right/>
      <top style="medium">
        <color indexed="64"/>
      </top>
      <bottom style="medium">
        <color indexed="64"/>
      </bottom>
      <diagonal/>
    </border>
    <border>
      <left/>
      <right/>
      <top/>
      <bottom style="medium">
        <color indexed="24"/>
      </bottom>
      <diagonal/>
    </border>
    <border>
      <left/>
      <right/>
      <top/>
      <bottom style="thick">
        <color indexed="22"/>
      </bottom>
      <diagonal/>
    </border>
    <border>
      <left/>
      <right/>
      <top/>
      <bottom style="medium">
        <color indexed="30"/>
      </bottom>
      <diagonal/>
    </border>
    <border>
      <left/>
      <right/>
      <top/>
      <bottom style="medium">
        <color indexed="64"/>
      </bottom>
      <diagonal/>
    </border>
    <border>
      <left/>
      <right/>
      <top style="thin">
        <color indexed="62"/>
      </top>
      <bottom style="double">
        <color indexed="62"/>
      </bottom>
      <diagonal/>
    </border>
    <border>
      <left/>
      <right style="medium">
        <color indexed="64"/>
      </right>
      <top/>
      <bottom style="medium">
        <color auto="1"/>
      </bottom>
      <diagonal/>
    </border>
    <border>
      <left style="medium">
        <color indexed="64"/>
      </left>
      <right style="thin">
        <color indexed="64"/>
      </right>
      <top style="medium">
        <color auto="1"/>
      </top>
      <bottom style="thin">
        <color theme="1"/>
      </bottom>
      <diagonal/>
    </border>
    <border>
      <left style="thin">
        <color indexed="64"/>
      </left>
      <right style="thin">
        <color indexed="64"/>
      </right>
      <top style="medium">
        <color auto="1"/>
      </top>
      <bottom style="thin">
        <color theme="1"/>
      </bottom>
      <diagonal/>
    </border>
    <border>
      <left style="thin">
        <color indexed="64"/>
      </left>
      <right style="medium">
        <color indexed="64"/>
      </right>
      <top style="medium">
        <color auto="1"/>
      </top>
      <bottom style="thin">
        <color theme="1"/>
      </bottom>
      <diagonal/>
    </border>
    <border>
      <left style="thin">
        <color indexed="64"/>
      </left>
      <right style="thin">
        <color indexed="64"/>
      </right>
      <top style="medium">
        <color indexed="64"/>
      </top>
      <bottom/>
      <diagonal/>
    </border>
    <border>
      <left style="medium">
        <color theme="1"/>
      </left>
      <right style="thin">
        <color theme="0" tint="-0.34998626667073579"/>
      </right>
      <top style="thin">
        <color theme="0" tint="-0.34998626667073579"/>
      </top>
      <bottom style="thin">
        <color theme="0" tint="-0.34998626667073579"/>
      </bottom>
      <diagonal/>
    </border>
    <border>
      <left style="medium">
        <color theme="1"/>
      </left>
      <right style="thin">
        <color theme="0" tint="-0.34998626667073579"/>
      </right>
      <top/>
      <bottom style="thin">
        <color theme="0" tint="-0.34998626667073579"/>
      </bottom>
      <diagonal/>
    </border>
    <border>
      <left style="thin">
        <color theme="0" tint="-0.34998626667073579"/>
      </left>
      <right style="medium">
        <color theme="1"/>
      </right>
      <top style="thin">
        <color theme="0" tint="-0.34998626667073579"/>
      </top>
      <bottom style="thin">
        <color theme="0" tint="-0.34998626667073579"/>
      </bottom>
      <diagonal/>
    </border>
    <border>
      <left style="thin">
        <color theme="0" tint="-0.34998626667073579"/>
      </left>
      <right style="medium">
        <color theme="1"/>
      </right>
      <top/>
      <bottom style="thin">
        <color theme="0" tint="-0.34998626667073579"/>
      </bottom>
      <diagonal/>
    </border>
    <border>
      <left/>
      <right/>
      <top/>
      <bottom style="medium">
        <color auto="1"/>
      </bottom>
      <diagonal/>
    </border>
    <border>
      <left style="thin">
        <color theme="0" tint="-0.34998626667073579"/>
      </left>
      <right style="medium">
        <color theme="1"/>
      </right>
      <top style="medium">
        <color indexed="64"/>
      </top>
      <bottom style="thin">
        <color theme="0" tint="-0.34998626667073579"/>
      </bottom>
      <diagonal/>
    </border>
    <border>
      <left style="thin">
        <color theme="0" tint="-0.34998626667073579"/>
      </left>
      <right style="medium">
        <color theme="1"/>
      </right>
      <top style="thin">
        <color theme="0" tint="-0.34998626667073579"/>
      </top>
      <bottom style="medium">
        <color auto="1"/>
      </bottom>
      <diagonal/>
    </border>
    <border>
      <left style="thin">
        <color theme="0" tint="-0.24994659260841701"/>
      </left>
      <right style="thin">
        <color theme="0" tint="-0.34998626667073579"/>
      </right>
      <top style="medium">
        <color indexed="64"/>
      </top>
      <bottom style="thin">
        <color theme="0" tint="-0.34998626667073579"/>
      </bottom>
      <diagonal/>
    </border>
    <border>
      <left style="thin">
        <color theme="0" tint="-0.24994659260841701"/>
      </left>
      <right style="thin">
        <color theme="0" tint="-0.34998626667073579"/>
      </right>
      <top style="thin">
        <color theme="0" tint="-0.34998626667073579"/>
      </top>
      <bottom style="thin">
        <color theme="0" tint="-0.34998626667073579"/>
      </bottom>
      <diagonal/>
    </border>
    <border>
      <left style="thin">
        <color theme="0" tint="-0.24994659260841701"/>
      </left>
      <right style="thin">
        <color theme="0" tint="-0.34998626667073579"/>
      </right>
      <top style="thin">
        <color theme="0" tint="-0.34998626667073579"/>
      </top>
      <bottom style="medium">
        <color indexed="64"/>
      </bottom>
      <diagonal/>
    </border>
    <border>
      <left/>
      <right/>
      <top/>
      <bottom style="medium">
        <color indexed="38"/>
      </bottom>
      <diagonal/>
    </border>
    <border>
      <left/>
      <right/>
      <top/>
      <bottom style="medium">
        <color indexed="38"/>
      </bottom>
      <diagonal/>
    </border>
    <border>
      <left/>
      <right/>
      <top/>
      <bottom style="medium">
        <color indexed="64"/>
      </bottom>
      <diagonal/>
    </border>
    <border>
      <left/>
      <right/>
      <top/>
      <bottom style="medium">
        <color indexed="38"/>
      </bottom>
      <diagonal/>
    </border>
    <border>
      <left/>
      <right/>
      <top/>
      <bottom style="medium">
        <color auto="1"/>
      </bottom>
      <diagonal/>
    </border>
    <border>
      <left/>
      <right/>
      <top/>
      <bottom style="medium">
        <color indexed="38"/>
      </bottom>
      <diagonal/>
    </border>
    <border>
      <left/>
      <right/>
      <top/>
      <bottom style="medium">
        <color indexed="64"/>
      </bottom>
      <diagonal/>
    </border>
    <border>
      <left/>
      <right/>
      <top/>
      <bottom style="medium">
        <color indexed="38"/>
      </bottom>
      <diagonal/>
    </border>
    <border>
      <left/>
      <right/>
      <top/>
      <bottom style="medium">
        <color indexed="38"/>
      </bottom>
      <diagonal/>
    </border>
    <border>
      <left/>
      <right/>
      <top/>
      <bottom style="medium">
        <color indexed="64"/>
      </bottom>
      <diagonal/>
    </border>
    <border>
      <left/>
      <right/>
      <top/>
      <bottom style="medium">
        <color indexed="38"/>
      </bottom>
      <diagonal/>
    </border>
    <border>
      <left/>
      <right style="medium">
        <color indexed="64"/>
      </right>
      <top/>
      <bottom style="medium">
        <color indexed="64"/>
      </bottom>
      <diagonal/>
    </border>
  </borders>
  <cellStyleXfs count="1048">
    <xf numFmtId="0" fontId="0" fillId="0" borderId="0"/>
    <xf numFmtId="0" fontId="11" fillId="0" borderId="0"/>
    <xf numFmtId="0" fontId="20" fillId="2" borderId="0" applyNumberFormat="0" applyBorder="0" applyAlignment="0" applyProtection="0"/>
    <xf numFmtId="0" fontId="20" fillId="3" borderId="0" applyNumberFormat="0" applyBorder="0" applyAlignment="0" applyProtection="0"/>
    <xf numFmtId="0" fontId="20" fillId="4" borderId="0" applyNumberFormat="0" applyBorder="0" applyAlignment="0" applyProtection="0"/>
    <xf numFmtId="0" fontId="20" fillId="5" borderId="0" applyNumberFormat="0" applyBorder="0" applyAlignment="0" applyProtection="0"/>
    <xf numFmtId="0" fontId="20" fillId="2" borderId="0" applyNumberFormat="0" applyBorder="0" applyAlignment="0" applyProtection="0"/>
    <xf numFmtId="0" fontId="20" fillId="3" borderId="0" applyNumberFormat="0" applyBorder="0" applyAlignment="0" applyProtection="0"/>
    <xf numFmtId="0" fontId="20" fillId="2" borderId="0" applyNumberFormat="0" applyBorder="0" applyAlignment="0" applyProtection="0"/>
    <xf numFmtId="0" fontId="20" fillId="3" borderId="0" applyNumberFormat="0" applyBorder="0" applyAlignment="0" applyProtection="0"/>
    <xf numFmtId="0" fontId="20" fillId="6" borderId="0" applyNumberFormat="0" applyBorder="0" applyAlignment="0" applyProtection="0"/>
    <xf numFmtId="0" fontId="20" fillId="7" borderId="0" applyNumberFormat="0" applyBorder="0" applyAlignment="0" applyProtection="0"/>
    <xf numFmtId="0" fontId="20" fillId="2" borderId="0" applyNumberFormat="0" applyBorder="0" applyAlignment="0" applyProtection="0"/>
    <xf numFmtId="0" fontId="20" fillId="3" borderId="0" applyNumberFormat="0" applyBorder="0" applyAlignment="0" applyProtection="0"/>
    <xf numFmtId="0" fontId="21" fillId="2" borderId="0" applyNumberFormat="0" applyBorder="0" applyAlignment="0" applyProtection="0"/>
    <xf numFmtId="0" fontId="21" fillId="3" borderId="0" applyNumberFormat="0" applyBorder="0" applyAlignment="0" applyProtection="0"/>
    <xf numFmtId="0" fontId="21" fillId="6" borderId="0" applyNumberFormat="0" applyBorder="0" applyAlignment="0" applyProtection="0"/>
    <xf numFmtId="0" fontId="21" fillId="7" borderId="0" applyNumberFormat="0" applyBorder="0" applyAlignment="0" applyProtection="0"/>
    <xf numFmtId="0" fontId="21" fillId="2" borderId="0" applyNumberFormat="0" applyBorder="0" applyAlignment="0" applyProtection="0"/>
    <xf numFmtId="0" fontId="21" fillId="3" borderId="0" applyNumberFormat="0" applyBorder="0" applyAlignment="0" applyProtection="0"/>
    <xf numFmtId="0" fontId="21" fillId="8" borderId="0" applyNumberFormat="0" applyBorder="0" applyAlignment="0" applyProtection="0"/>
    <xf numFmtId="0" fontId="21" fillId="9" borderId="0" applyNumberFormat="0" applyBorder="0" applyAlignment="0" applyProtection="0"/>
    <xf numFmtId="0" fontId="21" fillId="10" borderId="0" applyNumberFormat="0" applyBorder="0" applyAlignment="0" applyProtection="0"/>
    <xf numFmtId="0" fontId="21" fillId="11" borderId="0" applyNumberFormat="0" applyBorder="0" applyAlignment="0" applyProtection="0"/>
    <xf numFmtId="0" fontId="7" fillId="0" borderId="0"/>
    <xf numFmtId="0" fontId="21" fillId="8" borderId="0" applyNumberFormat="0" applyBorder="0" applyAlignment="0" applyProtection="0"/>
    <xf numFmtId="0" fontId="21" fillId="12" borderId="0" applyNumberFormat="0" applyBorder="0" applyAlignment="0" applyProtection="0"/>
    <xf numFmtId="0" fontId="22" fillId="13" borderId="0" applyNumberFormat="0" applyBorder="0" applyAlignment="0" applyProtection="0"/>
    <xf numFmtId="0" fontId="23" fillId="5" borderId="1" applyNumberFormat="0" applyAlignment="0" applyProtection="0"/>
    <xf numFmtId="0" fontId="24" fillId="15" borderId="2" applyNumberFormat="0" applyAlignment="0" applyProtection="0"/>
    <xf numFmtId="43" fontId="7" fillId="0" borderId="0" applyFont="0" applyFill="0" applyBorder="0" applyAlignment="0" applyProtection="0"/>
    <xf numFmtId="44" fontId="7" fillId="0" borderId="0" applyFont="0" applyFill="0" applyBorder="0" applyAlignment="0" applyProtection="0"/>
    <xf numFmtId="0" fontId="26" fillId="0" borderId="0" applyNumberFormat="0" applyFill="0" applyBorder="0" applyAlignment="0" applyProtection="0"/>
    <xf numFmtId="0" fontId="27" fillId="16" borderId="0" applyNumberFormat="0" applyBorder="0" applyAlignment="0" applyProtection="0"/>
    <xf numFmtId="0" fontId="28" fillId="0" borderId="3" applyNumberFormat="0" applyFill="0" applyAlignment="0" applyProtection="0"/>
    <xf numFmtId="0" fontId="29" fillId="0" borderId="5" applyNumberFormat="0" applyFill="0" applyAlignment="0" applyProtection="0"/>
    <xf numFmtId="0" fontId="30" fillId="0" borderId="6" applyNumberFormat="0" applyFill="0" applyAlignment="0" applyProtection="0"/>
    <xf numFmtId="0" fontId="30" fillId="0" borderId="0" applyNumberFormat="0" applyFill="0" applyBorder="0" applyAlignment="0" applyProtection="0"/>
    <xf numFmtId="0" fontId="13" fillId="0" borderId="0" applyNumberFormat="0" applyFill="0" applyBorder="0" applyAlignment="0" applyProtection="0">
      <alignment vertical="top"/>
      <protection locked="0"/>
    </xf>
    <xf numFmtId="0" fontId="31" fillId="3" borderId="1" applyNumberFormat="0" applyAlignment="0" applyProtection="0"/>
    <xf numFmtId="0" fontId="32" fillId="0" borderId="7" applyNumberFormat="0" applyFill="0" applyAlignment="0" applyProtection="0"/>
    <xf numFmtId="0" fontId="33" fillId="6" borderId="0" applyNumberFormat="0" applyBorder="0" applyAlignment="0" applyProtection="0"/>
    <xf numFmtId="0" fontId="11" fillId="4" borderId="8" applyNumberFormat="0" applyFont="0" applyAlignment="0" applyProtection="0"/>
    <xf numFmtId="0" fontId="34" fillId="5" borderId="9" applyNumberFormat="0" applyAlignment="0" applyProtection="0"/>
    <xf numFmtId="9" fontId="7" fillId="0" borderId="0" applyFont="0" applyFill="0" applyBorder="0" applyAlignment="0" applyProtection="0"/>
    <xf numFmtId="0" fontId="35" fillId="0" borderId="0" applyNumberFormat="0" applyFill="0" applyBorder="0" applyAlignment="0" applyProtection="0"/>
    <xf numFmtId="0" fontId="25" fillId="0" borderId="11" applyNumberFormat="0" applyFill="0" applyAlignment="0" applyProtection="0"/>
    <xf numFmtId="0" fontId="36" fillId="0" borderId="0" applyNumberFormat="0" applyFill="0" applyBorder="0" applyAlignment="0" applyProtection="0"/>
    <xf numFmtId="0" fontId="7" fillId="0" borderId="0"/>
    <xf numFmtId="0" fontId="23" fillId="5" borderId="196" applyNumberFormat="0" applyAlignment="0" applyProtection="0"/>
    <xf numFmtId="0" fontId="7" fillId="0" borderId="0"/>
    <xf numFmtId="181" fontId="7" fillId="18" borderId="0" applyFont="0" applyBorder="0">
      <alignment horizontal="right"/>
    </xf>
    <xf numFmtId="165" fontId="7" fillId="37" borderId="0" applyFont="0" applyBorder="0" applyAlignment="0">
      <alignment horizontal="right"/>
      <protection locked="0"/>
    </xf>
    <xf numFmtId="0" fontId="7" fillId="0" borderId="0"/>
    <xf numFmtId="171" fontId="7" fillId="0" borderId="0"/>
    <xf numFmtId="0" fontId="100" fillId="0" borderId="0"/>
    <xf numFmtId="0" fontId="100"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30" fillId="0" borderId="200" applyNumberFormat="0" applyFill="0" applyAlignment="0" applyProtection="0"/>
    <xf numFmtId="0" fontId="31" fillId="3" borderId="196" applyNumberFormat="0" applyAlignment="0" applyProtection="0"/>
    <xf numFmtId="0" fontId="7" fillId="4" borderId="197" applyNumberFormat="0" applyFont="0" applyAlignment="0" applyProtection="0"/>
    <xf numFmtId="0" fontId="34" fillId="5" borderId="198" applyNumberFormat="0" applyAlignment="0" applyProtection="0"/>
    <xf numFmtId="0" fontId="25" fillId="0" borderId="199" applyNumberFormat="0" applyFill="0" applyAlignment="0" applyProtection="0"/>
    <xf numFmtId="0" fontId="7" fillId="0" borderId="0"/>
    <xf numFmtId="185" fontId="12" fillId="0" borderId="0"/>
    <xf numFmtId="185" fontId="12" fillId="0" borderId="0"/>
    <xf numFmtId="0" fontId="20" fillId="58" borderId="0" applyNumberFormat="0" applyBorder="0" applyAlignment="0" applyProtection="0"/>
    <xf numFmtId="0" fontId="20" fillId="58" borderId="0" applyNumberFormat="0" applyBorder="0" applyAlignment="0" applyProtection="0"/>
    <xf numFmtId="0" fontId="21" fillId="59" borderId="0" applyNumberFormat="0" applyBorder="0" applyAlignment="0" applyProtection="0"/>
    <xf numFmtId="0" fontId="20" fillId="60" borderId="0" applyNumberFormat="0" applyBorder="0" applyAlignment="0" applyProtection="0"/>
    <xf numFmtId="0" fontId="20" fillId="61" borderId="0" applyNumberFormat="0" applyBorder="0" applyAlignment="0" applyProtection="0"/>
    <xf numFmtId="0" fontId="21" fillId="62" borderId="0" applyNumberFormat="0" applyBorder="0" applyAlignment="0" applyProtection="0"/>
    <xf numFmtId="0" fontId="20" fillId="60" borderId="0" applyNumberFormat="0" applyBorder="0" applyAlignment="0" applyProtection="0"/>
    <xf numFmtId="0" fontId="20" fillId="63" borderId="0" applyNumberFormat="0" applyBorder="0" applyAlignment="0" applyProtection="0"/>
    <xf numFmtId="0" fontId="21" fillId="61" borderId="0" applyNumberFormat="0" applyBorder="0" applyAlignment="0" applyProtection="0"/>
    <xf numFmtId="0" fontId="20" fillId="58" borderId="0" applyNumberFormat="0" applyBorder="0" applyAlignment="0" applyProtection="0"/>
    <xf numFmtId="0" fontId="20" fillId="61" borderId="0" applyNumberFormat="0" applyBorder="0" applyAlignment="0" applyProtection="0"/>
    <xf numFmtId="0" fontId="21" fillId="61" borderId="0" applyNumberFormat="0" applyBorder="0" applyAlignment="0" applyProtection="0"/>
    <xf numFmtId="0" fontId="20" fillId="64" borderId="0" applyNumberFormat="0" applyBorder="0" applyAlignment="0" applyProtection="0"/>
    <xf numFmtId="0" fontId="20" fillId="58" borderId="0" applyNumberFormat="0" applyBorder="0" applyAlignment="0" applyProtection="0"/>
    <xf numFmtId="0" fontId="21" fillId="59" borderId="0" applyNumberFormat="0" applyBorder="0" applyAlignment="0" applyProtection="0"/>
    <xf numFmtId="0" fontId="20" fillId="60" borderId="0" applyNumberFormat="0" applyBorder="0" applyAlignment="0" applyProtection="0"/>
    <xf numFmtId="0" fontId="20" fillId="65" borderId="0" applyNumberFormat="0" applyBorder="0" applyAlignment="0" applyProtection="0"/>
    <xf numFmtId="0" fontId="21" fillId="65" borderId="0" applyNumberFormat="0" applyBorder="0" applyAlignment="0" applyProtection="0"/>
    <xf numFmtId="0" fontId="106" fillId="0" borderId="0"/>
    <xf numFmtId="42" fontId="9" fillId="0" borderId="0" applyFont="0" applyFill="0" applyBorder="0" applyAlignment="0" applyProtection="0"/>
    <xf numFmtId="0" fontId="107" fillId="0" borderId="0" applyNumberFormat="0" applyFill="0" applyBorder="0" applyAlignment="0"/>
    <xf numFmtId="165" fontId="7" fillId="14" borderId="0" applyNumberFormat="0" applyFont="0" applyBorder="0" applyAlignment="0">
      <alignment horizontal="right"/>
    </xf>
    <xf numFmtId="0" fontId="108" fillId="0" borderId="0" applyNumberFormat="0" applyFill="0" applyBorder="0" applyAlignment="0">
      <protection locked="0"/>
    </xf>
    <xf numFmtId="41" fontId="7" fillId="0" borderId="0" applyFont="0" applyFill="0" applyBorder="0" applyAlignment="0" applyProtection="0"/>
    <xf numFmtId="0" fontId="109" fillId="0" borderId="0" applyFont="0" applyFill="0" applyBorder="0" applyAlignment="0" applyProtection="0"/>
    <xf numFmtId="0" fontId="7" fillId="0" borderId="0" applyFont="0" applyFill="0" applyBorder="0" applyAlignment="0" applyProtection="0"/>
    <xf numFmtId="43" fontId="7" fillId="0" borderId="0" applyFont="0" applyFill="0" applyBorder="0" applyAlignment="0" applyProtection="0"/>
    <xf numFmtId="43" fontId="20" fillId="0" borderId="0" applyFont="0" applyFill="0" applyBorder="0" applyAlignment="0" applyProtection="0"/>
    <xf numFmtId="43" fontId="7" fillId="0" borderId="0" applyFont="0" applyFill="0" applyBorder="0" applyAlignment="0" applyProtection="0"/>
    <xf numFmtId="0" fontId="7" fillId="0" borderId="0" applyFont="0" applyFill="0" applyBorder="0" applyAlignment="0" applyProtection="0"/>
    <xf numFmtId="3" fontId="110"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2" fontId="7" fillId="0" borderId="0" applyFont="0" applyFill="0" applyBorder="0" applyAlignment="0" applyProtection="0"/>
    <xf numFmtId="186" fontId="7" fillId="0" borderId="0" applyFont="0" applyFill="0" applyBorder="0" applyAlignment="0" applyProtection="0"/>
    <xf numFmtId="0" fontId="25" fillId="66" borderId="0" applyNumberFormat="0" applyBorder="0" applyAlignment="0" applyProtection="0"/>
    <xf numFmtId="0" fontId="25" fillId="67" borderId="0" applyNumberFormat="0" applyBorder="0" applyAlignment="0" applyProtection="0"/>
    <xf numFmtId="0" fontId="25" fillId="68" borderId="0" applyNumberFormat="0" applyBorder="0" applyAlignment="0" applyProtection="0"/>
    <xf numFmtId="171" fontId="20" fillId="0" borderId="0" applyFont="0" applyFill="0" applyBorder="0" applyAlignment="0" applyProtection="0"/>
    <xf numFmtId="187" fontId="7" fillId="0" borderId="0" applyFont="0" applyFill="0" applyBorder="0" applyAlignment="0" applyProtection="0"/>
    <xf numFmtId="0" fontId="111" fillId="0" borderId="0"/>
    <xf numFmtId="0" fontId="112" fillId="0" borderId="0"/>
    <xf numFmtId="0" fontId="10" fillId="0" borderId="0" applyFill="0" applyBorder="0">
      <alignment vertical="center"/>
    </xf>
    <xf numFmtId="0" fontId="10" fillId="0" borderId="0" applyFill="0" applyBorder="0">
      <alignment vertical="center"/>
    </xf>
    <xf numFmtId="0" fontId="113" fillId="0" borderId="0" applyFill="0" applyBorder="0">
      <alignment vertical="center"/>
    </xf>
    <xf numFmtId="0" fontId="113" fillId="0" borderId="0" applyFill="0" applyBorder="0">
      <alignment vertical="center"/>
    </xf>
    <xf numFmtId="0" fontId="114" fillId="0" borderId="0" applyFill="0" applyBorder="0">
      <alignment vertical="center"/>
    </xf>
    <xf numFmtId="0" fontId="114" fillId="0" borderId="0" applyFill="0" applyBorder="0">
      <alignment vertical="center"/>
    </xf>
    <xf numFmtId="0" fontId="12" fillId="0" borderId="0" applyFill="0" applyBorder="0">
      <alignment vertical="center"/>
    </xf>
    <xf numFmtId="0" fontId="12" fillId="0" borderId="0" applyFill="0" applyBorder="0">
      <alignment vertical="center"/>
    </xf>
    <xf numFmtId="164" fontId="115" fillId="0" borderId="0"/>
    <xf numFmtId="0" fontId="116" fillId="0" borderId="0" applyNumberFormat="0" applyFill="0" applyBorder="0" applyAlignment="0" applyProtection="0">
      <alignment vertical="top"/>
      <protection locked="0"/>
    </xf>
    <xf numFmtId="0" fontId="117" fillId="0" borderId="0" applyFill="0" applyBorder="0">
      <alignment horizontal="center" vertical="center"/>
      <protection locked="0"/>
    </xf>
    <xf numFmtId="0" fontId="118" fillId="0" borderId="0" applyFill="0" applyBorder="0">
      <alignment horizontal="left" vertical="center"/>
      <protection locked="0"/>
    </xf>
    <xf numFmtId="165" fontId="7" fillId="17" borderId="0" applyFont="0" applyBorder="0" applyAlignment="0">
      <alignment horizontal="right"/>
      <protection locked="0"/>
    </xf>
    <xf numFmtId="184" fontId="7" fillId="69" borderId="0" applyFont="0" applyBorder="0">
      <alignment horizontal="right"/>
      <protection locked="0"/>
    </xf>
    <xf numFmtId="165" fontId="7" fillId="18" borderId="0" applyFont="0" applyBorder="0">
      <alignment horizontal="right"/>
      <protection locked="0"/>
    </xf>
    <xf numFmtId="0" fontId="12" fillId="14" borderId="0"/>
    <xf numFmtId="188" fontId="119" fillId="0" borderId="0"/>
    <xf numFmtId="0" fontId="15" fillId="0" borderId="0" applyFill="0" applyBorder="0">
      <alignment horizontal="left" vertical="center"/>
    </xf>
    <xf numFmtId="189" fontId="120" fillId="0" borderId="0"/>
    <xf numFmtId="0" fontId="7" fillId="0" borderId="0"/>
    <xf numFmtId="0" fontId="20" fillId="0" borderId="0"/>
    <xf numFmtId="0" fontId="7" fillId="0" borderId="0"/>
    <xf numFmtId="0" fontId="7" fillId="0" borderId="0"/>
    <xf numFmtId="0" fontId="7" fillId="0" borderId="0"/>
    <xf numFmtId="0" fontId="7" fillId="0" borderId="0"/>
    <xf numFmtId="0" fontId="7" fillId="0" borderId="0"/>
    <xf numFmtId="0" fontId="20" fillId="0" borderId="0"/>
    <xf numFmtId="0" fontId="9" fillId="0" borderId="0"/>
    <xf numFmtId="190" fontId="7" fillId="0" borderId="0" applyFill="0" applyBorder="0"/>
    <xf numFmtId="9" fontId="7" fillId="0" borderId="0" applyFont="0" applyFill="0" applyBorder="0" applyAlignment="0" applyProtection="0"/>
    <xf numFmtId="9" fontId="7" fillId="0" borderId="0" applyFont="0" applyFill="0" applyBorder="0" applyAlignment="0" applyProtection="0"/>
    <xf numFmtId="164" fontId="121" fillId="0" borderId="0"/>
    <xf numFmtId="0" fontId="114" fillId="0" borderId="0" applyFill="0" applyBorder="0">
      <alignment vertical="center"/>
    </xf>
    <xf numFmtId="0" fontId="109" fillId="0" borderId="0" applyNumberFormat="0" applyFont="0" applyFill="0" applyBorder="0" applyAlignment="0" applyProtection="0">
      <alignment horizontal="left"/>
    </xf>
    <xf numFmtId="15" fontId="109" fillId="0" borderId="0" applyFont="0" applyFill="0" applyBorder="0" applyAlignment="0" applyProtection="0"/>
    <xf numFmtId="4" fontId="109" fillId="0" borderId="0" applyFont="0" applyFill="0" applyBorder="0" applyAlignment="0" applyProtection="0"/>
    <xf numFmtId="191" fontId="122" fillId="0" borderId="213"/>
    <xf numFmtId="0" fontId="123" fillId="0" borderId="201">
      <alignment horizontal="center"/>
    </xf>
    <xf numFmtId="3" fontId="109" fillId="0" borderId="0" applyFont="0" applyFill="0" applyBorder="0" applyAlignment="0" applyProtection="0"/>
    <xf numFmtId="0" fontId="109" fillId="70" borderId="0" applyNumberFormat="0" applyFont="0" applyBorder="0" applyAlignment="0" applyProtection="0"/>
    <xf numFmtId="192" fontId="7" fillId="0" borderId="0"/>
    <xf numFmtId="193" fontId="12" fillId="0" borderId="0" applyFill="0" applyBorder="0">
      <alignment horizontal="right" vertical="center"/>
    </xf>
    <xf numFmtId="194" fontId="12" fillId="0" borderId="0" applyFill="0" applyBorder="0">
      <alignment horizontal="right" vertical="center"/>
    </xf>
    <xf numFmtId="195" fontId="12" fillId="0" borderId="0" applyFill="0" applyBorder="0">
      <alignment horizontal="right" vertical="center"/>
    </xf>
    <xf numFmtId="0" fontId="7" fillId="4" borderId="0" applyNumberFormat="0" applyFont="0" applyBorder="0" applyAlignment="0" applyProtection="0"/>
    <xf numFmtId="0" fontId="7" fillId="5" borderId="0" applyNumberFormat="0" applyFont="0" applyBorder="0" applyAlignment="0" applyProtection="0"/>
    <xf numFmtId="0" fontId="7" fillId="7" borderId="0" applyNumberFormat="0" applyFont="0" applyBorder="0" applyAlignment="0" applyProtection="0"/>
    <xf numFmtId="0" fontId="7" fillId="0" borderId="0" applyNumberFormat="0" applyFont="0" applyFill="0" applyBorder="0" applyAlignment="0" applyProtection="0"/>
    <xf numFmtId="0" fontId="7" fillId="7" borderId="0" applyNumberFormat="0" applyFont="0" applyBorder="0" applyAlignment="0" applyProtection="0"/>
    <xf numFmtId="0" fontId="7" fillId="0" borderId="0" applyNumberFormat="0" applyFont="0" applyFill="0" applyBorder="0" applyAlignment="0" applyProtection="0"/>
    <xf numFmtId="0" fontId="7" fillId="0" borderId="0" applyNumberFormat="0" applyFont="0" applyBorder="0" applyAlignment="0" applyProtection="0"/>
    <xf numFmtId="0" fontId="35" fillId="0" borderId="0" applyNumberFormat="0" applyFill="0" applyBorder="0" applyAlignment="0" applyProtection="0"/>
    <xf numFmtId="0" fontId="7" fillId="0" borderId="0"/>
    <xf numFmtId="0" fontId="15" fillId="0" borderId="0"/>
    <xf numFmtId="0" fontId="18" fillId="0" borderId="0"/>
    <xf numFmtId="15" fontId="7" fillId="0" borderId="0"/>
    <xf numFmtId="10" fontId="7" fillId="0" borderId="0"/>
    <xf numFmtId="0" fontId="124" fillId="19" borderId="214" applyBorder="0" applyProtection="0">
      <alignment horizontal="centerContinuous" vertical="center"/>
    </xf>
    <xf numFmtId="0" fontId="125" fillId="0" borderId="0" applyBorder="0" applyProtection="0">
      <alignment vertical="center"/>
    </xf>
    <xf numFmtId="0" fontId="126" fillId="0" borderId="0">
      <alignment horizontal="left"/>
    </xf>
    <xf numFmtId="0" fontId="126" fillId="0" borderId="10" applyFill="0" applyBorder="0" applyProtection="0">
      <alignment horizontal="left" vertical="top"/>
    </xf>
    <xf numFmtId="49" fontId="7" fillId="0" borderId="0" applyFont="0" applyFill="0" applyBorder="0" applyAlignment="0" applyProtection="0"/>
    <xf numFmtId="0" fontId="127" fillId="0" borderId="0"/>
    <xf numFmtId="0" fontId="128" fillId="0" borderId="0"/>
    <xf numFmtId="0" fontId="128" fillId="0" borderId="0"/>
    <xf numFmtId="0" fontId="127" fillId="0" borderId="0"/>
    <xf numFmtId="188" fontId="129" fillId="0" borderId="0"/>
    <xf numFmtId="0" fontId="130" fillId="0" borderId="0" applyFill="0" applyBorder="0">
      <alignment horizontal="left" vertical="center"/>
      <protection locked="0"/>
    </xf>
    <xf numFmtId="0" fontId="127" fillId="0" borderId="0"/>
    <xf numFmtId="0" fontId="131" fillId="0" borderId="0" applyFill="0" applyBorder="0">
      <alignment horizontal="left" vertical="center"/>
      <protection locked="0"/>
    </xf>
    <xf numFmtId="196" fontId="7" fillId="0" borderId="214" applyBorder="0" applyProtection="0">
      <alignment horizontal="right"/>
    </xf>
    <xf numFmtId="0" fontId="7" fillId="0" borderId="0"/>
    <xf numFmtId="0" fontId="7" fillId="0" borderId="0"/>
    <xf numFmtId="165" fontId="7" fillId="14" borderId="0" applyNumberFormat="0" applyFont="0" applyBorder="0" applyAlignment="0">
      <alignment horizontal="right"/>
    </xf>
    <xf numFmtId="0"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186" fontId="7" fillId="0" borderId="0" applyFont="0" applyFill="0" applyBorder="0" applyAlignment="0" applyProtection="0"/>
    <xf numFmtId="187" fontId="7" fillId="0" borderId="0" applyFont="0" applyFill="0" applyBorder="0" applyAlignment="0" applyProtection="0"/>
    <xf numFmtId="165" fontId="7" fillId="17" borderId="0" applyFont="0" applyBorder="0" applyAlignment="0">
      <alignment horizontal="right"/>
      <protection locked="0"/>
    </xf>
    <xf numFmtId="184" fontId="7" fillId="69" borderId="0" applyFont="0" applyBorder="0">
      <alignment horizontal="right"/>
      <protection locked="0"/>
    </xf>
    <xf numFmtId="165" fontId="7" fillId="18" borderId="0" applyFont="0" applyBorder="0">
      <alignment horizontal="right"/>
      <protection locked="0"/>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90" fontId="7" fillId="0" borderId="0" applyFill="0" applyBorder="0"/>
    <xf numFmtId="9" fontId="7" fillId="0" borderId="0" applyFont="0" applyFill="0" applyBorder="0" applyAlignment="0" applyProtection="0"/>
    <xf numFmtId="9" fontId="7" fillId="0" borderId="0" applyFont="0" applyFill="0" applyBorder="0" applyAlignment="0" applyProtection="0"/>
    <xf numFmtId="192" fontId="7" fillId="0" borderId="0"/>
    <xf numFmtId="0" fontId="7" fillId="4" borderId="0" applyNumberFormat="0" applyFont="0" applyBorder="0" applyAlignment="0" applyProtection="0"/>
    <xf numFmtId="0" fontId="7" fillId="5" borderId="0" applyNumberFormat="0" applyFont="0" applyBorder="0" applyAlignment="0" applyProtection="0"/>
    <xf numFmtId="0" fontId="7" fillId="7" borderId="0" applyNumberFormat="0" applyFont="0" applyBorder="0" applyAlignment="0" applyProtection="0"/>
    <xf numFmtId="0" fontId="7" fillId="0" borderId="0" applyNumberFormat="0" applyFont="0" applyFill="0" applyBorder="0" applyAlignment="0" applyProtection="0"/>
    <xf numFmtId="0" fontId="7" fillId="7" borderId="0" applyNumberFormat="0" applyFont="0" applyBorder="0" applyAlignment="0" applyProtection="0"/>
    <xf numFmtId="0" fontId="7" fillId="0" borderId="0" applyNumberFormat="0" applyFont="0" applyFill="0" applyBorder="0" applyAlignment="0" applyProtection="0"/>
    <xf numFmtId="0" fontId="7" fillId="0" borderId="0" applyNumberFormat="0" applyFont="0" applyBorder="0" applyAlignment="0" applyProtection="0"/>
    <xf numFmtId="0" fontId="7" fillId="0" borderId="0"/>
    <xf numFmtId="15" fontId="7" fillId="0" borderId="0"/>
    <xf numFmtId="10" fontId="7" fillId="0" borderId="0"/>
    <xf numFmtId="0" fontId="7" fillId="0" borderId="0"/>
    <xf numFmtId="49" fontId="7" fillId="0" borderId="0" applyFont="0" applyFill="0" applyBorder="0" applyAlignment="0" applyProtection="0"/>
    <xf numFmtId="196" fontId="7" fillId="0" borderId="214" applyBorder="0" applyProtection="0">
      <alignment horizontal="right"/>
    </xf>
    <xf numFmtId="0" fontId="20" fillId="2" borderId="0" applyNumberFormat="0" applyBorder="0" applyAlignment="0" applyProtection="0"/>
    <xf numFmtId="0" fontId="20" fillId="3" borderId="0" applyNumberFormat="0" applyBorder="0" applyAlignment="0" applyProtection="0"/>
    <xf numFmtId="0" fontId="20" fillId="4" borderId="0" applyNumberFormat="0" applyBorder="0" applyAlignment="0" applyProtection="0"/>
    <xf numFmtId="0" fontId="20" fillId="5" borderId="0" applyNumberFormat="0" applyBorder="0" applyAlignment="0" applyProtection="0"/>
    <xf numFmtId="0" fontId="20" fillId="2" borderId="0" applyNumberFormat="0" applyBorder="0" applyAlignment="0" applyProtection="0"/>
    <xf numFmtId="0" fontId="20" fillId="3" borderId="0" applyNumberFormat="0" applyBorder="0" applyAlignment="0" applyProtection="0"/>
    <xf numFmtId="0" fontId="20" fillId="2" borderId="0" applyNumberFormat="0" applyBorder="0" applyAlignment="0" applyProtection="0"/>
    <xf numFmtId="0" fontId="20" fillId="3" borderId="0" applyNumberFormat="0" applyBorder="0" applyAlignment="0" applyProtection="0"/>
    <xf numFmtId="0" fontId="20" fillId="6" borderId="0" applyNumberFormat="0" applyBorder="0" applyAlignment="0" applyProtection="0"/>
    <xf numFmtId="0" fontId="20" fillId="7" borderId="0" applyNumberFormat="0" applyBorder="0" applyAlignment="0" applyProtection="0"/>
    <xf numFmtId="0" fontId="20" fillId="2" borderId="0" applyNumberFormat="0" applyBorder="0" applyAlignment="0" applyProtection="0"/>
    <xf numFmtId="0" fontId="20" fillId="3" borderId="0" applyNumberFormat="0" applyBorder="0" applyAlignment="0" applyProtection="0"/>
    <xf numFmtId="0" fontId="21" fillId="2" borderId="0" applyNumberFormat="0" applyBorder="0" applyAlignment="0" applyProtection="0"/>
    <xf numFmtId="0" fontId="21" fillId="3" borderId="0" applyNumberFormat="0" applyBorder="0" applyAlignment="0" applyProtection="0"/>
    <xf numFmtId="0" fontId="21" fillId="6" borderId="0" applyNumberFormat="0" applyBorder="0" applyAlignment="0" applyProtection="0"/>
    <xf numFmtId="0" fontId="21" fillId="7" borderId="0" applyNumberFormat="0" applyBorder="0" applyAlignment="0" applyProtection="0"/>
    <xf numFmtId="0" fontId="21" fillId="2" borderId="0" applyNumberFormat="0" applyBorder="0" applyAlignment="0" applyProtection="0"/>
    <xf numFmtId="0" fontId="21" fillId="3" borderId="0" applyNumberFormat="0" applyBorder="0" applyAlignment="0" applyProtection="0"/>
    <xf numFmtId="0" fontId="21" fillId="8" borderId="0" applyNumberFormat="0" applyBorder="0" applyAlignment="0" applyProtection="0"/>
    <xf numFmtId="0" fontId="21" fillId="9" borderId="0" applyNumberFormat="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8" borderId="0" applyNumberFormat="0" applyBorder="0" applyAlignment="0" applyProtection="0"/>
    <xf numFmtId="0" fontId="21" fillId="12" borderId="0" applyNumberFormat="0" applyBorder="0" applyAlignment="0" applyProtection="0"/>
    <xf numFmtId="0" fontId="22" fillId="13" borderId="0" applyNumberFormat="0" applyBorder="0" applyAlignment="0" applyProtection="0"/>
    <xf numFmtId="0" fontId="24" fillId="15" borderId="2" applyNumberFormat="0" applyAlignment="0" applyProtection="0"/>
    <xf numFmtId="173" fontId="7" fillId="0" borderId="0" applyFont="0" applyFill="0" applyBorder="0" applyAlignment="0" applyProtection="0"/>
    <xf numFmtId="173" fontId="132"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0" fontId="26" fillId="0" borderId="0" applyNumberFormat="0" applyFill="0" applyBorder="0" applyAlignment="0" applyProtection="0"/>
    <xf numFmtId="0" fontId="27" fillId="16" borderId="0" applyNumberFormat="0" applyBorder="0" applyAlignment="0" applyProtection="0"/>
    <xf numFmtId="0" fontId="28" fillId="0" borderId="3" applyNumberFormat="0" applyFill="0" applyAlignment="0" applyProtection="0"/>
    <xf numFmtId="0" fontId="29" fillId="0" borderId="5" applyNumberFormat="0" applyFill="0" applyAlignment="0" applyProtection="0"/>
    <xf numFmtId="0" fontId="30" fillId="0" borderId="200" applyNumberFormat="0" applyFill="0" applyAlignment="0" applyProtection="0"/>
    <xf numFmtId="0" fontId="30" fillId="0" borderId="0" applyNumberFormat="0" applyFill="0" applyBorder="0" applyAlignment="0" applyProtection="0"/>
    <xf numFmtId="0" fontId="32" fillId="0" borderId="7" applyNumberFormat="0" applyFill="0" applyAlignment="0" applyProtection="0"/>
    <xf numFmtId="0" fontId="33" fillId="6" borderId="0" applyNumberFormat="0" applyBorder="0" applyAlignment="0" applyProtection="0"/>
    <xf numFmtId="0" fontId="7" fillId="0" borderId="0"/>
    <xf numFmtId="0" fontId="7" fillId="20" borderId="0"/>
    <xf numFmtId="0" fontId="6" fillId="0" borderId="0"/>
    <xf numFmtId="0" fontId="7" fillId="0" borderId="0"/>
    <xf numFmtId="0" fontId="7" fillId="20" borderId="0"/>
    <xf numFmtId="0" fontId="6" fillId="0" borderId="0"/>
    <xf numFmtId="0" fontId="7" fillId="0" borderId="0"/>
    <xf numFmtId="9" fontId="7" fillId="0" borderId="0" applyFont="0" applyFill="0" applyBorder="0" applyAlignment="0" applyProtection="0"/>
    <xf numFmtId="0" fontId="35" fillId="0" borderId="0" applyNumberFormat="0" applyFill="0" applyBorder="0" applyAlignment="0" applyProtection="0"/>
    <xf numFmtId="0" fontId="36" fillId="0" borderId="0" applyNumberForma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90" fontId="7" fillId="0" borderId="0" applyFill="0" applyBorder="0"/>
    <xf numFmtId="192" fontId="7" fillId="0" borderId="0"/>
    <xf numFmtId="0" fontId="7" fillId="0" borderId="0"/>
    <xf numFmtId="15" fontId="7" fillId="0" borderId="0"/>
    <xf numFmtId="10" fontId="7" fillId="0" borderId="0"/>
    <xf numFmtId="196" fontId="7" fillId="0" borderId="214" applyBorder="0" applyProtection="0">
      <alignment horizontal="right"/>
    </xf>
    <xf numFmtId="49" fontId="71" fillId="41" borderId="255">
      <alignment horizontal="center" vertical="center" wrapText="1"/>
    </xf>
    <xf numFmtId="0" fontId="7" fillId="0" borderId="0"/>
    <xf numFmtId="0" fontId="5" fillId="0" borderId="0"/>
    <xf numFmtId="0" fontId="7" fillId="0" borderId="0" applyFill="0"/>
    <xf numFmtId="0" fontId="7" fillId="73" borderId="0"/>
    <xf numFmtId="171" fontId="7" fillId="0" borderId="0"/>
    <xf numFmtId="0" fontId="5" fillId="75" borderId="0" applyNumberFormat="0" applyBorder="0" applyAlignment="0" applyProtection="0"/>
    <xf numFmtId="0" fontId="5" fillId="76" borderId="0" applyNumberFormat="0" applyBorder="0" applyAlignment="0" applyProtection="0"/>
    <xf numFmtId="165" fontId="7" fillId="14" borderId="0" applyNumberFormat="0" applyFont="0" applyBorder="0" applyAlignment="0">
      <alignment horizontal="right"/>
    </xf>
    <xf numFmtId="0" fontId="23" fillId="5" borderId="196" applyNumberFormat="0" applyAlignment="0" applyProtection="0"/>
    <xf numFmtId="0" fontId="23" fillId="5" borderId="196" applyNumberFormat="0" applyAlignment="0" applyProtection="0"/>
    <xf numFmtId="0" fontId="24" fillId="15" borderId="2" applyNumberFormat="0" applyAlignment="0" applyProtection="0"/>
    <xf numFmtId="43" fontId="5" fillId="0" borderId="0" applyFont="0" applyFill="0" applyBorder="0" applyAlignment="0" applyProtection="0"/>
    <xf numFmtId="43" fontId="7" fillId="0" borderId="0" applyFont="0" applyFill="0" applyBorder="0" applyAlignment="0" applyProtection="0"/>
    <xf numFmtId="173" fontId="7" fillId="0" borderId="0" applyFont="0" applyFill="0" applyBorder="0" applyAlignment="0" applyProtection="0"/>
    <xf numFmtId="43" fontId="20" fillId="0" borderId="0" applyFont="0" applyFill="0" applyBorder="0" applyAlignment="0" applyProtection="0"/>
    <xf numFmtId="43" fontId="7" fillId="0" borderId="0" applyFont="0" applyFill="0" applyBorder="0" applyAlignment="0" applyProtection="0"/>
    <xf numFmtId="0" fontId="7" fillId="0" borderId="0" applyFont="0" applyFill="0" applyBorder="0" applyAlignment="0" applyProtection="0"/>
    <xf numFmtId="173" fontId="132" fillId="0" borderId="0" applyFont="0" applyFill="0" applyBorder="0" applyAlignment="0" applyProtection="0"/>
    <xf numFmtId="173" fontId="132" fillId="0" borderId="0" applyFont="0" applyFill="0" applyBorder="0" applyAlignment="0" applyProtection="0"/>
    <xf numFmtId="0"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7" fillId="0" borderId="0" applyFont="0" applyFill="0" applyBorder="0" applyAlignment="0" applyProtection="0"/>
    <xf numFmtId="198" fontId="7"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30" fillId="0" borderId="200" applyNumberFormat="0" applyFill="0" applyAlignment="0" applyProtection="0"/>
    <xf numFmtId="0" fontId="30" fillId="0" borderId="200" applyNumberFormat="0" applyFill="0" applyAlignment="0" applyProtection="0"/>
    <xf numFmtId="0" fontId="30" fillId="0" borderId="200" applyNumberFormat="0" applyFill="0" applyAlignment="0" applyProtection="0"/>
    <xf numFmtId="0" fontId="30" fillId="0" borderId="200" applyNumberFormat="0" applyFill="0" applyAlignment="0" applyProtection="0"/>
    <xf numFmtId="0" fontId="30" fillId="0" borderId="200" applyNumberFormat="0" applyFill="0" applyAlignment="0" applyProtection="0"/>
    <xf numFmtId="0" fontId="30" fillId="0" borderId="200" applyNumberFormat="0" applyFill="0" applyAlignment="0" applyProtection="0"/>
    <xf numFmtId="0" fontId="30" fillId="0" borderId="200" applyNumberFormat="0" applyFill="0" applyAlignment="0" applyProtection="0"/>
    <xf numFmtId="0" fontId="30" fillId="0" borderId="200" applyNumberFormat="0" applyFill="0" applyAlignment="0" applyProtection="0"/>
    <xf numFmtId="0" fontId="30" fillId="0" borderId="200" applyNumberFormat="0" applyFill="0" applyAlignment="0" applyProtection="0"/>
    <xf numFmtId="0" fontId="30" fillId="0" borderId="200" applyNumberFormat="0" applyFill="0" applyAlignment="0" applyProtection="0"/>
    <xf numFmtId="0" fontId="30" fillId="0" borderId="200" applyNumberFormat="0" applyFill="0" applyAlignment="0" applyProtection="0"/>
    <xf numFmtId="0" fontId="30" fillId="0" borderId="200" applyNumberFormat="0" applyFill="0" applyAlignment="0" applyProtection="0"/>
    <xf numFmtId="0" fontId="30" fillId="0" borderId="200" applyNumberFormat="0" applyFill="0" applyAlignment="0" applyProtection="0"/>
    <xf numFmtId="0" fontId="30" fillId="0" borderId="200" applyNumberFormat="0" applyFill="0" applyAlignment="0" applyProtection="0"/>
    <xf numFmtId="0" fontId="30" fillId="0" borderId="200" applyNumberFormat="0" applyFill="0" applyAlignment="0" applyProtection="0"/>
    <xf numFmtId="0" fontId="30" fillId="0" borderId="200" applyNumberFormat="0" applyFill="0" applyAlignment="0" applyProtection="0"/>
    <xf numFmtId="0" fontId="30" fillId="0" borderId="200" applyNumberFormat="0" applyFill="0" applyAlignment="0" applyProtection="0"/>
    <xf numFmtId="0" fontId="30" fillId="0" borderId="200" applyNumberFormat="0" applyFill="0" applyAlignment="0" applyProtection="0"/>
    <xf numFmtId="0" fontId="30" fillId="0" borderId="200" applyNumberFormat="0" applyFill="0" applyAlignment="0" applyProtection="0"/>
    <xf numFmtId="0" fontId="30" fillId="0" borderId="200" applyNumberFormat="0" applyFill="0" applyAlignment="0" applyProtection="0"/>
    <xf numFmtId="0" fontId="30" fillId="0" borderId="200" applyNumberFormat="0" applyFill="0" applyAlignment="0" applyProtection="0"/>
    <xf numFmtId="0" fontId="30" fillId="0" borderId="200" applyNumberFormat="0" applyFill="0" applyAlignment="0" applyProtection="0"/>
    <xf numFmtId="0" fontId="30" fillId="0" borderId="200" applyNumberFormat="0" applyFill="0" applyAlignment="0" applyProtection="0"/>
    <xf numFmtId="0" fontId="30" fillId="0" borderId="200" applyNumberFormat="0" applyFill="0" applyAlignment="0" applyProtection="0"/>
    <xf numFmtId="0" fontId="30" fillId="0" borderId="200" applyNumberFormat="0" applyFill="0" applyAlignment="0" applyProtection="0"/>
    <xf numFmtId="0" fontId="30" fillId="0" borderId="200" applyNumberFormat="0" applyFill="0" applyAlignment="0" applyProtection="0"/>
    <xf numFmtId="0" fontId="30" fillId="0" borderId="200" applyNumberFormat="0" applyFill="0" applyAlignment="0" applyProtection="0"/>
    <xf numFmtId="0" fontId="30" fillId="0" borderId="200" applyNumberFormat="0" applyFill="0" applyAlignment="0" applyProtection="0"/>
    <xf numFmtId="0" fontId="30" fillId="0" borderId="200" applyNumberFormat="0" applyFill="0" applyAlignment="0" applyProtection="0"/>
    <xf numFmtId="0" fontId="30" fillId="0" borderId="200" applyNumberFormat="0" applyFill="0" applyAlignment="0" applyProtection="0"/>
    <xf numFmtId="0" fontId="30" fillId="0" borderId="200" applyNumberFormat="0" applyFill="0" applyAlignment="0" applyProtection="0"/>
    <xf numFmtId="0" fontId="30" fillId="0" borderId="200" applyNumberFormat="0" applyFill="0" applyAlignment="0" applyProtection="0"/>
    <xf numFmtId="0" fontId="30" fillId="0" borderId="200" applyNumberFormat="0" applyFill="0" applyAlignment="0" applyProtection="0"/>
    <xf numFmtId="0" fontId="30" fillId="0" borderId="200" applyNumberFormat="0" applyFill="0" applyAlignment="0" applyProtection="0"/>
    <xf numFmtId="0" fontId="30" fillId="0" borderId="200" applyNumberFormat="0" applyFill="0" applyAlignment="0" applyProtection="0"/>
    <xf numFmtId="0" fontId="30" fillId="0" borderId="200" applyNumberFormat="0" applyFill="0" applyAlignment="0" applyProtection="0"/>
    <xf numFmtId="0" fontId="30" fillId="0" borderId="200" applyNumberFormat="0" applyFill="0" applyAlignment="0" applyProtection="0"/>
    <xf numFmtId="0" fontId="30" fillId="0" borderId="200" applyNumberFormat="0" applyFill="0" applyAlignment="0" applyProtection="0"/>
    <xf numFmtId="0" fontId="30" fillId="0" borderId="200" applyNumberFormat="0" applyFill="0" applyAlignment="0" applyProtection="0"/>
    <xf numFmtId="0" fontId="30" fillId="0" borderId="200" applyNumberFormat="0" applyFill="0" applyAlignment="0" applyProtection="0"/>
    <xf numFmtId="0" fontId="30" fillId="0" borderId="200" applyNumberFormat="0" applyFill="0" applyAlignment="0" applyProtection="0"/>
    <xf numFmtId="0" fontId="30" fillId="0" borderId="200" applyNumberFormat="0" applyFill="0" applyAlignment="0" applyProtection="0"/>
    <xf numFmtId="0" fontId="30" fillId="0" borderId="200" applyNumberFormat="0" applyFill="0" applyAlignment="0" applyProtection="0"/>
    <xf numFmtId="0" fontId="30" fillId="0" borderId="200" applyNumberFormat="0" applyFill="0" applyAlignment="0" applyProtection="0"/>
    <xf numFmtId="0" fontId="30" fillId="0" borderId="200" applyNumberFormat="0" applyFill="0" applyAlignment="0" applyProtection="0"/>
    <xf numFmtId="0" fontId="30" fillId="0" borderId="200" applyNumberFormat="0" applyFill="0" applyAlignment="0" applyProtection="0"/>
    <xf numFmtId="0" fontId="13" fillId="0" borderId="0" applyNumberFormat="0" applyFill="0" applyBorder="0" applyAlignment="0" applyProtection="0">
      <alignment vertical="top"/>
      <protection locked="0"/>
    </xf>
    <xf numFmtId="0" fontId="116" fillId="0" borderId="0" applyNumberFormat="0" applyFill="0" applyBorder="0" applyAlignment="0" applyProtection="0">
      <alignment vertical="top"/>
      <protection locked="0"/>
    </xf>
    <xf numFmtId="0" fontId="152" fillId="0" borderId="0" applyNumberFormat="0" applyFill="0" applyBorder="0" applyAlignment="0" applyProtection="0"/>
    <xf numFmtId="0" fontId="13" fillId="0" borderId="0" applyNumberFormat="0" applyFill="0" applyBorder="0" applyAlignment="0" applyProtection="0">
      <alignment vertical="top"/>
      <protection locked="0"/>
    </xf>
    <xf numFmtId="181" fontId="7" fillId="18" borderId="0" applyFont="0" applyBorder="0">
      <alignment horizontal="right"/>
    </xf>
    <xf numFmtId="164" fontId="7" fillId="18" borderId="0" applyFont="0" applyBorder="0" applyAlignment="0"/>
    <xf numFmtId="0" fontId="31" fillId="3" borderId="196" applyNumberFormat="0" applyAlignment="0" applyProtection="0"/>
    <xf numFmtId="0" fontId="31" fillId="3" borderId="196" applyNumberFormat="0" applyAlignment="0" applyProtection="0"/>
    <xf numFmtId="165" fontId="7" fillId="17" borderId="0" applyFont="0" applyBorder="0" applyAlignment="0">
      <alignment horizontal="right"/>
      <protection locked="0"/>
    </xf>
    <xf numFmtId="165" fontId="7" fillId="17" borderId="0" applyFont="0" applyBorder="0" applyAlignment="0">
      <alignment horizontal="right"/>
      <protection locked="0"/>
    </xf>
    <xf numFmtId="165" fontId="7" fillId="17" borderId="0" applyFont="0" applyBorder="0" applyAlignment="0">
      <alignment horizontal="right"/>
      <protection locked="0"/>
    </xf>
    <xf numFmtId="165" fontId="7" fillId="17" borderId="0" applyFont="0" applyBorder="0" applyAlignment="0">
      <alignment horizontal="right"/>
      <protection locked="0"/>
    </xf>
    <xf numFmtId="165" fontId="7" fillId="37" borderId="0" applyFont="0" applyBorder="0" applyAlignment="0">
      <alignment horizontal="right"/>
      <protection locked="0"/>
    </xf>
    <xf numFmtId="10" fontId="7" fillId="37" borderId="0" applyFont="0" applyBorder="0">
      <alignment horizontal="right"/>
      <protection locked="0"/>
    </xf>
    <xf numFmtId="3" fontId="7" fillId="77" borderId="0" applyFont="0" applyBorder="0">
      <protection locked="0"/>
    </xf>
    <xf numFmtId="164" fontId="113" fillId="77" borderId="0" applyBorder="0" applyAlignment="0">
      <protection locked="0"/>
    </xf>
    <xf numFmtId="184" fontId="7" fillId="69" borderId="0" applyFont="0" applyBorder="0">
      <alignment horizontal="right"/>
      <protection locked="0"/>
    </xf>
    <xf numFmtId="165" fontId="7" fillId="18" borderId="0" applyFont="0" applyBorder="0">
      <alignment horizontal="right"/>
      <protection locked="0"/>
    </xf>
    <xf numFmtId="199" fontId="5" fillId="25" borderId="43">
      <protection locked="0"/>
    </xf>
    <xf numFmtId="199" fontId="5" fillId="25" borderId="43">
      <protection locked="0"/>
    </xf>
    <xf numFmtId="199" fontId="5" fillId="25" borderId="43">
      <protection locked="0"/>
    </xf>
    <xf numFmtId="49" fontId="5" fillId="25" borderId="43" applyFont="0" applyAlignment="0">
      <alignment horizontal="left" vertical="center" wrapText="1"/>
      <protection locked="0"/>
    </xf>
    <xf numFmtId="49" fontId="5" fillId="25" borderId="43" applyFont="0" applyAlignment="0">
      <alignment horizontal="left" vertical="center" wrapText="1"/>
      <protection locked="0"/>
    </xf>
    <xf numFmtId="49" fontId="5" fillId="25" borderId="43" applyFont="0" applyAlignment="0">
      <alignment horizontal="left" vertical="center" wrapText="1"/>
      <protection locked="0"/>
    </xf>
    <xf numFmtId="164" fontId="153" fillId="23" borderId="0" applyBorder="0" applyAlignment="0"/>
    <xf numFmtId="181" fontId="154" fillId="14" borderId="13" applyFont="0" applyBorder="0" applyAlignment="0"/>
    <xf numFmtId="164" fontId="113" fillId="14" borderId="0" applyFont="0" applyBorder="0" applyAlignment="0"/>
    <xf numFmtId="199" fontId="5" fillId="29" borderId="43"/>
    <xf numFmtId="199" fontId="5" fillId="29" borderId="43"/>
    <xf numFmtId="199" fontId="5" fillId="29" borderId="43"/>
    <xf numFmtId="0" fontId="7" fillId="0" borderId="0"/>
    <xf numFmtId="0" fontId="7" fillId="0" borderId="0"/>
    <xf numFmtId="0" fontId="7" fillId="20" borderId="0"/>
    <xf numFmtId="0" fontId="5" fillId="0" borderId="0"/>
    <xf numFmtId="0" fontId="7" fillId="0" borderId="0" applyFill="0"/>
    <xf numFmtId="0" fontId="7" fillId="0" borderId="0"/>
    <xf numFmtId="0" fontId="7" fillId="0" borderId="0"/>
    <xf numFmtId="0" fontId="5" fillId="0" borderId="0"/>
    <xf numFmtId="0" fontId="7" fillId="0" borderId="0"/>
    <xf numFmtId="0" fontId="5" fillId="0" borderId="0"/>
    <xf numFmtId="0" fontId="5" fillId="0" borderId="0"/>
    <xf numFmtId="0" fontId="5" fillId="0" borderId="0"/>
    <xf numFmtId="0" fontId="5" fillId="0" borderId="0"/>
    <xf numFmtId="0" fontId="7"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20" borderId="0"/>
    <xf numFmtId="0" fontId="7" fillId="20" borderId="0"/>
    <xf numFmtId="0" fontId="7" fillId="0" borderId="0"/>
    <xf numFmtId="0" fontId="132" fillId="0" borderId="0"/>
    <xf numFmtId="0" fontId="20" fillId="0" borderId="0"/>
    <xf numFmtId="0" fontId="20" fillId="0" borderId="0"/>
    <xf numFmtId="0" fontId="7" fillId="0" borderId="0"/>
    <xf numFmtId="0" fontId="7" fillId="0" borderId="0" applyFill="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7" fillId="0" borderId="0"/>
    <xf numFmtId="0" fontId="7" fillId="20" borderId="0"/>
    <xf numFmtId="0" fontId="7" fillId="20" borderId="0"/>
    <xf numFmtId="0" fontId="7" fillId="0" borderId="0"/>
    <xf numFmtId="0" fontId="7" fillId="2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protection locked="0"/>
    </xf>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applyFill="0"/>
    <xf numFmtId="0" fontId="7" fillId="0" borderId="0"/>
    <xf numFmtId="0" fontId="5" fillId="0" borderId="0"/>
    <xf numFmtId="0" fontId="20" fillId="0" borderId="0"/>
    <xf numFmtId="0" fontId="7" fillId="2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7" fillId="0" borderId="0"/>
    <xf numFmtId="0" fontId="7" fillId="20" borderId="0"/>
    <xf numFmtId="0" fontId="7" fillId="4" borderId="197" applyNumberFormat="0" applyFont="0" applyAlignment="0" applyProtection="0"/>
    <xf numFmtId="0" fontId="7" fillId="4" borderId="197" applyNumberFormat="0" applyFont="0" applyAlignment="0" applyProtection="0"/>
    <xf numFmtId="0" fontId="7" fillId="4" borderId="197" applyNumberFormat="0" applyFont="0" applyAlignment="0" applyProtection="0"/>
    <xf numFmtId="0" fontId="7" fillId="4" borderId="197" applyNumberFormat="0" applyFont="0" applyAlignment="0" applyProtection="0"/>
    <xf numFmtId="0" fontId="7" fillId="4" borderId="197" applyNumberFormat="0" applyFont="0" applyAlignment="0" applyProtection="0"/>
    <xf numFmtId="0" fontId="7" fillId="4" borderId="197" applyNumberFormat="0" applyFont="0" applyAlignment="0" applyProtection="0"/>
    <xf numFmtId="0" fontId="7" fillId="4" borderId="197" applyNumberFormat="0" applyFont="0" applyAlignment="0" applyProtection="0"/>
    <xf numFmtId="0" fontId="7" fillId="4" borderId="197" applyNumberFormat="0" applyFont="0" applyAlignment="0" applyProtection="0"/>
    <xf numFmtId="0" fontId="34" fillId="5" borderId="198" applyNumberFormat="0" applyAlignment="0" applyProtection="0"/>
    <xf numFmtId="0" fontId="34" fillId="5" borderId="198" applyNumberForma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7" fillId="0" borderId="0" applyFont="0" applyFill="0" applyBorder="0" applyAlignment="0" applyProtection="0"/>
    <xf numFmtId="0" fontId="123" fillId="0" borderId="123">
      <alignment horizontal="center"/>
    </xf>
    <xf numFmtId="0" fontId="123" fillId="0" borderId="123">
      <alignment horizontal="center"/>
    </xf>
    <xf numFmtId="0" fontId="123" fillId="0" borderId="123">
      <alignment horizontal="center"/>
    </xf>
    <xf numFmtId="0" fontId="123" fillId="0" borderId="123">
      <alignment horizontal="center"/>
    </xf>
    <xf numFmtId="0" fontId="123" fillId="0" borderId="123">
      <alignment horizontal="center"/>
    </xf>
    <xf numFmtId="0" fontId="123" fillId="0" borderId="123">
      <alignment horizontal="center"/>
    </xf>
    <xf numFmtId="199" fontId="62" fillId="25" borderId="93">
      <alignment horizontal="right" indent="2"/>
      <protection locked="0"/>
    </xf>
    <xf numFmtId="0" fontId="19" fillId="78" borderId="0"/>
    <xf numFmtId="0" fontId="7" fillId="0" borderId="0"/>
    <xf numFmtId="0" fontId="7" fillId="0" borderId="0"/>
    <xf numFmtId="0" fontId="7" fillId="0" borderId="0"/>
    <xf numFmtId="0" fontId="7" fillId="0" borderId="0"/>
    <xf numFmtId="0" fontId="7" fillId="0" borderId="0"/>
    <xf numFmtId="0" fontId="19" fillId="34" borderId="0">
      <alignment horizontal="left" vertical="center"/>
      <protection locked="0"/>
    </xf>
    <xf numFmtId="0" fontId="155" fillId="27" borderId="0">
      <alignment vertical="center"/>
      <protection locked="0"/>
    </xf>
    <xf numFmtId="0" fontId="25" fillId="0" borderId="199" applyNumberFormat="0" applyFill="0" applyAlignment="0" applyProtection="0"/>
    <xf numFmtId="0" fontId="25" fillId="0" borderId="199" applyNumberFormat="0" applyFill="0" applyAlignment="0" applyProtection="0"/>
    <xf numFmtId="0" fontId="4" fillId="0" borderId="0"/>
    <xf numFmtId="0" fontId="4" fillId="0" borderId="0"/>
    <xf numFmtId="0" fontId="176" fillId="0" borderId="0"/>
    <xf numFmtId="0" fontId="20" fillId="98"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99" borderId="0" applyNumberFormat="0" applyBorder="0" applyAlignment="0" applyProtection="0"/>
    <xf numFmtId="0" fontId="20" fillId="100" borderId="0" applyNumberFormat="0" applyBorder="0" applyAlignment="0" applyProtection="0"/>
    <xf numFmtId="49" fontId="196" fillId="0" borderId="354" applyNumberFormat="0" applyAlignment="0" applyProtection="0">
      <alignment horizontal="left" wrapText="1"/>
    </xf>
    <xf numFmtId="0" fontId="20" fillId="101" borderId="0" applyNumberFormat="0" applyBorder="0" applyAlignment="0" applyProtection="0"/>
    <xf numFmtId="0" fontId="20" fillId="102" borderId="0" applyNumberFormat="0" applyBorder="0" applyAlignment="0" applyProtection="0"/>
    <xf numFmtId="0" fontId="20" fillId="103" borderId="0" applyNumberFormat="0" applyBorder="0" applyAlignment="0" applyProtection="0"/>
    <xf numFmtId="0" fontId="20" fillId="99" borderId="0" applyNumberFormat="0" applyBorder="0" applyAlignment="0" applyProtection="0"/>
    <xf numFmtId="0" fontId="20" fillId="101" borderId="0" applyNumberFormat="0" applyBorder="0" applyAlignment="0" applyProtection="0"/>
    <xf numFmtId="0" fontId="20" fillId="104" borderId="0" applyNumberFormat="0" applyBorder="0" applyAlignment="0" applyProtection="0"/>
    <xf numFmtId="0" fontId="21" fillId="105" borderId="0" applyNumberFormat="0" applyBorder="0" applyAlignment="0" applyProtection="0"/>
    <xf numFmtId="0" fontId="21" fillId="102" borderId="0" applyNumberFormat="0" applyBorder="0" applyAlignment="0" applyProtection="0"/>
    <xf numFmtId="0" fontId="21" fillId="103" borderId="0" applyNumberFormat="0" applyBorder="0" applyAlignment="0" applyProtection="0"/>
    <xf numFmtId="0" fontId="21" fillId="106" borderId="0" applyNumberFormat="0" applyBorder="0" applyAlignment="0" applyProtection="0"/>
    <xf numFmtId="0" fontId="21" fillId="8" borderId="0" applyNumberFormat="0" applyBorder="0" applyAlignment="0" applyProtection="0"/>
    <xf numFmtId="0" fontId="21" fillId="107" borderId="0" applyNumberFormat="0" applyBorder="0" applyAlignment="0" applyProtection="0"/>
    <xf numFmtId="0" fontId="21" fillId="108" borderId="0" applyNumberFormat="0" applyBorder="0" applyAlignment="0" applyProtection="0"/>
    <xf numFmtId="205" fontId="154" fillId="0" borderId="0" applyAlignment="0" applyProtection="0"/>
    <xf numFmtId="0" fontId="21" fillId="106" borderId="0" applyNumberFormat="0" applyBorder="0" applyAlignment="0" applyProtection="0"/>
    <xf numFmtId="0" fontId="198" fillId="109" borderId="0" applyNumberFormat="0" applyBorder="0" applyAlignment="0" applyProtection="0"/>
    <xf numFmtId="204" fontId="186" fillId="0" borderId="0" applyFont="0" applyFill="0" applyBorder="0" applyAlignment="0" applyProtection="0"/>
    <xf numFmtId="0" fontId="177" fillId="0" borderId="0" applyNumberFormat="0" applyFill="0" applyBorder="0" applyAlignment="0"/>
    <xf numFmtId="0" fontId="178" fillId="0" borderId="0" applyNumberFormat="0" applyFill="0" applyBorder="0" applyAlignment="0">
      <protection locked="0"/>
    </xf>
    <xf numFmtId="205" fontId="187" fillId="0" borderId="0" applyAlignment="0" applyProtection="0"/>
    <xf numFmtId="49" fontId="188" fillId="0" borderId="354" applyNumberFormat="0" applyAlignment="0" applyProtection="0">
      <alignment horizontal="left" wrapText="1"/>
    </xf>
    <xf numFmtId="49" fontId="189" fillId="0" borderId="0" applyAlignment="0" applyProtection="0">
      <alignment horizontal="left"/>
    </xf>
    <xf numFmtId="0" fontId="23" fillId="7" borderId="196" applyNumberFormat="0" applyAlignment="0" applyProtection="0"/>
    <xf numFmtId="204" fontId="195" fillId="0" borderId="0" applyFont="0" applyFill="0" applyBorder="0" applyAlignment="0" applyProtection="0"/>
    <xf numFmtId="43" fontId="176" fillId="0" borderId="0" applyFont="0" applyFill="0" applyBorder="0" applyAlignment="0" applyProtection="0"/>
    <xf numFmtId="0" fontId="179" fillId="0" borderId="0" applyFont="0" applyFill="0" applyBorder="0" applyAlignment="0" applyProtection="0"/>
    <xf numFmtId="0" fontId="176" fillId="0" borderId="0" applyFont="0" applyFill="0" applyBorder="0" applyAlignment="0" applyProtection="0"/>
    <xf numFmtId="0" fontId="176" fillId="0" borderId="0" applyFont="0" applyFill="0" applyBorder="0" applyAlignment="0" applyProtection="0"/>
    <xf numFmtId="3" fontId="180" fillId="0" borderId="0" applyFont="0" applyFill="0" applyBorder="0" applyAlignment="0" applyProtection="0"/>
    <xf numFmtId="44" fontId="176" fillId="0" borderId="0" applyFont="0" applyFill="0" applyBorder="0" applyAlignment="0" applyProtection="0"/>
    <xf numFmtId="203" fontId="186" fillId="0" borderId="0" applyFont="0" applyFill="0" applyBorder="0" applyAlignment="0" applyProtection="0"/>
    <xf numFmtId="0" fontId="176" fillId="0" borderId="0" applyFont="0" applyFill="0" applyBorder="0" applyAlignment="0" applyProtection="0"/>
    <xf numFmtId="0" fontId="181" fillId="0" borderId="0"/>
    <xf numFmtId="0" fontId="182" fillId="0" borderId="0"/>
    <xf numFmtId="0" fontId="21" fillId="106" borderId="0" applyNumberFormat="0" applyBorder="0" applyAlignment="0" applyProtection="0"/>
    <xf numFmtId="0" fontId="190" fillId="0" borderId="4" applyNumberFormat="0" applyFill="0" applyAlignment="0" applyProtection="0"/>
    <xf numFmtId="0" fontId="191" fillId="0" borderId="355" applyNumberFormat="0" applyFill="0" applyAlignment="0" applyProtection="0"/>
    <xf numFmtId="0" fontId="192" fillId="0" borderId="356" applyNumberFormat="0" applyFill="0" applyAlignment="0" applyProtection="0"/>
    <xf numFmtId="0" fontId="192" fillId="0" borderId="0" applyNumberFormat="0" applyFill="0" applyBorder="0" applyAlignment="0" applyProtection="0"/>
    <xf numFmtId="0" fontId="21" fillId="108" borderId="0" applyNumberFormat="0" applyBorder="0" applyAlignment="0" applyProtection="0"/>
    <xf numFmtId="188" fontId="183" fillId="0" borderId="0"/>
    <xf numFmtId="0" fontId="193" fillId="4" borderId="197" applyNumberFormat="0" applyFont="0" applyAlignment="0" applyProtection="0"/>
    <xf numFmtId="0" fontId="34" fillId="7" borderId="198" applyNumberFormat="0" applyAlignment="0" applyProtection="0"/>
    <xf numFmtId="9" fontId="176" fillId="0" borderId="0" applyFont="0" applyFill="0" applyBorder="0" applyAlignment="0" applyProtection="0"/>
    <xf numFmtId="200" fontId="120" fillId="0" borderId="0" applyFill="0" applyBorder="0"/>
    <xf numFmtId="0" fontId="179" fillId="0" borderId="0" applyNumberFormat="0" applyFont="0" applyFill="0" applyBorder="0" applyAlignment="0" applyProtection="0">
      <alignment horizontal="left"/>
    </xf>
    <xf numFmtId="15" fontId="179" fillId="0" borderId="0" applyFont="0" applyFill="0" applyBorder="0" applyAlignment="0" applyProtection="0"/>
    <xf numFmtId="4" fontId="179" fillId="0" borderId="0" applyFont="0" applyFill="0" applyBorder="0" applyAlignment="0" applyProtection="0"/>
    <xf numFmtId="0" fontId="184" fillId="0" borderId="357">
      <alignment horizontal="center"/>
    </xf>
    <xf numFmtId="3" fontId="179" fillId="0" borderId="0" applyFont="0" applyFill="0" applyBorder="0" applyAlignment="0" applyProtection="0"/>
    <xf numFmtId="0" fontId="179" fillId="70" borderId="0" applyNumberFormat="0" applyFont="0" applyBorder="0" applyAlignment="0" applyProtection="0"/>
    <xf numFmtId="201" fontId="176" fillId="0" borderId="0"/>
    <xf numFmtId="0" fontId="176" fillId="4" borderId="0" applyNumberFormat="0" applyFont="0" applyBorder="0" applyAlignment="0" applyProtection="0"/>
    <xf numFmtId="0" fontId="176" fillId="5" borderId="0" applyNumberFormat="0" applyFont="0" applyBorder="0" applyAlignment="0" applyProtection="0"/>
    <xf numFmtId="0" fontId="176" fillId="7" borderId="0" applyNumberFormat="0" applyFont="0" applyBorder="0" applyAlignment="0" applyProtection="0"/>
    <xf numFmtId="0" fontId="176" fillId="0" borderId="0" applyNumberFormat="0" applyFont="0" applyFill="0" applyBorder="0" applyAlignment="0" applyProtection="0"/>
    <xf numFmtId="0" fontId="176" fillId="7" borderId="0" applyNumberFormat="0" applyFont="0" applyBorder="0" applyAlignment="0" applyProtection="0"/>
    <xf numFmtId="0" fontId="176" fillId="0" borderId="0" applyNumberFormat="0" applyFont="0" applyFill="0" applyBorder="0" applyAlignment="0" applyProtection="0"/>
    <xf numFmtId="0" fontId="176" fillId="0" borderId="0" applyNumberFormat="0" applyFont="0" applyBorder="0" applyAlignment="0" applyProtection="0"/>
    <xf numFmtId="185" fontId="12" fillId="0" borderId="0"/>
    <xf numFmtId="15" fontId="176" fillId="0" borderId="0"/>
    <xf numFmtId="10" fontId="176" fillId="0" borderId="0"/>
    <xf numFmtId="0" fontId="194" fillId="0" borderId="0" applyNumberFormat="0" applyFill="0" applyBorder="0" applyAlignment="0" applyProtection="0"/>
    <xf numFmtId="0" fontId="25" fillId="0" borderId="358" applyNumberFormat="0" applyFill="0" applyAlignment="0" applyProtection="0"/>
    <xf numFmtId="202" fontId="185" fillId="0" borderId="214" applyBorder="0" applyProtection="0">
      <alignment horizontal="right"/>
    </xf>
    <xf numFmtId="49" fontId="197" fillId="0" borderId="0" applyAlignment="0" applyProtection="0">
      <alignment horizontal="left"/>
    </xf>
    <xf numFmtId="43" fontId="176" fillId="0" borderId="0" applyFont="0" applyFill="0" applyBorder="0" applyAlignment="0" applyProtection="0"/>
    <xf numFmtId="43" fontId="3"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203" fontId="195" fillId="0" borderId="0" applyFont="0" applyFill="0" applyBorder="0" applyAlignment="0" applyProtection="0"/>
    <xf numFmtId="0" fontId="3" fillId="0" borderId="0"/>
    <xf numFmtId="0" fontId="162" fillId="4" borderId="197" applyNumberFormat="0" applyFont="0" applyAlignment="0" applyProtection="0"/>
    <xf numFmtId="9" fontId="176" fillId="0" borderId="0" applyFont="0" applyFill="0" applyBorder="0" applyAlignment="0" applyProtection="0"/>
    <xf numFmtId="9" fontId="3" fillId="0" borderId="0" applyFont="0" applyFill="0" applyBorder="0" applyAlignment="0" applyProtection="0"/>
    <xf numFmtId="0" fontId="123" fillId="0" borderId="357">
      <alignment horizontal="center"/>
    </xf>
    <xf numFmtId="0" fontId="199" fillId="0" borderId="0" applyNumberFormat="0" applyFill="0" applyBorder="0" applyAlignment="0" applyProtection="0"/>
    <xf numFmtId="0" fontId="2" fillId="0" borderId="0"/>
    <xf numFmtId="0" fontId="30" fillId="0" borderId="379" applyNumberFormat="0" applyFill="0" applyAlignment="0" applyProtection="0"/>
    <xf numFmtId="43" fontId="7" fillId="0" borderId="0" applyFont="0" applyFill="0" applyBorder="0" applyAlignment="0" applyProtection="0"/>
    <xf numFmtId="0" fontId="30" fillId="0" borderId="382" applyNumberFormat="0" applyFill="0" applyAlignment="0" applyProtection="0"/>
    <xf numFmtId="43" fontId="7" fillId="0" borderId="0" applyFont="0" applyFill="0" applyBorder="0" applyAlignment="0" applyProtection="0"/>
    <xf numFmtId="44" fontId="7" fillId="0" borderId="0" applyFont="0" applyFill="0" applyBorder="0" applyAlignment="0" applyProtection="0"/>
    <xf numFmtId="0" fontId="30" fillId="0" borderId="374" applyNumberFormat="0" applyFill="0" applyAlignment="0" applyProtection="0"/>
    <xf numFmtId="0" fontId="30" fillId="0" borderId="382" applyNumberFormat="0" applyFill="0" applyAlignment="0" applyProtection="0"/>
    <xf numFmtId="0" fontId="30" fillId="0" borderId="379" applyNumberFormat="0" applyFill="0" applyAlignment="0" applyProtection="0"/>
    <xf numFmtId="0" fontId="30" fillId="0" borderId="379" applyNumberFormat="0" applyFill="0" applyAlignment="0" applyProtection="0"/>
    <xf numFmtId="0" fontId="30" fillId="0" borderId="379" applyNumberFormat="0" applyFill="0" applyAlignment="0" applyProtection="0"/>
    <xf numFmtId="0" fontId="30" fillId="0" borderId="379" applyNumberFormat="0" applyFill="0" applyAlignment="0" applyProtection="0"/>
    <xf numFmtId="0" fontId="30" fillId="0" borderId="379" applyNumberFormat="0" applyFill="0" applyAlignment="0" applyProtection="0"/>
    <xf numFmtId="0" fontId="30" fillId="0" borderId="379" applyNumberFormat="0" applyFill="0" applyAlignment="0" applyProtection="0"/>
    <xf numFmtId="0" fontId="30" fillId="0" borderId="379" applyNumberFormat="0" applyFill="0" applyAlignment="0" applyProtection="0"/>
    <xf numFmtId="0" fontId="30" fillId="0" borderId="379" applyNumberFormat="0" applyFill="0" applyAlignment="0" applyProtection="0"/>
    <xf numFmtId="0" fontId="30" fillId="0" borderId="379" applyNumberFormat="0" applyFill="0" applyAlignment="0" applyProtection="0"/>
    <xf numFmtId="0" fontId="30" fillId="0" borderId="379" applyNumberFormat="0" applyFill="0" applyAlignment="0" applyProtection="0"/>
    <xf numFmtId="0" fontId="30" fillId="0" borderId="379" applyNumberFormat="0" applyFill="0" applyAlignment="0" applyProtection="0"/>
    <xf numFmtId="0" fontId="30" fillId="0" borderId="382" applyNumberFormat="0" applyFill="0" applyAlignment="0" applyProtection="0"/>
    <xf numFmtId="0" fontId="30" fillId="0" borderId="382" applyNumberFormat="0" applyFill="0" applyAlignment="0" applyProtection="0"/>
    <xf numFmtId="0" fontId="30" fillId="0" borderId="375" applyNumberFormat="0" applyFill="0" applyAlignment="0" applyProtection="0"/>
    <xf numFmtId="0" fontId="30" fillId="0" borderId="382" applyNumberFormat="0" applyFill="0" applyAlignment="0" applyProtection="0"/>
    <xf numFmtId="0" fontId="30" fillId="0" borderId="379" applyNumberFormat="0" applyFill="0" applyAlignment="0" applyProtection="0"/>
    <xf numFmtId="0" fontId="30" fillId="0" borderId="382" applyNumberFormat="0" applyFill="0" applyAlignment="0" applyProtection="0"/>
    <xf numFmtId="0" fontId="30" fillId="0" borderId="382" applyNumberFormat="0" applyFill="0" applyAlignment="0" applyProtection="0"/>
    <xf numFmtId="0" fontId="123" fillId="0" borderId="383">
      <alignment horizontal="center"/>
    </xf>
    <xf numFmtId="41" fontId="7" fillId="14" borderId="0" applyNumberFormat="0" applyFont="0" applyBorder="0" applyAlignment="0">
      <alignment horizontal="right"/>
    </xf>
    <xf numFmtId="43" fontId="7" fillId="0" borderId="0" applyFont="0" applyFill="0" applyBorder="0" applyAlignment="0" applyProtection="0"/>
    <xf numFmtId="43" fontId="20"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30" fillId="0" borderId="382" applyNumberFormat="0" applyFill="0" applyAlignment="0" applyProtection="0"/>
    <xf numFmtId="41" fontId="7" fillId="17" borderId="0" applyFont="0" applyBorder="0" applyAlignment="0">
      <alignment horizontal="right"/>
      <protection locked="0"/>
    </xf>
    <xf numFmtId="41" fontId="7" fillId="18" borderId="0" applyFont="0" applyBorder="0">
      <alignment horizontal="right"/>
      <protection locked="0"/>
    </xf>
    <xf numFmtId="0" fontId="123" fillId="0" borderId="383">
      <alignment horizontal="center"/>
    </xf>
    <xf numFmtId="0" fontId="30" fillId="0" borderId="382" applyNumberFormat="0" applyFill="0" applyAlignment="0" applyProtection="0"/>
    <xf numFmtId="0" fontId="30" fillId="0" borderId="382" applyNumberFormat="0" applyFill="0" applyAlignment="0" applyProtection="0"/>
    <xf numFmtId="0" fontId="30" fillId="0" borderId="382" applyNumberFormat="0" applyFill="0" applyAlignment="0" applyProtection="0"/>
    <xf numFmtId="0" fontId="30" fillId="0" borderId="379" applyNumberFormat="0" applyFill="0" applyAlignment="0" applyProtection="0"/>
    <xf numFmtId="0" fontId="123" fillId="0" borderId="376">
      <alignment horizontal="center"/>
    </xf>
    <xf numFmtId="0" fontId="30" fillId="0" borderId="382" applyNumberFormat="0" applyFill="0" applyAlignment="0" applyProtection="0"/>
    <xf numFmtId="0" fontId="30" fillId="0" borderId="382" applyNumberFormat="0" applyFill="0" applyAlignment="0" applyProtection="0"/>
    <xf numFmtId="0" fontId="30" fillId="0" borderId="382" applyNumberFormat="0" applyFill="0" applyAlignment="0" applyProtection="0"/>
    <xf numFmtId="41" fontId="7" fillId="14" borderId="0" applyNumberFormat="0" applyFont="0" applyBorder="0" applyAlignment="0">
      <alignment horizontal="right"/>
    </xf>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1" fontId="7" fillId="17" borderId="0" applyFont="0" applyBorder="0" applyAlignment="0">
      <alignment horizontal="right"/>
      <protection locked="0"/>
    </xf>
    <xf numFmtId="41" fontId="7" fillId="18" borderId="0" applyFont="0" applyBorder="0">
      <alignment horizontal="right"/>
      <protection locked="0"/>
    </xf>
    <xf numFmtId="0" fontId="30" fillId="0" borderId="382" applyNumberFormat="0" applyFill="0" applyAlignment="0" applyProtection="0"/>
    <xf numFmtId="0" fontId="30" fillId="0" borderId="382" applyNumberFormat="0" applyFill="0" applyAlignment="0" applyProtection="0"/>
    <xf numFmtId="0" fontId="30" fillId="0" borderId="382" applyNumberFormat="0" applyFill="0" applyAlignment="0" applyProtection="0"/>
    <xf numFmtId="0" fontId="30" fillId="0" borderId="382" applyNumberFormat="0" applyFill="0" applyAlignment="0" applyProtection="0"/>
    <xf numFmtId="0" fontId="30" fillId="0" borderId="382" applyNumberFormat="0" applyFill="0" applyAlignment="0" applyProtection="0"/>
    <xf numFmtId="0" fontId="123" fillId="0" borderId="383">
      <alignment horizontal="center"/>
    </xf>
    <xf numFmtId="43" fontId="7" fillId="0" borderId="0" applyFont="0" applyFill="0" applyBorder="0" applyAlignment="0" applyProtection="0"/>
    <xf numFmtId="0" fontId="30" fillId="0" borderId="382" applyNumberFormat="0" applyFill="0" applyAlignment="0" applyProtection="0"/>
    <xf numFmtId="43" fontId="7" fillId="0" borderId="0" applyFont="0" applyFill="0" applyBorder="0" applyAlignment="0" applyProtection="0"/>
    <xf numFmtId="43" fontId="13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30" fillId="0" borderId="375" applyNumberFormat="0" applyFill="0" applyAlignment="0" applyProtection="0"/>
    <xf numFmtId="0" fontId="1" fillId="0" borderId="0"/>
    <xf numFmtId="0" fontId="1" fillId="0" borderId="0"/>
    <xf numFmtId="43" fontId="7" fillId="0" borderId="0" applyFont="0" applyFill="0" applyBorder="0" applyAlignment="0" applyProtection="0"/>
    <xf numFmtId="43" fontId="7" fillId="0" borderId="0" applyFont="0" applyFill="0" applyBorder="0" applyAlignment="0" applyProtection="0"/>
    <xf numFmtId="0" fontId="30" fillId="0" borderId="382" applyNumberFormat="0" applyFill="0" applyAlignment="0" applyProtection="0"/>
    <xf numFmtId="0" fontId="30" fillId="0" borderId="382" applyNumberFormat="0" applyFill="0" applyAlignment="0" applyProtection="0"/>
    <xf numFmtId="0" fontId="30" fillId="0" borderId="382" applyNumberFormat="0" applyFill="0" applyAlignment="0" applyProtection="0"/>
    <xf numFmtId="0" fontId="30" fillId="0" borderId="382" applyNumberFormat="0" applyFill="0" applyAlignment="0" applyProtection="0"/>
    <xf numFmtId="0" fontId="30" fillId="0" borderId="382" applyNumberFormat="0" applyFill="0" applyAlignment="0" applyProtection="0"/>
    <xf numFmtId="43" fontId="7" fillId="0" borderId="0" applyFont="0" applyFill="0" applyBorder="0" applyAlignment="0" applyProtection="0"/>
    <xf numFmtId="0" fontId="1" fillId="0" borderId="0"/>
    <xf numFmtId="0" fontId="30" fillId="0" borderId="379" applyNumberFormat="0" applyFill="0" applyAlignment="0" applyProtection="0"/>
    <xf numFmtId="0" fontId="1" fillId="75" borderId="0" applyNumberFormat="0" applyBorder="0" applyAlignment="0" applyProtection="0"/>
    <xf numFmtId="0" fontId="1" fillId="76" borderId="0" applyNumberFormat="0" applyBorder="0" applyAlignment="0" applyProtection="0"/>
    <xf numFmtId="41" fontId="7" fillId="14" borderId="0" applyNumberFormat="0" applyFont="0" applyBorder="0" applyAlignment="0">
      <alignment horizontal="right"/>
    </xf>
    <xf numFmtId="43"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20" fillId="0" borderId="0" applyFont="0" applyFill="0" applyBorder="0" applyAlignment="0" applyProtection="0"/>
    <xf numFmtId="43" fontId="7" fillId="0" borderId="0" applyFont="0" applyFill="0" applyBorder="0" applyAlignment="0" applyProtection="0"/>
    <xf numFmtId="43" fontId="132" fillId="0" borderId="0" applyFont="0" applyFill="0" applyBorder="0" applyAlignment="0" applyProtection="0"/>
    <xf numFmtId="43" fontId="13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30" fillId="0" borderId="375" applyNumberFormat="0" applyFill="0" applyAlignment="0" applyProtection="0"/>
    <xf numFmtId="0" fontId="30" fillId="0" borderId="375" applyNumberFormat="0" applyFill="0" applyAlignment="0" applyProtection="0"/>
    <xf numFmtId="0" fontId="30" fillId="0" borderId="375" applyNumberFormat="0" applyFill="0" applyAlignment="0" applyProtection="0"/>
    <xf numFmtId="0" fontId="30" fillId="0" borderId="375" applyNumberFormat="0" applyFill="0" applyAlignment="0" applyProtection="0"/>
    <xf numFmtId="0" fontId="30" fillId="0" borderId="375" applyNumberFormat="0" applyFill="0" applyAlignment="0" applyProtection="0"/>
    <xf numFmtId="0" fontId="30" fillId="0" borderId="375" applyNumberFormat="0" applyFill="0" applyAlignment="0" applyProtection="0"/>
    <xf numFmtId="0" fontId="30" fillId="0" borderId="375" applyNumberFormat="0" applyFill="0" applyAlignment="0" applyProtection="0"/>
    <xf numFmtId="0" fontId="30" fillId="0" borderId="375" applyNumberFormat="0" applyFill="0" applyAlignment="0" applyProtection="0"/>
    <xf numFmtId="0" fontId="30" fillId="0" borderId="375" applyNumberFormat="0" applyFill="0" applyAlignment="0" applyProtection="0"/>
    <xf numFmtId="0" fontId="30" fillId="0" borderId="375" applyNumberFormat="0" applyFill="0" applyAlignment="0" applyProtection="0"/>
    <xf numFmtId="0" fontId="30" fillId="0" borderId="375" applyNumberFormat="0" applyFill="0" applyAlignment="0" applyProtection="0"/>
    <xf numFmtId="0" fontId="30" fillId="0" borderId="375" applyNumberFormat="0" applyFill="0" applyAlignment="0" applyProtection="0"/>
    <xf numFmtId="0" fontId="30" fillId="0" borderId="375" applyNumberFormat="0" applyFill="0" applyAlignment="0" applyProtection="0"/>
    <xf numFmtId="0" fontId="30" fillId="0" borderId="375" applyNumberFormat="0" applyFill="0" applyAlignment="0" applyProtection="0"/>
    <xf numFmtId="0" fontId="30" fillId="0" borderId="375" applyNumberFormat="0" applyFill="0" applyAlignment="0" applyProtection="0"/>
    <xf numFmtId="0" fontId="30" fillId="0" borderId="375" applyNumberFormat="0" applyFill="0" applyAlignment="0" applyProtection="0"/>
    <xf numFmtId="0" fontId="30" fillId="0" borderId="375" applyNumberFormat="0" applyFill="0" applyAlignment="0" applyProtection="0"/>
    <xf numFmtId="0" fontId="30" fillId="0" borderId="375" applyNumberFormat="0" applyFill="0" applyAlignment="0" applyProtection="0"/>
    <xf numFmtId="0" fontId="30" fillId="0" borderId="375" applyNumberFormat="0" applyFill="0" applyAlignment="0" applyProtection="0"/>
    <xf numFmtId="0" fontId="30" fillId="0" borderId="375" applyNumberFormat="0" applyFill="0" applyAlignment="0" applyProtection="0"/>
    <xf numFmtId="0" fontId="30" fillId="0" borderId="375" applyNumberFormat="0" applyFill="0" applyAlignment="0" applyProtection="0"/>
    <xf numFmtId="0" fontId="30" fillId="0" borderId="375" applyNumberFormat="0" applyFill="0" applyAlignment="0" applyProtection="0"/>
    <xf numFmtId="0" fontId="30" fillId="0" borderId="375" applyNumberFormat="0" applyFill="0" applyAlignment="0" applyProtection="0"/>
    <xf numFmtId="0" fontId="30" fillId="0" borderId="375" applyNumberFormat="0" applyFill="0" applyAlignment="0" applyProtection="0"/>
    <xf numFmtId="0" fontId="30" fillId="0" borderId="375" applyNumberFormat="0" applyFill="0" applyAlignment="0" applyProtection="0"/>
    <xf numFmtId="0" fontId="30" fillId="0" borderId="375" applyNumberFormat="0" applyFill="0" applyAlignment="0" applyProtection="0"/>
    <xf numFmtId="0" fontId="30" fillId="0" borderId="375" applyNumberFormat="0" applyFill="0" applyAlignment="0" applyProtection="0"/>
    <xf numFmtId="0" fontId="30" fillId="0" borderId="375" applyNumberFormat="0" applyFill="0" applyAlignment="0" applyProtection="0"/>
    <xf numFmtId="0" fontId="30" fillId="0" borderId="375" applyNumberFormat="0" applyFill="0" applyAlignment="0" applyProtection="0"/>
    <xf numFmtId="0" fontId="30" fillId="0" borderId="375" applyNumberFormat="0" applyFill="0" applyAlignment="0" applyProtection="0"/>
    <xf numFmtId="0" fontId="30" fillId="0" borderId="375" applyNumberFormat="0" applyFill="0" applyAlignment="0" applyProtection="0"/>
    <xf numFmtId="0" fontId="30" fillId="0" borderId="375" applyNumberFormat="0" applyFill="0" applyAlignment="0" applyProtection="0"/>
    <xf numFmtId="0" fontId="30" fillId="0" borderId="375" applyNumberFormat="0" applyFill="0" applyAlignment="0" applyProtection="0"/>
    <xf numFmtId="0" fontId="30" fillId="0" borderId="375" applyNumberFormat="0" applyFill="0" applyAlignment="0" applyProtection="0"/>
    <xf numFmtId="0" fontId="30" fillId="0" borderId="375" applyNumberFormat="0" applyFill="0" applyAlignment="0" applyProtection="0"/>
    <xf numFmtId="0" fontId="30" fillId="0" borderId="375" applyNumberFormat="0" applyFill="0" applyAlignment="0" applyProtection="0"/>
    <xf numFmtId="0" fontId="30" fillId="0" borderId="375" applyNumberFormat="0" applyFill="0" applyAlignment="0" applyProtection="0"/>
    <xf numFmtId="0" fontId="30" fillId="0" borderId="375" applyNumberFormat="0" applyFill="0" applyAlignment="0" applyProtection="0"/>
    <xf numFmtId="0" fontId="30" fillId="0" borderId="375" applyNumberFormat="0" applyFill="0" applyAlignment="0" applyProtection="0"/>
    <xf numFmtId="0" fontId="30" fillId="0" borderId="375" applyNumberFormat="0" applyFill="0" applyAlignment="0" applyProtection="0"/>
    <xf numFmtId="0" fontId="30" fillId="0" borderId="375" applyNumberFormat="0" applyFill="0" applyAlignment="0" applyProtection="0"/>
    <xf numFmtId="0" fontId="30" fillId="0" borderId="375" applyNumberFormat="0" applyFill="0" applyAlignment="0" applyProtection="0"/>
    <xf numFmtId="0" fontId="30" fillId="0" borderId="375" applyNumberFormat="0" applyFill="0" applyAlignment="0" applyProtection="0"/>
    <xf numFmtId="0" fontId="30" fillId="0" borderId="375" applyNumberFormat="0" applyFill="0" applyAlignment="0" applyProtection="0"/>
    <xf numFmtId="0" fontId="30" fillId="0" borderId="375" applyNumberFormat="0" applyFill="0" applyAlignment="0" applyProtection="0"/>
    <xf numFmtId="0" fontId="30" fillId="0" borderId="375" applyNumberFormat="0" applyFill="0" applyAlignment="0" applyProtection="0"/>
    <xf numFmtId="41" fontId="7" fillId="17" borderId="0" applyFont="0" applyBorder="0" applyAlignment="0">
      <alignment horizontal="right"/>
      <protection locked="0"/>
    </xf>
    <xf numFmtId="41" fontId="7" fillId="17" borderId="0" applyFont="0" applyBorder="0" applyAlignment="0">
      <alignment horizontal="right"/>
      <protection locked="0"/>
    </xf>
    <xf numFmtId="41" fontId="7" fillId="17" borderId="0" applyFont="0" applyBorder="0" applyAlignment="0">
      <alignment horizontal="right"/>
      <protection locked="0"/>
    </xf>
    <xf numFmtId="41" fontId="7" fillId="17" borderId="0" applyFont="0" applyBorder="0" applyAlignment="0">
      <alignment horizontal="right"/>
      <protection locked="0"/>
    </xf>
    <xf numFmtId="41" fontId="7" fillId="37" borderId="0" applyFont="0" applyBorder="0" applyAlignment="0">
      <alignment horizontal="right"/>
      <protection locked="0"/>
    </xf>
    <xf numFmtId="41" fontId="7" fillId="18" borderId="0" applyFont="0" applyBorder="0">
      <alignment horizontal="right"/>
      <protection locked="0"/>
    </xf>
    <xf numFmtId="199" fontId="1" fillId="25" borderId="43">
      <protection locked="0"/>
    </xf>
    <xf numFmtId="199" fontId="1" fillId="25" borderId="43">
      <protection locked="0"/>
    </xf>
    <xf numFmtId="199" fontId="1" fillId="25" borderId="43">
      <protection locked="0"/>
    </xf>
    <xf numFmtId="49" fontId="1" fillId="25" borderId="43" applyFont="0" applyAlignment="0">
      <alignment horizontal="left" vertical="center" wrapText="1"/>
      <protection locked="0"/>
    </xf>
    <xf numFmtId="49" fontId="1" fillId="25" borderId="43" applyFont="0" applyAlignment="0">
      <alignment horizontal="left" vertical="center" wrapText="1"/>
      <protection locked="0"/>
    </xf>
    <xf numFmtId="49" fontId="1" fillId="25" borderId="43" applyFont="0" applyAlignment="0">
      <alignment horizontal="left" vertical="center" wrapText="1"/>
      <protection locked="0"/>
    </xf>
    <xf numFmtId="199" fontId="1" fillId="29" borderId="43"/>
    <xf numFmtId="199" fontId="1" fillId="29" borderId="43"/>
    <xf numFmtId="199" fontId="1" fillId="29" borderId="43"/>
    <xf numFmtId="0" fontId="1" fillId="0" borderId="0"/>
    <xf numFmtId="0" fontId="123" fillId="0" borderId="380">
      <alignment horizont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382" applyNumberFormat="0" applyFill="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382" applyNumberFormat="0" applyFill="0" applyAlignment="0" applyProtection="0"/>
    <xf numFmtId="0" fontId="1" fillId="0" borderId="0"/>
    <xf numFmtId="0" fontId="30" fillId="0" borderId="382" applyNumberFormat="0" applyFill="0" applyAlignment="0" applyProtection="0"/>
    <xf numFmtId="0" fontId="30" fillId="0" borderId="382" applyNumberFormat="0" applyFill="0" applyAlignment="0" applyProtection="0"/>
    <xf numFmtId="0" fontId="30" fillId="0" borderId="382" applyNumberFormat="0" applyFill="0" applyAlignment="0" applyProtection="0"/>
    <xf numFmtId="0" fontId="30" fillId="0" borderId="382" applyNumberFormat="0" applyFill="0" applyAlignment="0" applyProtection="0"/>
    <xf numFmtId="0" fontId="30" fillId="0" borderId="382" applyNumberFormat="0" applyFill="0" applyAlignment="0" applyProtection="0"/>
    <xf numFmtId="0" fontId="1" fillId="0" borderId="0"/>
    <xf numFmtId="0" fontId="1" fillId="0" borderId="0"/>
    <xf numFmtId="0" fontId="1" fillId="0" borderId="0"/>
    <xf numFmtId="0" fontId="30" fillId="0" borderId="382" applyNumberFormat="0" applyFill="0" applyAlignment="0" applyProtection="0"/>
    <xf numFmtId="0" fontId="30" fillId="0" borderId="382" applyNumberFormat="0" applyFill="0" applyAlignment="0" applyProtection="0"/>
    <xf numFmtId="0" fontId="1" fillId="0" borderId="0"/>
    <xf numFmtId="0" fontId="1" fillId="0" borderId="0">
      <protection locked="0"/>
    </xf>
    <xf numFmtId="0" fontId="30" fillId="0" borderId="382" applyNumberFormat="0" applyFill="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382" applyNumberFormat="0" applyFill="0" applyAlignment="0" applyProtection="0"/>
    <xf numFmtId="0" fontId="30" fillId="0" borderId="382" applyNumberFormat="0" applyFill="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30" fillId="0" borderId="382" applyNumberFormat="0" applyFill="0" applyAlignment="0" applyProtection="0"/>
    <xf numFmtId="0" fontId="123" fillId="0" borderId="368">
      <alignment horizontal="center"/>
    </xf>
    <xf numFmtId="0" fontId="123" fillId="0" borderId="368">
      <alignment horizontal="center"/>
    </xf>
    <xf numFmtId="0" fontId="123" fillId="0" borderId="368">
      <alignment horizontal="center"/>
    </xf>
    <xf numFmtId="0" fontId="123" fillId="0" borderId="368">
      <alignment horizontal="center"/>
    </xf>
    <xf numFmtId="0" fontId="123" fillId="0" borderId="368">
      <alignment horizontal="center"/>
    </xf>
    <xf numFmtId="0" fontId="123" fillId="0" borderId="368">
      <alignment horizontal="center"/>
    </xf>
    <xf numFmtId="0" fontId="30" fillId="0" borderId="382" applyNumberFormat="0" applyFill="0" applyAlignment="0" applyProtection="0"/>
    <xf numFmtId="0" fontId="30" fillId="0" borderId="382" applyNumberFormat="0" applyFill="0" applyAlignment="0" applyProtection="0"/>
    <xf numFmtId="0" fontId="30" fillId="0" borderId="382" applyNumberFormat="0" applyFill="0" applyAlignment="0" applyProtection="0"/>
    <xf numFmtId="0" fontId="30" fillId="0" borderId="377" applyNumberFormat="0" applyFill="0" applyAlignment="0" applyProtection="0"/>
    <xf numFmtId="0" fontId="30" fillId="0" borderId="379" applyNumberFormat="0" applyFill="0" applyAlignment="0" applyProtection="0"/>
    <xf numFmtId="0" fontId="30" fillId="0" borderId="379" applyNumberFormat="0" applyFill="0" applyAlignment="0" applyProtection="0"/>
    <xf numFmtId="0" fontId="30" fillId="0" borderId="379" applyNumberFormat="0" applyFill="0" applyAlignment="0" applyProtection="0"/>
    <xf numFmtId="0" fontId="30" fillId="0" borderId="379" applyNumberFormat="0" applyFill="0" applyAlignment="0" applyProtection="0"/>
    <xf numFmtId="0" fontId="30" fillId="0" borderId="379" applyNumberFormat="0" applyFill="0" applyAlignment="0" applyProtection="0"/>
    <xf numFmtId="0" fontId="30" fillId="0" borderId="379" applyNumberFormat="0" applyFill="0" applyAlignment="0" applyProtection="0"/>
    <xf numFmtId="0" fontId="30" fillId="0" borderId="379" applyNumberFormat="0" applyFill="0" applyAlignment="0" applyProtection="0"/>
    <xf numFmtId="0" fontId="30" fillId="0" borderId="379" applyNumberFormat="0" applyFill="0" applyAlignment="0" applyProtection="0"/>
    <xf numFmtId="0" fontId="30" fillId="0" borderId="379" applyNumberFormat="0" applyFill="0" applyAlignment="0" applyProtection="0"/>
    <xf numFmtId="0" fontId="30" fillId="0" borderId="379" applyNumberFormat="0" applyFill="0" applyAlignment="0" applyProtection="0"/>
    <xf numFmtId="0" fontId="30" fillId="0" borderId="379" applyNumberFormat="0" applyFill="0" applyAlignment="0" applyProtection="0"/>
    <xf numFmtId="0" fontId="30" fillId="0" borderId="379" applyNumberFormat="0" applyFill="0" applyAlignment="0" applyProtection="0"/>
    <xf numFmtId="0" fontId="30" fillId="0" borderId="379" applyNumberFormat="0" applyFill="0" applyAlignment="0" applyProtection="0"/>
    <xf numFmtId="0" fontId="30" fillId="0" borderId="379" applyNumberFormat="0" applyFill="0" applyAlignment="0" applyProtection="0"/>
    <xf numFmtId="0" fontId="30" fillId="0" borderId="379" applyNumberFormat="0" applyFill="0" applyAlignment="0" applyProtection="0"/>
    <xf numFmtId="0" fontId="30" fillId="0" borderId="379" applyNumberFormat="0" applyFill="0" applyAlignment="0" applyProtection="0"/>
    <xf numFmtId="0" fontId="30" fillId="0" borderId="379" applyNumberFormat="0" applyFill="0" applyAlignment="0" applyProtection="0"/>
    <xf numFmtId="0" fontId="30" fillId="0" borderId="379" applyNumberFormat="0" applyFill="0" applyAlignment="0" applyProtection="0"/>
    <xf numFmtId="0" fontId="30" fillId="0" borderId="379" applyNumberFormat="0" applyFill="0" applyAlignment="0" applyProtection="0"/>
    <xf numFmtId="0" fontId="30" fillId="0" borderId="379" applyNumberFormat="0" applyFill="0" applyAlignment="0" applyProtection="0"/>
    <xf numFmtId="0" fontId="30" fillId="0" borderId="379" applyNumberFormat="0" applyFill="0" applyAlignment="0" applyProtection="0"/>
    <xf numFmtId="0" fontId="30" fillId="0" borderId="379" applyNumberFormat="0" applyFill="0" applyAlignment="0" applyProtection="0"/>
    <xf numFmtId="0" fontId="30" fillId="0" borderId="379" applyNumberFormat="0" applyFill="0" applyAlignment="0" applyProtection="0"/>
    <xf numFmtId="0" fontId="30" fillId="0" borderId="379" applyNumberFormat="0" applyFill="0" applyAlignment="0" applyProtection="0"/>
    <xf numFmtId="0" fontId="30" fillId="0" borderId="379" applyNumberFormat="0" applyFill="0" applyAlignment="0" applyProtection="0"/>
    <xf numFmtId="0" fontId="30" fillId="0" borderId="379" applyNumberFormat="0" applyFill="0" applyAlignment="0" applyProtection="0"/>
    <xf numFmtId="0" fontId="30" fillId="0" borderId="379" applyNumberFormat="0" applyFill="0" applyAlignment="0" applyProtection="0"/>
    <xf numFmtId="0" fontId="30" fillId="0" borderId="379" applyNumberFormat="0" applyFill="0" applyAlignment="0" applyProtection="0"/>
    <xf numFmtId="0" fontId="30" fillId="0" borderId="379" applyNumberFormat="0" applyFill="0" applyAlignment="0" applyProtection="0"/>
    <xf numFmtId="0" fontId="30" fillId="0" borderId="379" applyNumberFormat="0" applyFill="0" applyAlignment="0" applyProtection="0"/>
    <xf numFmtId="0" fontId="30" fillId="0" borderId="379" applyNumberFormat="0" applyFill="0" applyAlignment="0" applyProtection="0"/>
    <xf numFmtId="0" fontId="30" fillId="0" borderId="379" applyNumberFormat="0" applyFill="0" applyAlignment="0" applyProtection="0"/>
    <xf numFmtId="0" fontId="30" fillId="0" borderId="379" applyNumberFormat="0" applyFill="0" applyAlignment="0" applyProtection="0"/>
    <xf numFmtId="0" fontId="30" fillId="0" borderId="382" applyNumberFormat="0" applyFill="0" applyAlignment="0" applyProtection="0"/>
    <xf numFmtId="0" fontId="30" fillId="0" borderId="382" applyNumberFormat="0" applyFill="0" applyAlignment="0" applyProtection="0"/>
    <xf numFmtId="0" fontId="30" fillId="0" borderId="382" applyNumberFormat="0" applyFill="0" applyAlignment="0" applyProtection="0"/>
    <xf numFmtId="0" fontId="30" fillId="0" borderId="382" applyNumberFormat="0" applyFill="0" applyAlignment="0" applyProtection="0"/>
    <xf numFmtId="0" fontId="30" fillId="0" borderId="382" applyNumberFormat="0" applyFill="0" applyAlignment="0" applyProtection="0"/>
    <xf numFmtId="0" fontId="30" fillId="0" borderId="382" applyNumberFormat="0" applyFill="0" applyAlignment="0" applyProtection="0"/>
    <xf numFmtId="43" fontId="7" fillId="0" borderId="0" applyFont="0" applyFill="0" applyBorder="0" applyAlignment="0" applyProtection="0"/>
    <xf numFmtId="0" fontId="123" fillId="0" borderId="383">
      <alignment horizontal="center"/>
    </xf>
    <xf numFmtId="43" fontId="7" fillId="0" borderId="0" applyFont="0" applyFill="0" applyBorder="0" applyAlignment="0" applyProtection="0"/>
    <xf numFmtId="0" fontId="30" fillId="0" borderId="382" applyNumberFormat="0" applyFill="0" applyAlignment="0" applyProtection="0"/>
    <xf numFmtId="0" fontId="123" fillId="0" borderId="383">
      <alignment horizontal="center"/>
    </xf>
    <xf numFmtId="0" fontId="123" fillId="0" borderId="383">
      <alignment horizontal="center"/>
    </xf>
    <xf numFmtId="0" fontId="30" fillId="0" borderId="384" applyNumberFormat="0" applyFill="0" applyAlignment="0" applyProtection="0"/>
    <xf numFmtId="0" fontId="123" fillId="0" borderId="378">
      <alignment horizontal="center"/>
    </xf>
    <xf numFmtId="0" fontId="123" fillId="0" borderId="378">
      <alignment horizontal="center"/>
    </xf>
    <xf numFmtId="0" fontId="123" fillId="0" borderId="378">
      <alignment horizontal="center"/>
    </xf>
    <xf numFmtId="0" fontId="123" fillId="0" borderId="378">
      <alignment horizontal="center"/>
    </xf>
    <xf numFmtId="0" fontId="123" fillId="0" borderId="378">
      <alignment horizontal="center"/>
    </xf>
    <xf numFmtId="0" fontId="123" fillId="0" borderId="378">
      <alignment horizontal="center"/>
    </xf>
    <xf numFmtId="0" fontId="30" fillId="0" borderId="381" applyNumberFormat="0" applyFill="0" applyAlignment="0" applyProtection="0"/>
    <xf numFmtId="0" fontId="123" fillId="0" borderId="383">
      <alignment horizontal="center"/>
    </xf>
  </cellStyleXfs>
  <cellXfs count="4961">
    <xf numFmtId="0" fontId="0" fillId="0" borderId="0" xfId="0"/>
    <xf numFmtId="0" fontId="7" fillId="25" borderId="49" xfId="0" applyFont="1" applyFill="1" applyBorder="1" applyAlignment="1">
      <alignment horizontal="left" vertical="center" wrapText="1" indent="2"/>
    </xf>
    <xf numFmtId="0" fontId="7" fillId="25" borderId="50" xfId="0" applyFont="1" applyFill="1" applyBorder="1" applyAlignment="1">
      <alignment horizontal="left" vertical="center" wrapText="1" indent="2"/>
    </xf>
    <xf numFmtId="0" fontId="85" fillId="30" borderId="0" xfId="0" applyFont="1" applyFill="1" applyBorder="1" applyAlignment="1">
      <alignment vertical="center"/>
    </xf>
    <xf numFmtId="0" fontId="85" fillId="30" borderId="0" xfId="0" applyFont="1" applyFill="1" applyBorder="1"/>
    <xf numFmtId="0" fontId="7" fillId="33" borderId="0" xfId="0" applyFont="1" applyFill="1" applyAlignment="1">
      <alignment horizontal="right"/>
    </xf>
    <xf numFmtId="0" fontId="19" fillId="33" borderId="0" xfId="0" applyNumberFormat="1" applyFont="1" applyFill="1" applyAlignment="1">
      <alignment horizontal="right"/>
    </xf>
    <xf numFmtId="0" fontId="49" fillId="33" borderId="0" xfId="0" applyFont="1" applyFill="1"/>
    <xf numFmtId="0" fontId="67" fillId="39" borderId="67" xfId="0" applyFont="1" applyFill="1" applyBorder="1" applyAlignment="1">
      <alignment horizontal="center" vertical="center" wrapText="1"/>
    </xf>
    <xf numFmtId="168" fontId="7" fillId="30" borderId="147" xfId="30" applyNumberFormat="1" applyFont="1" applyFill="1" applyBorder="1" applyAlignment="1">
      <alignment horizontal="right"/>
    </xf>
    <xf numFmtId="0" fontId="85" fillId="30" borderId="0" xfId="0" applyFont="1" applyFill="1" applyAlignment="1">
      <alignment vertical="center"/>
    </xf>
    <xf numFmtId="0" fontId="49" fillId="33" borderId="0" xfId="0" applyFont="1" applyFill="1" applyAlignment="1">
      <alignment horizontal="right"/>
    </xf>
    <xf numFmtId="0" fontId="85" fillId="30" borderId="0" xfId="0" applyFont="1" applyFill="1"/>
    <xf numFmtId="2" fontId="0" fillId="0" borderId="0" xfId="0" applyNumberFormat="1"/>
    <xf numFmtId="0" fontId="10" fillId="14" borderId="0" xfId="0" applyFont="1" applyFill="1" applyBorder="1" applyAlignment="1">
      <alignment horizontal="left" vertical="top"/>
    </xf>
    <xf numFmtId="0" fontId="0" fillId="33" borderId="0" xfId="0" applyFill="1" applyAlignment="1">
      <alignment horizontal="right"/>
    </xf>
    <xf numFmtId="0" fontId="51" fillId="35" borderId="79" xfId="0" applyFont="1" applyFill="1" applyBorder="1" applyAlignment="1">
      <alignment horizontal="center" vertical="center"/>
    </xf>
    <xf numFmtId="168" fontId="7" fillId="29" borderId="75" xfId="30" applyNumberFormat="1" applyFont="1" applyFill="1" applyBorder="1" applyAlignment="1">
      <alignment horizontal="right"/>
    </xf>
    <xf numFmtId="168" fontId="7" fillId="30" borderId="77" xfId="30" applyNumberFormat="1" applyFont="1" applyFill="1" applyBorder="1" applyAlignment="1">
      <alignment horizontal="right"/>
    </xf>
    <xf numFmtId="0" fontId="11" fillId="0" borderId="0" xfId="0" applyFont="1" applyFill="1"/>
    <xf numFmtId="0" fontId="0" fillId="0" borderId="0" xfId="0" applyBorder="1"/>
    <xf numFmtId="0" fontId="0" fillId="0" borderId="0" xfId="0"/>
    <xf numFmtId="0" fontId="13" fillId="0" borderId="0" xfId="38" applyFill="1" applyAlignment="1" applyProtection="1"/>
    <xf numFmtId="168" fontId="17" fillId="0" borderId="0" xfId="30" applyNumberFormat="1" applyFont="1" applyFill="1" applyBorder="1"/>
    <xf numFmtId="0" fontId="0" fillId="0" borderId="0" xfId="0"/>
    <xf numFmtId="0" fontId="0" fillId="0" borderId="0" xfId="0" applyBorder="1"/>
    <xf numFmtId="0" fontId="0" fillId="0" borderId="0" xfId="0" applyFill="1" applyBorder="1"/>
    <xf numFmtId="0" fontId="0" fillId="18" borderId="27" xfId="0" applyFill="1" applyBorder="1"/>
    <xf numFmtId="0" fontId="0" fillId="18" borderId="28" xfId="0" applyFill="1" applyBorder="1"/>
    <xf numFmtId="0" fontId="0" fillId="18" borderId="29" xfId="0" applyFill="1" applyBorder="1"/>
    <xf numFmtId="0" fontId="0" fillId="18" borderId="30" xfId="0" applyFill="1" applyBorder="1"/>
    <xf numFmtId="0" fontId="43" fillId="18" borderId="0" xfId="0" applyFont="1" applyFill="1" applyBorder="1" applyAlignment="1">
      <alignment vertical="center"/>
    </xf>
    <xf numFmtId="0" fontId="43" fillId="18" borderId="31" xfId="0" applyFont="1" applyFill="1" applyBorder="1" applyAlignment="1">
      <alignment vertical="center"/>
    </xf>
    <xf numFmtId="0" fontId="43" fillId="0" borderId="0" xfId="0" applyFont="1" applyFill="1" applyBorder="1" applyAlignment="1">
      <alignment vertical="center"/>
    </xf>
    <xf numFmtId="0" fontId="43" fillId="0" borderId="0" xfId="0" applyFont="1" applyFill="1" applyBorder="1" applyAlignment="1"/>
    <xf numFmtId="0" fontId="44" fillId="18" borderId="0" xfId="0" applyFont="1" applyFill="1" applyBorder="1" applyAlignment="1">
      <alignment vertical="center"/>
    </xf>
    <xf numFmtId="0" fontId="44" fillId="18" borderId="31" xfId="0" applyFont="1" applyFill="1" applyBorder="1" applyAlignment="1">
      <alignment vertical="center"/>
    </xf>
    <xf numFmtId="0" fontId="44" fillId="0" borderId="0" xfId="0" applyFont="1" applyFill="1" applyBorder="1" applyAlignment="1">
      <alignment vertical="center"/>
    </xf>
    <xf numFmtId="0" fontId="44" fillId="0" borderId="0" xfId="0" applyFont="1" applyFill="1" applyBorder="1" applyAlignment="1"/>
    <xf numFmtId="0" fontId="0" fillId="18" borderId="0" xfId="0" applyFill="1" applyBorder="1" applyAlignment="1">
      <alignment horizontal="center" vertical="center"/>
    </xf>
    <xf numFmtId="0" fontId="0" fillId="18" borderId="31" xfId="0" applyFill="1" applyBorder="1" applyAlignment="1">
      <alignment horizontal="center" vertical="center"/>
    </xf>
    <xf numFmtId="0" fontId="0" fillId="0" borderId="0" xfId="0" applyFill="1" applyBorder="1" applyAlignment="1">
      <alignment horizontal="center" vertical="center"/>
    </xf>
    <xf numFmtId="0" fontId="0" fillId="18" borderId="0" xfId="0" applyFill="1" applyBorder="1"/>
    <xf numFmtId="0" fontId="0" fillId="18" borderId="31" xfId="0" applyFill="1" applyBorder="1"/>
    <xf numFmtId="0" fontId="45" fillId="18" borderId="0" xfId="0" applyFont="1" applyFill="1" applyBorder="1" applyAlignment="1">
      <alignment horizontal="center" vertical="center"/>
    </xf>
    <xf numFmtId="0" fontId="45" fillId="18" borderId="0" xfId="0" applyFont="1" applyFill="1" applyBorder="1" applyAlignment="1">
      <alignment vertical="center"/>
    </xf>
    <xf numFmtId="0" fontId="45" fillId="18" borderId="31" xfId="0" applyFont="1" applyFill="1" applyBorder="1" applyAlignment="1">
      <alignment vertical="center"/>
    </xf>
    <xf numFmtId="0" fontId="45" fillId="0" borderId="0" xfId="0" applyFont="1" applyFill="1" applyBorder="1" applyAlignment="1">
      <alignment vertical="center"/>
    </xf>
    <xf numFmtId="0" fontId="45" fillId="0" borderId="0" xfId="0" applyFont="1" applyFill="1" applyBorder="1" applyAlignment="1"/>
    <xf numFmtId="0" fontId="45" fillId="0" borderId="0" xfId="0" applyFont="1" applyFill="1" applyBorder="1"/>
    <xf numFmtId="0" fontId="45" fillId="24" borderId="30" xfId="0" applyFont="1" applyFill="1" applyBorder="1"/>
    <xf numFmtId="0" fontId="43" fillId="24" borderId="30" xfId="0" applyFont="1" applyFill="1" applyBorder="1" applyAlignment="1">
      <alignment horizontal="center"/>
    </xf>
    <xf numFmtId="0" fontId="45" fillId="24" borderId="32" xfId="0" applyFont="1" applyFill="1" applyBorder="1"/>
    <xf numFmtId="0" fontId="0" fillId="24" borderId="0" xfId="0" applyFill="1" applyBorder="1"/>
    <xf numFmtId="0" fontId="0" fillId="24" borderId="4" xfId="0" applyFill="1" applyBorder="1"/>
    <xf numFmtId="0" fontId="0" fillId="24" borderId="33" xfId="0" applyFill="1" applyBorder="1"/>
    <xf numFmtId="0" fontId="0" fillId="24" borderId="31" xfId="0" applyFill="1" applyBorder="1" applyAlignment="1">
      <alignment vertical="center"/>
    </xf>
    <xf numFmtId="0" fontId="0" fillId="24" borderId="0" xfId="0" applyFill="1"/>
    <xf numFmtId="0" fontId="11" fillId="24" borderId="0" xfId="0" applyFont="1" applyFill="1" applyBorder="1"/>
    <xf numFmtId="0" fontId="46" fillId="24" borderId="0" xfId="38" applyFont="1" applyFill="1" applyBorder="1" applyAlignment="1" applyProtection="1">
      <alignment horizontal="left"/>
    </xf>
    <xf numFmtId="0" fontId="11" fillId="24" borderId="0" xfId="0" applyFont="1" applyFill="1" applyBorder="1" applyAlignment="1">
      <alignment horizontal="left"/>
    </xf>
    <xf numFmtId="0" fontId="46" fillId="24" borderId="0" xfId="38" quotePrefix="1" applyFont="1" applyFill="1" applyBorder="1" applyAlignment="1" applyProtection="1">
      <alignment horizontal="left"/>
    </xf>
    <xf numFmtId="0" fontId="45" fillId="24" borderId="0" xfId="0" applyFont="1" applyFill="1" applyBorder="1"/>
    <xf numFmtId="0" fontId="0" fillId="24" borderId="0" xfId="0" applyFill="1"/>
    <xf numFmtId="10" fontId="10" fillId="0" borderId="0" xfId="44" applyNumberFormat="1" applyFont="1"/>
    <xf numFmtId="0" fontId="0" fillId="0" borderId="0" xfId="0"/>
    <xf numFmtId="0" fontId="0" fillId="14" borderId="0" xfId="0" applyFill="1" applyBorder="1"/>
    <xf numFmtId="0" fontId="10" fillId="14" borderId="0" xfId="0" applyFont="1" applyFill="1" applyBorder="1"/>
    <xf numFmtId="0" fontId="15" fillId="0" borderId="0" xfId="0" applyFont="1" applyBorder="1"/>
    <xf numFmtId="0" fontId="0" fillId="0" borderId="0" xfId="0"/>
    <xf numFmtId="0" fontId="7" fillId="0" borderId="0" xfId="0" applyFont="1" applyFill="1" applyBorder="1" applyAlignment="1" applyProtection="1">
      <alignment horizontal="right" vertical="center" wrapText="1"/>
      <protection locked="0"/>
    </xf>
    <xf numFmtId="0" fontId="13" fillId="0" borderId="0" xfId="38" applyFill="1" applyAlignment="1" applyProtection="1"/>
    <xf numFmtId="0" fontId="48" fillId="0" borderId="0" xfId="0" applyFont="1" applyFill="1"/>
    <xf numFmtId="0" fontId="7" fillId="14" borderId="0" xfId="0" applyFont="1" applyFill="1" applyBorder="1" applyAlignment="1">
      <alignment horizontal="left" vertical="top"/>
    </xf>
    <xf numFmtId="0" fontId="0" fillId="0" borderId="0" xfId="0" applyFill="1" applyBorder="1"/>
    <xf numFmtId="0" fontId="0" fillId="0" borderId="0" xfId="0" applyBorder="1"/>
    <xf numFmtId="0" fontId="17" fillId="0" borderId="0" xfId="0" applyFont="1"/>
    <xf numFmtId="0" fontId="7" fillId="0" borderId="0" xfId="0" applyFont="1"/>
    <xf numFmtId="0" fontId="7" fillId="0" borderId="0" xfId="0" applyFont="1" applyFill="1"/>
    <xf numFmtId="0" fontId="7" fillId="0" borderId="0" xfId="0" applyFont="1" applyFill="1" applyBorder="1" applyAlignment="1">
      <alignment vertical="top"/>
    </xf>
    <xf numFmtId="0" fontId="19" fillId="0" borderId="0" xfId="0" applyNumberFormat="1" applyFont="1" applyFill="1"/>
    <xf numFmtId="0" fontId="19" fillId="0" borderId="0" xfId="0" applyFont="1" applyFill="1"/>
    <xf numFmtId="0" fontId="17" fillId="0" borderId="0" xfId="0" applyFont="1" applyFill="1"/>
    <xf numFmtId="0" fontId="7" fillId="0" borderId="0" xfId="0" applyFont="1" applyAlignment="1"/>
    <xf numFmtId="0" fontId="10" fillId="14" borderId="0" xfId="0" applyFont="1" applyFill="1" applyAlignment="1"/>
    <xf numFmtId="0" fontId="7" fillId="14" borderId="0" xfId="0" applyFont="1" applyFill="1" applyBorder="1" applyAlignment="1">
      <alignment vertical="top"/>
    </xf>
    <xf numFmtId="0" fontId="15" fillId="0" borderId="0" xfId="0" applyFont="1" applyFill="1" applyBorder="1" applyAlignment="1">
      <alignment horizontal="left" vertical="center" wrapText="1"/>
    </xf>
    <xf numFmtId="0" fontId="7" fillId="0" borderId="0" xfId="0" applyFont="1"/>
    <xf numFmtId="0" fontId="10" fillId="0" borderId="0" xfId="0" applyFont="1" applyFill="1" applyBorder="1"/>
    <xf numFmtId="0" fontId="7" fillId="0" borderId="0" xfId="0" applyFont="1" applyFill="1"/>
    <xf numFmtId="0" fontId="19" fillId="0" borderId="0" xfId="0" applyFont="1" applyFill="1"/>
    <xf numFmtId="168" fontId="7" fillId="0" borderId="0" xfId="30" applyNumberFormat="1" applyFont="1" applyFill="1" applyBorder="1"/>
    <xf numFmtId="0" fontId="7" fillId="20" borderId="0" xfId="0" applyFont="1" applyFill="1"/>
    <xf numFmtId="0" fontId="7" fillId="0" borderId="0" xfId="0" applyFont="1" applyAlignment="1">
      <alignment wrapText="1"/>
    </xf>
    <xf numFmtId="0" fontId="0" fillId="0" borderId="0" xfId="0"/>
    <xf numFmtId="0" fontId="0" fillId="0" borderId="0" xfId="0" applyFill="1"/>
    <xf numFmtId="0" fontId="0" fillId="0" borderId="0" xfId="0" applyFill="1" applyBorder="1"/>
    <xf numFmtId="0" fontId="17" fillId="0" borderId="0" xfId="0" applyFont="1" applyFill="1" applyBorder="1"/>
    <xf numFmtId="0" fontId="0" fillId="0" borderId="0" xfId="0" applyAlignment="1">
      <alignment wrapText="1"/>
    </xf>
    <xf numFmtId="0" fontId="16" fillId="0" borderId="0" xfId="0" applyFont="1" applyFill="1" applyBorder="1"/>
    <xf numFmtId="0" fontId="0" fillId="0" borderId="0" xfId="0" applyFill="1" applyAlignment="1">
      <alignment wrapText="1"/>
    </xf>
    <xf numFmtId="0" fontId="10" fillId="14" borderId="0" xfId="0" applyFont="1" applyFill="1" applyBorder="1" applyAlignment="1">
      <alignment vertical="top"/>
    </xf>
    <xf numFmtId="0" fontId="7" fillId="14" borderId="0" xfId="0" applyFont="1" applyFill="1" applyBorder="1" applyAlignment="1">
      <alignment vertical="top" wrapText="1"/>
    </xf>
    <xf numFmtId="0" fontId="10" fillId="14" borderId="0" xfId="0" applyFont="1" applyFill="1"/>
    <xf numFmtId="0" fontId="7" fillId="14" borderId="0" xfId="0" applyFont="1" applyFill="1"/>
    <xf numFmtId="0" fontId="12" fillId="0" borderId="0" xfId="0" applyFont="1" applyFill="1"/>
    <xf numFmtId="0" fontId="7" fillId="0" borderId="0" xfId="0" applyFont="1" applyFill="1" applyBorder="1"/>
    <xf numFmtId="0" fontId="7" fillId="14" borderId="0" xfId="0" applyFont="1" applyFill="1" applyBorder="1" applyAlignment="1">
      <alignment horizontal="left" vertical="top" wrapText="1"/>
    </xf>
    <xf numFmtId="0" fontId="10" fillId="0" borderId="0" xfId="0" applyFont="1"/>
    <xf numFmtId="0" fontId="0" fillId="14" borderId="0" xfId="0" applyFill="1"/>
    <xf numFmtId="0" fontId="0" fillId="0" borderId="0" xfId="0" applyBorder="1"/>
    <xf numFmtId="0" fontId="7" fillId="14" borderId="0" xfId="0" applyFont="1" applyFill="1" applyAlignment="1"/>
    <xf numFmtId="0" fontId="9" fillId="0" borderId="0" xfId="0" applyFont="1" applyFill="1" applyBorder="1"/>
    <xf numFmtId="0" fontId="9" fillId="14" borderId="0" xfId="0" applyFont="1" applyFill="1" applyBorder="1"/>
    <xf numFmtId="17" fontId="0" fillId="0" borderId="0" xfId="0" applyNumberFormat="1" applyFill="1" applyBorder="1"/>
    <xf numFmtId="167" fontId="47" fillId="0" borderId="0" xfId="0" applyNumberFormat="1" applyFont="1" applyFill="1" applyBorder="1"/>
    <xf numFmtId="0" fontId="10" fillId="14" borderId="0" xfId="0" applyFont="1" applyFill="1" applyBorder="1" applyAlignment="1">
      <alignment vertical="center"/>
    </xf>
    <xf numFmtId="0" fontId="7" fillId="14" borderId="0" xfId="0" applyFont="1" applyFill="1" applyBorder="1" applyAlignment="1">
      <alignment vertical="center"/>
    </xf>
    <xf numFmtId="43" fontId="17" fillId="0" borderId="0" xfId="0" applyNumberFormat="1" applyFont="1" applyFill="1"/>
    <xf numFmtId="0" fontId="7" fillId="14" borderId="0" xfId="0" applyFont="1" applyFill="1" applyBorder="1"/>
    <xf numFmtId="0" fontId="0" fillId="14" borderId="0" xfId="0" applyFill="1" applyAlignment="1"/>
    <xf numFmtId="43" fontId="17" fillId="0" borderId="0" xfId="0" applyNumberFormat="1" applyFont="1" applyFill="1" applyBorder="1"/>
    <xf numFmtId="0" fontId="17" fillId="0" borderId="0" xfId="0" applyFont="1" applyFill="1" applyAlignment="1">
      <alignment wrapText="1"/>
    </xf>
    <xf numFmtId="41" fontId="17" fillId="0" borderId="0" xfId="0" applyNumberFormat="1" applyFont="1" applyFill="1" applyBorder="1"/>
    <xf numFmtId="0" fontId="12" fillId="0" borderId="0" xfId="0" applyFont="1"/>
    <xf numFmtId="0" fontId="12" fillId="0" borderId="0" xfId="0" applyFont="1" applyAlignment="1">
      <alignment horizontal="center" vertical="center"/>
    </xf>
    <xf numFmtId="0" fontId="12" fillId="14" borderId="0" xfId="0" applyFont="1" applyFill="1"/>
    <xf numFmtId="0" fontId="7" fillId="14" borderId="0" xfId="0" applyFont="1" applyFill="1" applyAlignment="1">
      <alignment vertical="top"/>
    </xf>
    <xf numFmtId="0" fontId="7" fillId="14" borderId="0" xfId="0" applyFont="1" applyFill="1" applyAlignment="1">
      <alignment vertical="top" wrapText="1"/>
    </xf>
    <xf numFmtId="0" fontId="7" fillId="0" borderId="0" xfId="0" applyFont="1" applyFill="1" applyBorder="1"/>
    <xf numFmtId="168" fontId="16" fillId="0" borderId="0" xfId="0" applyNumberFormat="1" applyFont="1" applyFill="1" applyBorder="1" applyAlignment="1">
      <alignment horizontal="left" vertical="center" wrapText="1"/>
    </xf>
    <xf numFmtId="0" fontId="17" fillId="0" borderId="0" xfId="0" applyFont="1" applyFill="1" applyBorder="1" applyAlignment="1">
      <alignment horizontal="center" vertical="center" wrapText="1"/>
    </xf>
    <xf numFmtId="168" fontId="10" fillId="0" borderId="0" xfId="0" applyNumberFormat="1" applyFont="1" applyFill="1" applyBorder="1" applyAlignment="1">
      <alignment horizontal="left" vertical="center" wrapText="1"/>
    </xf>
    <xf numFmtId="0" fontId="51" fillId="0" borderId="0" xfId="0" applyFont="1" applyFill="1" applyBorder="1" applyAlignment="1" applyProtection="1">
      <alignment horizontal="left" vertical="center" wrapText="1"/>
      <protection locked="0"/>
    </xf>
    <xf numFmtId="0" fontId="7" fillId="0" borderId="0" xfId="0" applyFont="1" applyFill="1" applyBorder="1" applyAlignment="1" applyProtection="1">
      <alignment vertical="center" wrapText="1"/>
      <protection locked="0"/>
    </xf>
    <xf numFmtId="0" fontId="7" fillId="22" borderId="0" xfId="0" applyFont="1" applyFill="1" applyBorder="1" applyAlignment="1" applyProtection="1">
      <alignment vertical="center" wrapText="1"/>
      <protection locked="0"/>
    </xf>
    <xf numFmtId="0" fontId="0" fillId="0" borderId="0" xfId="0" applyFill="1"/>
    <xf numFmtId="0" fontId="10" fillId="0" borderId="0" xfId="0" applyFont="1" applyFill="1" applyBorder="1" applyAlignment="1" applyProtection="1">
      <alignment horizontal="left" vertical="center" wrapText="1"/>
      <protection locked="0"/>
    </xf>
    <xf numFmtId="0" fontId="7" fillId="22" borderId="17" xfId="0" applyFont="1" applyFill="1" applyBorder="1" applyAlignment="1" applyProtection="1">
      <alignment vertical="center" wrapText="1"/>
      <protection locked="0"/>
    </xf>
    <xf numFmtId="49" fontId="7" fillId="0" borderId="0" xfId="0" applyNumberFormat="1" applyFont="1"/>
    <xf numFmtId="0" fontId="0" fillId="0" borderId="0" xfId="0" applyFill="1" applyBorder="1"/>
    <xf numFmtId="0" fontId="7" fillId="0" borderId="0" xfId="0" applyFont="1" applyAlignment="1">
      <alignment horizontal="left"/>
    </xf>
    <xf numFmtId="3" fontId="7" fillId="0" borderId="0" xfId="0" applyNumberFormat="1" applyFont="1" applyFill="1" applyBorder="1" applyAlignment="1" applyProtection="1">
      <alignment vertical="center" wrapText="1"/>
      <protection locked="0"/>
    </xf>
    <xf numFmtId="1" fontId="0" fillId="0" borderId="0" xfId="0" applyNumberFormat="1"/>
    <xf numFmtId="1" fontId="60" fillId="0" borderId="0" xfId="0" applyNumberFormat="1" applyFont="1" applyFill="1"/>
    <xf numFmtId="168" fontId="7" fillId="0" borderId="0" xfId="30" applyNumberFormat="1" applyFont="1"/>
    <xf numFmtId="0" fontId="0" fillId="0" borderId="0" xfId="0" applyAlignment="1"/>
    <xf numFmtId="0" fontId="18" fillId="0" borderId="0" xfId="0" applyFont="1" applyAlignment="1"/>
    <xf numFmtId="0" fontId="7" fillId="14" borderId="0" xfId="0" applyFont="1" applyFill="1" applyBorder="1" applyAlignment="1">
      <alignment horizontal="left" vertical="top" wrapText="1"/>
    </xf>
    <xf numFmtId="0" fontId="0" fillId="29" borderId="0" xfId="0" applyFill="1"/>
    <xf numFmtId="10" fontId="7" fillId="0" borderId="0" xfId="44" applyNumberFormat="1"/>
    <xf numFmtId="0" fontId="7" fillId="14" borderId="0" xfId="0" applyFont="1" applyFill="1" applyBorder="1" applyAlignment="1">
      <alignment vertical="center"/>
    </xf>
    <xf numFmtId="0" fontId="10" fillId="14" borderId="0" xfId="0" applyFont="1" applyFill="1" applyAlignment="1">
      <alignment wrapText="1"/>
    </xf>
    <xf numFmtId="0" fontId="7" fillId="14" borderId="0" xfId="0" applyFont="1" applyFill="1" applyAlignment="1">
      <alignment horizontal="left" vertical="top" wrapText="1"/>
    </xf>
    <xf numFmtId="0" fontId="7" fillId="14" borderId="0" xfId="0" applyFont="1" applyFill="1" applyBorder="1" applyAlignment="1">
      <alignment horizontal="left" vertical="top" wrapText="1"/>
    </xf>
    <xf numFmtId="17" fontId="0" fillId="0" borderId="0" xfId="0" applyNumberFormat="1"/>
    <xf numFmtId="0" fontId="7" fillId="0" borderId="0" xfId="0" applyFont="1" applyFill="1" applyBorder="1" applyAlignment="1" applyProtection="1">
      <alignment horizontal="center" vertical="center" wrapText="1"/>
      <protection locked="0"/>
    </xf>
    <xf numFmtId="0" fontId="62" fillId="27" borderId="0" xfId="0" applyFont="1" applyFill="1" applyBorder="1" applyProtection="1"/>
    <xf numFmtId="0" fontId="62" fillId="27" borderId="0" xfId="0" applyFont="1" applyFill="1" applyBorder="1" applyAlignment="1" applyProtection="1">
      <alignment vertical="center"/>
    </xf>
    <xf numFmtId="0" fontId="62" fillId="33" borderId="0" xfId="0" applyFont="1" applyFill="1" applyProtection="1"/>
    <xf numFmtId="0" fontId="19" fillId="19" borderId="0" xfId="0" applyFont="1" applyFill="1" applyBorder="1" applyAlignment="1" applyProtection="1">
      <alignment horizontal="left" vertical="center"/>
    </xf>
    <xf numFmtId="0" fontId="19" fillId="19" borderId="0" xfId="0" applyFont="1" applyFill="1" applyBorder="1" applyAlignment="1" applyProtection="1">
      <alignment vertical="center"/>
    </xf>
    <xf numFmtId="0" fontId="61" fillId="19" borderId="0" xfId="0" applyFont="1" applyFill="1" applyBorder="1" applyAlignment="1" applyProtection="1">
      <alignment vertical="center"/>
    </xf>
    <xf numFmtId="0" fontId="0" fillId="0" borderId="0" xfId="0"/>
    <xf numFmtId="0" fontId="62" fillId="33" borderId="0" xfId="0" applyFont="1" applyFill="1" applyProtection="1">
      <protection locked="0"/>
    </xf>
    <xf numFmtId="0" fontId="62" fillId="33" borderId="0" xfId="0" applyFont="1" applyFill="1" applyAlignment="1" applyProtection="1">
      <alignment vertical="center"/>
    </xf>
    <xf numFmtId="0" fontId="9" fillId="29" borderId="0" xfId="0" applyFont="1" applyFill="1" applyBorder="1" applyAlignment="1">
      <alignment vertical="top"/>
    </xf>
    <xf numFmtId="0" fontId="9" fillId="0" borderId="0" xfId="0" applyFont="1" applyFill="1" applyBorder="1" applyAlignment="1">
      <alignment vertical="top"/>
    </xf>
    <xf numFmtId="0" fontId="9" fillId="0" borderId="0" xfId="0" applyFont="1" applyFill="1" applyBorder="1" applyAlignment="1">
      <alignment vertical="center"/>
    </xf>
    <xf numFmtId="0" fontId="9" fillId="0" borderId="0" xfId="0" applyFont="1" applyFill="1" applyBorder="1"/>
    <xf numFmtId="0" fontId="0" fillId="0" borderId="0" xfId="0"/>
    <xf numFmtId="0" fontId="8" fillId="0" borderId="0" xfId="0" applyFont="1" applyFill="1" applyBorder="1"/>
    <xf numFmtId="0" fontId="8" fillId="0" borderId="0" xfId="0" applyFont="1" applyFill="1" applyBorder="1" applyAlignment="1">
      <alignment vertical="center"/>
    </xf>
    <xf numFmtId="0" fontId="67" fillId="33" borderId="50" xfId="0" applyFont="1" applyFill="1" applyBorder="1" applyAlignment="1">
      <alignment horizontal="left" vertical="center" wrapText="1"/>
    </xf>
    <xf numFmtId="0" fontId="8" fillId="0" borderId="0" xfId="0" applyFont="1" applyFill="1" applyBorder="1" applyAlignment="1">
      <alignment wrapText="1"/>
    </xf>
    <xf numFmtId="0" fontId="8" fillId="0" borderId="0" xfId="0" applyFont="1" applyFill="1" applyBorder="1" applyAlignment="1">
      <alignment vertical="center" wrapText="1"/>
    </xf>
    <xf numFmtId="0" fontId="7" fillId="33" borderId="50" xfId="0" applyFont="1" applyFill="1" applyBorder="1" applyAlignment="1">
      <alignment horizontal="right" vertical="center" wrapText="1" indent="1"/>
    </xf>
    <xf numFmtId="10" fontId="7" fillId="18" borderId="55" xfId="44" applyNumberFormat="1" applyFont="1" applyFill="1" applyBorder="1" applyProtection="1">
      <protection locked="0"/>
    </xf>
    <xf numFmtId="10" fontId="7" fillId="18" borderId="56" xfId="44" applyNumberFormat="1" applyFont="1" applyFill="1" applyBorder="1" applyProtection="1">
      <protection locked="0"/>
    </xf>
    <xf numFmtId="10" fontId="7" fillId="18" borderId="57" xfId="44" applyNumberFormat="1" applyFont="1" applyFill="1" applyBorder="1" applyProtection="1">
      <protection locked="0"/>
    </xf>
    <xf numFmtId="9" fontId="7" fillId="18" borderId="58" xfId="44" applyFont="1" applyFill="1" applyBorder="1" applyProtection="1">
      <protection locked="0"/>
    </xf>
    <xf numFmtId="9" fontId="7" fillId="18" borderId="56" xfId="44" applyFont="1" applyFill="1" applyBorder="1" applyProtection="1">
      <protection locked="0"/>
    </xf>
    <xf numFmtId="9" fontId="7" fillId="18" borderId="59" xfId="44" applyFont="1" applyFill="1" applyBorder="1" applyProtection="1">
      <protection locked="0"/>
    </xf>
    <xf numFmtId="10" fontId="7" fillId="18" borderId="46" xfId="44" applyNumberFormat="1" applyFont="1" applyFill="1" applyBorder="1" applyProtection="1">
      <protection locked="0"/>
    </xf>
    <xf numFmtId="10" fontId="7" fillId="18" borderId="60" xfId="44" applyNumberFormat="1" applyFont="1" applyFill="1" applyBorder="1" applyProtection="1">
      <protection locked="0"/>
    </xf>
    <xf numFmtId="10" fontId="7" fillId="18" borderId="61" xfId="44" applyNumberFormat="1" applyFont="1" applyFill="1" applyBorder="1" applyProtection="1">
      <protection locked="0"/>
    </xf>
    <xf numFmtId="9" fontId="7" fillId="18" borderId="62" xfId="44" applyFont="1" applyFill="1" applyBorder="1" applyProtection="1">
      <protection locked="0"/>
    </xf>
    <xf numFmtId="9" fontId="7" fillId="18" borderId="60" xfId="44" applyFont="1" applyFill="1" applyBorder="1" applyProtection="1">
      <protection locked="0"/>
    </xf>
    <xf numFmtId="9" fontId="7" fillId="18" borderId="63" xfId="44" applyFont="1" applyFill="1" applyBorder="1" applyProtection="1">
      <protection locked="0"/>
    </xf>
    <xf numFmtId="10" fontId="7" fillId="18" borderId="48" xfId="44" applyNumberFormat="1" applyFont="1" applyFill="1" applyBorder="1" applyProtection="1">
      <protection locked="0"/>
    </xf>
    <xf numFmtId="10" fontId="7" fillId="18" borderId="64" xfId="44" applyNumberFormat="1" applyFont="1" applyFill="1" applyBorder="1" applyProtection="1">
      <protection locked="0"/>
    </xf>
    <xf numFmtId="10" fontId="7" fillId="18" borderId="65" xfId="44" applyNumberFormat="1" applyFont="1" applyFill="1" applyBorder="1" applyProtection="1">
      <protection locked="0"/>
    </xf>
    <xf numFmtId="9" fontId="7" fillId="18" borderId="66" xfId="44" applyFont="1" applyFill="1" applyBorder="1" applyProtection="1">
      <protection locked="0"/>
    </xf>
    <xf numFmtId="9" fontId="7" fillId="18" borderId="64" xfId="44" applyFont="1" applyFill="1" applyBorder="1" applyProtection="1">
      <protection locked="0"/>
    </xf>
    <xf numFmtId="9" fontId="7" fillId="18" borderId="67" xfId="44" applyFont="1" applyFill="1" applyBorder="1" applyProtection="1">
      <protection locked="0"/>
    </xf>
    <xf numFmtId="0" fontId="0" fillId="0" borderId="0" xfId="0" applyBorder="1"/>
    <xf numFmtId="0" fontId="10" fillId="33" borderId="50" xfId="0" applyFont="1" applyFill="1" applyBorder="1" applyAlignment="1" applyProtection="1">
      <alignment horizontal="left" vertical="center" wrapText="1"/>
      <protection locked="0"/>
    </xf>
    <xf numFmtId="0" fontId="0" fillId="0" borderId="0" xfId="0" applyAlignment="1">
      <alignment vertical="center"/>
    </xf>
    <xf numFmtId="0" fontId="7" fillId="33" borderId="68" xfId="0" applyFont="1" applyFill="1" applyBorder="1" applyAlignment="1" applyProtection="1">
      <alignment horizontal="left" vertical="center" wrapText="1"/>
      <protection locked="0"/>
    </xf>
    <xf numFmtId="0" fontId="7" fillId="18" borderId="25" xfId="0" applyFont="1" applyFill="1" applyBorder="1" applyAlignment="1" applyProtection="1">
      <alignment vertical="center" wrapText="1"/>
      <protection locked="0"/>
    </xf>
    <xf numFmtId="0" fontId="7" fillId="18" borderId="42" xfId="0" applyFont="1" applyFill="1" applyBorder="1" applyAlignment="1" applyProtection="1">
      <alignment vertical="center" wrapText="1"/>
      <protection locked="0"/>
    </xf>
    <xf numFmtId="0" fontId="7" fillId="18" borderId="38" xfId="0" applyFont="1" applyFill="1" applyBorder="1" applyAlignment="1" applyProtection="1">
      <alignment vertical="center" wrapText="1"/>
      <protection locked="0"/>
    </xf>
    <xf numFmtId="0" fontId="7" fillId="18" borderId="40" xfId="0" applyFont="1" applyFill="1" applyBorder="1" applyAlignment="1" applyProtection="1">
      <alignment vertical="center" wrapText="1"/>
      <protection locked="0"/>
    </xf>
    <xf numFmtId="168" fontId="10" fillId="33" borderId="19" xfId="0" applyNumberFormat="1" applyFont="1" applyFill="1" applyBorder="1" applyAlignment="1">
      <alignment horizontal="left" vertical="center" wrapText="1"/>
    </xf>
    <xf numFmtId="168" fontId="42" fillId="33" borderId="19" xfId="0" applyNumberFormat="1" applyFont="1" applyFill="1" applyBorder="1" applyAlignment="1">
      <alignment horizontal="left" vertical="center" wrapText="1"/>
    </xf>
    <xf numFmtId="0" fontId="42" fillId="33" borderId="70" xfId="0" applyFont="1" applyFill="1" applyBorder="1" applyAlignment="1">
      <alignment horizontal="left" vertical="center" wrapText="1"/>
    </xf>
    <xf numFmtId="10" fontId="7" fillId="18" borderId="62" xfId="44" applyNumberFormat="1" applyFont="1" applyFill="1" applyBorder="1" applyProtection="1">
      <protection locked="0"/>
    </xf>
    <xf numFmtId="10" fontId="7" fillId="18" borderId="63" xfId="44" applyNumberFormat="1" applyFont="1" applyFill="1" applyBorder="1" applyProtection="1">
      <protection locked="0"/>
    </xf>
    <xf numFmtId="2" fontId="7" fillId="18" borderId="60" xfId="44" applyNumberFormat="1" applyFont="1" applyFill="1" applyBorder="1" applyAlignment="1" applyProtection="1">
      <alignment horizontal="left" indent="3"/>
      <protection locked="0"/>
    </xf>
    <xf numFmtId="10" fontId="7" fillId="18" borderId="63" xfId="44" applyNumberFormat="1" applyFont="1" applyFill="1" applyBorder="1" applyAlignment="1" applyProtection="1">
      <alignment vertical="center"/>
      <protection locked="0"/>
    </xf>
    <xf numFmtId="0" fontId="7" fillId="33" borderId="50" xfId="0" applyFont="1" applyFill="1" applyBorder="1" applyAlignment="1" applyProtection="1">
      <alignment horizontal="left" vertical="center" wrapText="1"/>
      <protection locked="0"/>
    </xf>
    <xf numFmtId="0" fontId="51" fillId="38" borderId="46" xfId="0" applyFont="1" applyFill="1" applyBorder="1" applyAlignment="1" applyProtection="1">
      <alignment horizontal="left" vertical="center" wrapText="1"/>
      <protection locked="0"/>
    </xf>
    <xf numFmtId="0" fontId="51" fillId="38" borderId="60" xfId="0" applyFont="1" applyFill="1" applyBorder="1" applyAlignment="1" applyProtection="1">
      <alignment horizontal="left" vertical="center" wrapText="1"/>
      <protection locked="0"/>
    </xf>
    <xf numFmtId="0" fontId="51" fillId="38" borderId="63" xfId="0" applyFont="1" applyFill="1" applyBorder="1" applyAlignment="1" applyProtection="1">
      <alignment horizontal="left" vertical="center" wrapText="1"/>
      <protection locked="0"/>
    </xf>
    <xf numFmtId="0" fontId="51" fillId="38" borderId="58" xfId="0" applyFont="1" applyFill="1" applyBorder="1" applyAlignment="1" applyProtection="1">
      <alignment horizontal="left" vertical="center" wrapText="1"/>
      <protection locked="0"/>
    </xf>
    <xf numFmtId="0" fontId="7" fillId="33" borderId="48" xfId="0" applyFont="1" applyFill="1" applyBorder="1" applyAlignment="1" applyProtection="1">
      <alignment horizontal="left" vertical="center" wrapText="1"/>
      <protection locked="0"/>
    </xf>
    <xf numFmtId="0" fontId="7" fillId="18" borderId="37" xfId="0" applyFont="1" applyFill="1" applyBorder="1" applyAlignment="1" applyProtection="1">
      <alignment vertical="center"/>
      <protection locked="0"/>
    </xf>
    <xf numFmtId="0" fontId="62" fillId="33" borderId="0" xfId="0" applyFont="1" applyFill="1" applyProtection="1"/>
    <xf numFmtId="0" fontId="19" fillId="19" borderId="22" xfId="0" applyFont="1" applyFill="1" applyBorder="1" applyAlignment="1" applyProtection="1">
      <alignment vertical="center"/>
      <protection locked="0"/>
    </xf>
    <xf numFmtId="0" fontId="62" fillId="27" borderId="0" xfId="0" applyFont="1" applyFill="1" applyBorder="1" applyProtection="1"/>
    <xf numFmtId="0" fontId="19" fillId="19" borderId="0" xfId="0" applyFont="1" applyFill="1" applyBorder="1" applyAlignment="1" applyProtection="1">
      <alignment horizontal="left" vertical="center"/>
    </xf>
    <xf numFmtId="0" fontId="19" fillId="19" borderId="0" xfId="0" applyFont="1" applyFill="1" applyBorder="1" applyAlignment="1" applyProtection="1">
      <alignment vertical="center"/>
    </xf>
    <xf numFmtId="0" fontId="61" fillId="19" borderId="0" xfId="0" applyFont="1" applyFill="1" applyBorder="1" applyAlignment="1" applyProtection="1">
      <alignment vertical="center"/>
    </xf>
    <xf numFmtId="0" fontId="7" fillId="0" borderId="0" xfId="0" applyFont="1" applyFill="1"/>
    <xf numFmtId="0" fontId="19" fillId="0" borderId="0" xfId="0" applyFont="1" applyFill="1"/>
    <xf numFmtId="0" fontId="19" fillId="0" borderId="0" xfId="0" applyNumberFormat="1" applyFont="1" applyFill="1"/>
    <xf numFmtId="0" fontId="10" fillId="29" borderId="0" xfId="0" applyFont="1" applyFill="1" applyBorder="1" applyAlignment="1">
      <alignment vertical="top" wrapText="1"/>
    </xf>
    <xf numFmtId="0" fontId="9" fillId="0" borderId="0" xfId="0" applyFont="1" applyFill="1" applyBorder="1"/>
    <xf numFmtId="0" fontId="7" fillId="0" borderId="0" xfId="0" applyFont="1"/>
    <xf numFmtId="0" fontId="42" fillId="33" borderId="19" xfId="0" applyFont="1" applyFill="1" applyBorder="1" applyAlignment="1">
      <alignment horizontal="center" vertical="center" wrapText="1"/>
    </xf>
    <xf numFmtId="0" fontId="10" fillId="33" borderId="49" xfId="0" applyFont="1" applyFill="1" applyBorder="1" applyAlignment="1">
      <alignment horizontal="left" vertical="center" wrapText="1"/>
    </xf>
    <xf numFmtId="0" fontId="7" fillId="33" borderId="50" xfId="0" applyFont="1" applyFill="1" applyBorder="1" applyAlignment="1">
      <alignment horizontal="left" vertical="center" wrapText="1" indent="4"/>
    </xf>
    <xf numFmtId="168" fontId="7" fillId="43" borderId="46" xfId="0" applyNumberFormat="1" applyFont="1" applyFill="1" applyBorder="1" applyAlignment="1">
      <alignment horizontal="right"/>
    </xf>
    <xf numFmtId="168" fontId="7" fillId="43" borderId="60" xfId="0" applyNumberFormat="1" applyFont="1" applyFill="1" applyBorder="1" applyAlignment="1">
      <alignment horizontal="right"/>
    </xf>
    <xf numFmtId="0" fontId="10" fillId="33" borderId="50" xfId="0" applyFont="1" applyFill="1" applyBorder="1" applyAlignment="1">
      <alignment horizontal="left" vertical="center" wrapText="1"/>
    </xf>
    <xf numFmtId="0" fontId="7" fillId="38" borderId="46" xfId="0" applyFont="1" applyFill="1" applyBorder="1" applyAlignment="1" applyProtection="1">
      <alignment horizontal="right"/>
      <protection locked="0"/>
    </xf>
    <xf numFmtId="0" fontId="7" fillId="38" borderId="60" xfId="0" applyFont="1" applyFill="1" applyBorder="1" applyAlignment="1" applyProtection="1">
      <alignment horizontal="right"/>
      <protection locked="0"/>
    </xf>
    <xf numFmtId="0" fontId="7" fillId="33" borderId="83" xfId="0" applyFont="1" applyFill="1" applyBorder="1" applyAlignment="1">
      <alignment horizontal="left" vertical="center" wrapText="1" indent="4"/>
    </xf>
    <xf numFmtId="168" fontId="7" fillId="43" borderId="78" xfId="0" applyNumberFormat="1" applyFont="1" applyFill="1" applyBorder="1" applyAlignment="1">
      <alignment horizontal="right"/>
    </xf>
    <xf numFmtId="168" fontId="7" fillId="43" borderId="79" xfId="0" applyNumberFormat="1" applyFont="1" applyFill="1" applyBorder="1" applyAlignment="1">
      <alignment horizontal="right"/>
    </xf>
    <xf numFmtId="0" fontId="7" fillId="30" borderId="49" xfId="0" applyFont="1" applyFill="1" applyBorder="1" applyAlignment="1">
      <alignment horizontal="left" vertical="center" wrapText="1"/>
    </xf>
    <xf numFmtId="168" fontId="7" fillId="30" borderId="44" xfId="0" applyNumberFormat="1" applyFont="1" applyFill="1" applyBorder="1" applyAlignment="1">
      <alignment horizontal="right"/>
    </xf>
    <xf numFmtId="168" fontId="7" fillId="30" borderId="82" xfId="0" applyNumberFormat="1" applyFont="1" applyFill="1" applyBorder="1" applyAlignment="1">
      <alignment horizontal="right"/>
    </xf>
    <xf numFmtId="0" fontId="7" fillId="30" borderId="50" xfId="0" applyFont="1" applyFill="1" applyBorder="1" applyAlignment="1">
      <alignment horizontal="left" vertical="center" wrapText="1"/>
    </xf>
    <xf numFmtId="168" fontId="7" fillId="30" borderId="46" xfId="0" applyNumberFormat="1" applyFont="1" applyFill="1" applyBorder="1" applyAlignment="1">
      <alignment horizontal="right"/>
    </xf>
    <xf numFmtId="168" fontId="7" fillId="30" borderId="60" xfId="0" applyNumberFormat="1" applyFont="1" applyFill="1" applyBorder="1" applyAlignment="1">
      <alignment horizontal="right"/>
    </xf>
    <xf numFmtId="0" fontId="7" fillId="31" borderId="50" xfId="0" applyFont="1" applyFill="1" applyBorder="1" applyAlignment="1">
      <alignment horizontal="left" vertical="center" wrapText="1" indent="2"/>
    </xf>
    <xf numFmtId="168" fontId="7" fillId="31" borderId="46" xfId="30" applyNumberFormat="1" applyFont="1" applyFill="1" applyBorder="1" applyAlignment="1">
      <alignment horizontal="right"/>
    </xf>
    <xf numFmtId="168" fontId="7" fillId="31" borderId="60" xfId="30" applyNumberFormat="1" applyFont="1" applyFill="1" applyBorder="1" applyAlignment="1">
      <alignment horizontal="right"/>
    </xf>
    <xf numFmtId="0" fontId="7" fillId="30" borderId="68" xfId="0" applyFont="1" applyFill="1" applyBorder="1" applyAlignment="1">
      <alignment horizontal="left" vertical="center" wrapText="1"/>
    </xf>
    <xf numFmtId="168" fontId="7" fillId="30" borderId="48" xfId="0" applyNumberFormat="1" applyFont="1" applyFill="1" applyBorder="1" applyAlignment="1">
      <alignment horizontal="right"/>
    </xf>
    <xf numFmtId="168" fontId="7" fillId="30" borderId="64" xfId="0" applyNumberFormat="1" applyFont="1" applyFill="1" applyBorder="1" applyAlignment="1">
      <alignment horizontal="right"/>
    </xf>
    <xf numFmtId="168" fontId="7" fillId="43" borderId="86" xfId="0" applyNumberFormat="1" applyFont="1" applyFill="1" applyBorder="1" applyAlignment="1">
      <alignment horizontal="right"/>
    </xf>
    <xf numFmtId="0" fontId="7" fillId="38" borderId="86" xfId="0" applyFont="1" applyFill="1" applyBorder="1" applyAlignment="1" applyProtection="1">
      <alignment horizontal="right"/>
      <protection locked="0"/>
    </xf>
    <xf numFmtId="168" fontId="7" fillId="43" borderId="87" xfId="0" applyNumberFormat="1" applyFont="1" applyFill="1" applyBorder="1" applyAlignment="1">
      <alignment horizontal="right"/>
    </xf>
    <xf numFmtId="168" fontId="7" fillId="30" borderId="85" xfId="0" applyNumberFormat="1" applyFont="1" applyFill="1" applyBorder="1" applyAlignment="1">
      <alignment horizontal="right"/>
    </xf>
    <xf numFmtId="168" fontId="7" fillId="30" borderId="86" xfId="0" applyNumberFormat="1" applyFont="1" applyFill="1" applyBorder="1" applyAlignment="1">
      <alignment horizontal="right"/>
    </xf>
    <xf numFmtId="168" fontId="7" fillId="31" borderId="86" xfId="30" applyNumberFormat="1" applyFont="1" applyFill="1" applyBorder="1" applyAlignment="1">
      <alignment horizontal="right"/>
    </xf>
    <xf numFmtId="168" fontId="7" fillId="30" borderId="88" xfId="0" applyNumberFormat="1" applyFont="1" applyFill="1" applyBorder="1" applyAlignment="1">
      <alignment horizontal="right"/>
    </xf>
    <xf numFmtId="168" fontId="7" fillId="43" borderId="62" xfId="0" applyNumberFormat="1" applyFont="1" applyFill="1" applyBorder="1" applyAlignment="1">
      <alignment horizontal="right"/>
    </xf>
    <xf numFmtId="0" fontId="7" fillId="38" borderId="62" xfId="0" applyFont="1" applyFill="1" applyBorder="1" applyAlignment="1" applyProtection="1">
      <alignment horizontal="right"/>
      <protection locked="0"/>
    </xf>
    <xf numFmtId="168" fontId="7" fillId="43" borderId="81" xfId="0" applyNumberFormat="1" applyFont="1" applyFill="1" applyBorder="1" applyAlignment="1">
      <alignment horizontal="right"/>
    </xf>
    <xf numFmtId="168" fontId="7" fillId="30" borderId="89" xfId="0" applyNumberFormat="1" applyFont="1" applyFill="1" applyBorder="1" applyAlignment="1">
      <alignment horizontal="right"/>
    </xf>
    <xf numFmtId="168" fontId="7" fillId="30" borderId="62" xfId="0" applyNumberFormat="1" applyFont="1" applyFill="1" applyBorder="1" applyAlignment="1">
      <alignment horizontal="right"/>
    </xf>
    <xf numFmtId="168" fontId="7" fillId="31" borderId="62" xfId="30" applyNumberFormat="1" applyFont="1" applyFill="1" applyBorder="1" applyAlignment="1">
      <alignment horizontal="right"/>
    </xf>
    <xf numFmtId="168" fontId="7" fillId="30" borderId="66" xfId="0" applyNumberFormat="1" applyFont="1" applyFill="1" applyBorder="1" applyAlignment="1">
      <alignment horizontal="right"/>
    </xf>
    <xf numFmtId="168" fontId="7" fillId="43" borderId="63" xfId="0" applyNumberFormat="1" applyFont="1" applyFill="1" applyBorder="1" applyAlignment="1">
      <alignment horizontal="right"/>
    </xf>
    <xf numFmtId="0" fontId="7" fillId="38" borderId="63" xfId="0" applyFont="1" applyFill="1" applyBorder="1" applyAlignment="1" applyProtection="1">
      <alignment horizontal="right"/>
      <protection locked="0"/>
    </xf>
    <xf numFmtId="168" fontId="7" fillId="43" borderId="80" xfId="0" applyNumberFormat="1" applyFont="1" applyFill="1" applyBorder="1" applyAlignment="1">
      <alignment horizontal="right"/>
    </xf>
    <xf numFmtId="168" fontId="7" fillId="30" borderId="90" xfId="0" applyNumberFormat="1" applyFont="1" applyFill="1" applyBorder="1" applyAlignment="1">
      <alignment horizontal="right"/>
    </xf>
    <xf numFmtId="168" fontId="7" fillId="30" borderId="63" xfId="0" applyNumberFormat="1" applyFont="1" applyFill="1" applyBorder="1" applyAlignment="1">
      <alignment horizontal="right"/>
    </xf>
    <xf numFmtId="168" fontId="7" fillId="31" borderId="63" xfId="30" applyNumberFormat="1" applyFont="1" applyFill="1" applyBorder="1" applyAlignment="1">
      <alignment horizontal="right"/>
    </xf>
    <xf numFmtId="168" fontId="7" fillId="30" borderId="67" xfId="0" applyNumberFormat="1" applyFont="1" applyFill="1" applyBorder="1" applyAlignment="1">
      <alignment horizontal="right"/>
    </xf>
    <xf numFmtId="0" fontId="15" fillId="36" borderId="48" xfId="0" applyFont="1" applyFill="1" applyBorder="1" applyAlignment="1">
      <alignment horizontal="center" vertical="center" wrapText="1"/>
    </xf>
    <xf numFmtId="0" fontId="15" fillId="36" borderId="64" xfId="0" applyFont="1" applyFill="1" applyBorder="1" applyAlignment="1">
      <alignment horizontal="center" vertical="center" wrapText="1"/>
    </xf>
    <xf numFmtId="168" fontId="7" fillId="43" borderId="60" xfId="30" applyNumberFormat="1" applyFont="1" applyFill="1" applyBorder="1" applyAlignment="1">
      <alignment horizontal="right"/>
    </xf>
    <xf numFmtId="168" fontId="7" fillId="43" borderId="86" xfId="30" applyNumberFormat="1" applyFont="1" applyFill="1" applyBorder="1" applyAlignment="1">
      <alignment horizontal="right"/>
    </xf>
    <xf numFmtId="168" fontId="7" fillId="43" borderId="46" xfId="30" applyNumberFormat="1" applyFont="1" applyFill="1" applyBorder="1" applyAlignment="1">
      <alignment horizontal="right"/>
    </xf>
    <xf numFmtId="168" fontId="7" fillId="43" borderId="46" xfId="0" quotePrefix="1" applyNumberFormat="1" applyFont="1" applyFill="1" applyBorder="1" applyAlignment="1">
      <alignment horizontal="right"/>
    </xf>
    <xf numFmtId="0" fontId="7" fillId="30" borderId="92" xfId="0" applyFont="1" applyFill="1" applyBorder="1" applyAlignment="1">
      <alignment horizontal="left" vertical="center" wrapText="1"/>
    </xf>
    <xf numFmtId="0" fontId="7" fillId="30" borderId="93" xfId="0" applyFont="1" applyFill="1" applyBorder="1" applyAlignment="1">
      <alignment horizontal="left" vertical="center" wrapText="1"/>
    </xf>
    <xf numFmtId="0" fontId="7" fillId="30" borderId="94" xfId="0" applyFont="1" applyFill="1" applyBorder="1" applyAlignment="1">
      <alignment horizontal="left" vertical="center" wrapText="1"/>
    </xf>
    <xf numFmtId="0" fontId="0" fillId="33" borderId="0" xfId="0" applyFill="1"/>
    <xf numFmtId="0" fontId="7" fillId="33" borderId="0" xfId="0" applyFont="1" applyFill="1"/>
    <xf numFmtId="0" fontId="0" fillId="33" borderId="21" xfId="0" applyFill="1" applyBorder="1"/>
    <xf numFmtId="0" fontId="0" fillId="33" borderId="0" xfId="0" applyFill="1" applyAlignment="1">
      <alignment horizontal="left"/>
    </xf>
    <xf numFmtId="0" fontId="0" fillId="33" borderId="19" xfId="0" applyFill="1" applyBorder="1"/>
    <xf numFmtId="0" fontId="0" fillId="33" borderId="0" xfId="0" applyFill="1" applyAlignment="1">
      <alignment vertical="center"/>
    </xf>
    <xf numFmtId="0" fontId="67" fillId="39" borderId="64" xfId="0" applyFont="1" applyFill="1" applyBorder="1" applyAlignment="1">
      <alignment horizontal="center" vertical="center" wrapText="1"/>
    </xf>
    <xf numFmtId="0" fontId="67" fillId="40" borderId="64" xfId="0" applyFont="1" applyFill="1" applyBorder="1" applyAlignment="1">
      <alignment horizontal="center" vertical="center" wrapText="1"/>
    </xf>
    <xf numFmtId="0" fontId="67" fillId="44" borderId="64" xfId="0" applyFont="1" applyFill="1" applyBorder="1" applyAlignment="1">
      <alignment horizontal="center" vertical="center" wrapText="1"/>
    </xf>
    <xf numFmtId="0" fontId="67" fillId="46" borderId="64" xfId="0" applyFont="1" applyFill="1" applyBorder="1" applyAlignment="1">
      <alignment horizontal="center" vertical="center" wrapText="1"/>
    </xf>
    <xf numFmtId="0" fontId="15" fillId="31" borderId="36" xfId="0" applyFont="1" applyFill="1" applyBorder="1" applyAlignment="1">
      <alignment vertical="center"/>
    </xf>
    <xf numFmtId="0" fontId="7" fillId="33" borderId="50" xfId="0" applyFont="1" applyFill="1" applyBorder="1" applyAlignment="1">
      <alignment horizontal="left" vertical="center" wrapText="1" indent="2"/>
    </xf>
    <xf numFmtId="168" fontId="7" fillId="18" borderId="46" xfId="30" applyNumberFormat="1" applyFont="1" applyFill="1" applyBorder="1" applyAlignment="1">
      <alignment horizontal="right"/>
    </xf>
    <xf numFmtId="168" fontId="7" fillId="18" borderId="82" xfId="30" applyNumberFormat="1" applyFont="1" applyFill="1" applyBorder="1" applyAlignment="1">
      <alignment horizontal="right"/>
    </xf>
    <xf numFmtId="168" fontId="7" fillId="29" borderId="46" xfId="30" applyNumberFormat="1" applyFont="1" applyFill="1" applyBorder="1" applyAlignment="1">
      <alignment horizontal="right"/>
    </xf>
    <xf numFmtId="168" fontId="7" fillId="38" borderId="46" xfId="30" applyNumberFormat="1" applyFont="1" applyFill="1" applyBorder="1" applyAlignment="1">
      <alignment horizontal="right"/>
    </xf>
    <xf numFmtId="168" fontId="7" fillId="29" borderId="64" xfId="30" applyNumberFormat="1" applyFont="1" applyFill="1" applyBorder="1" applyAlignment="1">
      <alignment horizontal="right"/>
    </xf>
    <xf numFmtId="0" fontId="7" fillId="33" borderId="0" xfId="0" applyFont="1" applyFill="1"/>
    <xf numFmtId="0" fontId="7" fillId="25" borderId="36" xfId="0" applyFont="1" applyFill="1" applyBorder="1" applyAlignment="1" applyProtection="1">
      <alignment vertical="center"/>
      <protection locked="0"/>
    </xf>
    <xf numFmtId="0" fontId="7" fillId="25" borderId="35" xfId="0" applyFont="1" applyFill="1" applyBorder="1" applyAlignment="1" applyProtection="1">
      <alignment vertical="center" wrapText="1"/>
      <protection locked="0"/>
    </xf>
    <xf numFmtId="166" fontId="7" fillId="18" borderId="60" xfId="30" applyNumberFormat="1" applyFont="1" applyFill="1" applyBorder="1"/>
    <xf numFmtId="0" fontId="16" fillId="29" borderId="60" xfId="0" applyFont="1" applyFill="1" applyBorder="1" applyAlignment="1">
      <alignment horizontal="left" vertical="center" wrapText="1"/>
    </xf>
    <xf numFmtId="0" fontId="10" fillId="29" borderId="60" xfId="0" applyFont="1" applyFill="1" applyBorder="1" applyAlignment="1">
      <alignment horizontal="left" vertical="center" wrapText="1"/>
    </xf>
    <xf numFmtId="0" fontId="10" fillId="29" borderId="46" xfId="0" applyFont="1" applyFill="1" applyBorder="1" applyAlignment="1">
      <alignment horizontal="left" vertical="center" wrapText="1"/>
    </xf>
    <xf numFmtId="0" fontId="15" fillId="31" borderId="35" xfId="0" applyFont="1" applyFill="1" applyBorder="1" applyAlignment="1">
      <alignment vertical="center"/>
    </xf>
    <xf numFmtId="0" fontId="15" fillId="31" borderId="34" xfId="0" applyFont="1" applyFill="1" applyBorder="1" applyAlignment="1">
      <alignment vertical="center"/>
    </xf>
    <xf numFmtId="0" fontId="15" fillId="31" borderId="35" xfId="0" applyFont="1" applyFill="1" applyBorder="1" applyAlignment="1">
      <alignment horizontal="right" vertical="center"/>
    </xf>
    <xf numFmtId="0" fontId="15" fillId="31" borderId="34" xfId="0" applyFont="1" applyFill="1" applyBorder="1" applyAlignment="1">
      <alignment horizontal="right" vertical="center"/>
    </xf>
    <xf numFmtId="0" fontId="16" fillId="29" borderId="82" xfId="0" applyFont="1" applyFill="1" applyBorder="1" applyAlignment="1">
      <alignment horizontal="left" vertical="center" wrapText="1"/>
    </xf>
    <xf numFmtId="0" fontId="10" fillId="29" borderId="82" xfId="0" applyFont="1" applyFill="1" applyBorder="1" applyAlignment="1">
      <alignment horizontal="left" vertical="center" wrapText="1"/>
    </xf>
    <xf numFmtId="0" fontId="10" fillId="29" borderId="90" xfId="0" applyFont="1" applyFill="1" applyBorder="1" applyAlignment="1">
      <alignment horizontal="left" vertical="center" wrapText="1"/>
    </xf>
    <xf numFmtId="9" fontId="7" fillId="18" borderId="63" xfId="44" applyFont="1" applyFill="1" applyBorder="1"/>
    <xf numFmtId="0" fontId="16" fillId="29" borderId="46" xfId="0" applyFont="1" applyFill="1" applyBorder="1" applyAlignment="1">
      <alignment horizontal="left" vertical="center" wrapText="1"/>
    </xf>
    <xf numFmtId="0" fontId="10" fillId="29" borderId="63" xfId="0" applyFont="1" applyFill="1" applyBorder="1" applyAlignment="1">
      <alignment horizontal="left" vertical="center" wrapText="1"/>
    </xf>
    <xf numFmtId="168" fontId="7" fillId="18" borderId="90" xfId="30" applyNumberFormat="1" applyFont="1" applyFill="1" applyBorder="1" applyAlignment="1">
      <alignment horizontal="right"/>
    </xf>
    <xf numFmtId="168" fontId="7" fillId="18" borderId="63" xfId="30" applyNumberFormat="1" applyFont="1" applyFill="1" applyBorder="1" applyAlignment="1">
      <alignment horizontal="right"/>
    </xf>
    <xf numFmtId="168" fontId="7" fillId="29" borderId="63" xfId="30" applyNumberFormat="1" applyFont="1" applyFill="1" applyBorder="1" applyAlignment="1">
      <alignment horizontal="right"/>
    </xf>
    <xf numFmtId="168" fontId="7" fillId="38" borderId="63" xfId="30" applyNumberFormat="1" applyFont="1" applyFill="1" applyBorder="1" applyAlignment="1">
      <alignment horizontal="right"/>
    </xf>
    <xf numFmtId="168" fontId="7" fillId="38" borderId="60" xfId="0" applyNumberFormat="1" applyFont="1" applyFill="1" applyBorder="1" applyAlignment="1">
      <alignment horizontal="right"/>
    </xf>
    <xf numFmtId="168" fontId="7" fillId="29" borderId="76" xfId="0" applyNumberFormat="1" applyFont="1" applyFill="1" applyBorder="1" applyAlignment="1">
      <alignment horizontal="right"/>
    </xf>
    <xf numFmtId="168" fontId="10" fillId="30" borderId="60" xfId="0" applyNumberFormat="1" applyFont="1" applyFill="1" applyBorder="1" applyAlignment="1">
      <alignment horizontal="right"/>
    </xf>
    <xf numFmtId="168" fontId="7" fillId="25" borderId="60" xfId="0" applyNumberFormat="1" applyFont="1" applyFill="1" applyBorder="1" applyAlignment="1">
      <alignment horizontal="right"/>
    </xf>
    <xf numFmtId="0" fontId="7" fillId="29" borderId="76" xfId="0" applyFont="1" applyFill="1" applyBorder="1" applyAlignment="1">
      <alignment horizontal="right" wrapText="1"/>
    </xf>
    <xf numFmtId="168" fontId="7" fillId="31" borderId="62" xfId="0" applyNumberFormat="1" applyFont="1" applyFill="1" applyBorder="1" applyAlignment="1">
      <alignment horizontal="right" wrapText="1"/>
    </xf>
    <xf numFmtId="168" fontId="7" fillId="29" borderId="62" xfId="0" applyNumberFormat="1" applyFont="1" applyFill="1" applyBorder="1" applyAlignment="1">
      <alignment horizontal="right" wrapText="1"/>
    </xf>
    <xf numFmtId="168" fontId="7" fillId="25" borderId="100" xfId="0" applyNumberFormat="1" applyFont="1" applyFill="1" applyBorder="1" applyAlignment="1">
      <alignment horizontal="right"/>
    </xf>
    <xf numFmtId="0" fontId="7" fillId="43" borderId="70" xfId="0" applyFont="1" applyFill="1" applyBorder="1" applyAlignment="1">
      <alignment horizontal="left" vertical="center" wrapText="1"/>
    </xf>
    <xf numFmtId="0" fontId="7" fillId="43" borderId="50" xfId="0" applyFont="1" applyFill="1" applyBorder="1" applyAlignment="1">
      <alignment horizontal="left" vertical="center" wrapText="1" indent="2"/>
    </xf>
    <xf numFmtId="168" fontId="7" fillId="31" borderId="89" xfId="0" applyNumberFormat="1" applyFont="1" applyFill="1" applyBorder="1" applyAlignment="1">
      <alignment horizontal="right" wrapText="1"/>
    </xf>
    <xf numFmtId="168" fontId="7" fillId="29" borderId="75" xfId="0" applyNumberFormat="1" applyFont="1" applyFill="1" applyBorder="1" applyAlignment="1">
      <alignment horizontal="right" wrapText="1"/>
    </xf>
    <xf numFmtId="0" fontId="7" fillId="29" borderId="50" xfId="0" applyFont="1" applyFill="1" applyBorder="1" applyAlignment="1">
      <alignment horizontal="right" wrapText="1"/>
    </xf>
    <xf numFmtId="0" fontId="7" fillId="29" borderId="77" xfId="0" applyFont="1" applyFill="1" applyBorder="1" applyAlignment="1">
      <alignment horizontal="right" wrapText="1"/>
    </xf>
    <xf numFmtId="168" fontId="7" fillId="31" borderId="46" xfId="0" applyNumberFormat="1" applyFont="1" applyFill="1" applyBorder="1" applyAlignment="1">
      <alignment horizontal="right" wrapText="1"/>
    </xf>
    <xf numFmtId="168" fontId="7" fillId="29" borderId="77" xfId="0" applyNumberFormat="1" applyFont="1" applyFill="1" applyBorder="1" applyAlignment="1">
      <alignment horizontal="right" wrapText="1"/>
    </xf>
    <xf numFmtId="168" fontId="7" fillId="38" borderId="46" xfId="0" applyNumberFormat="1" applyFont="1" applyFill="1" applyBorder="1" applyAlignment="1">
      <alignment horizontal="right"/>
    </xf>
    <xf numFmtId="168" fontId="7" fillId="29" borderId="46" xfId="0" applyNumberFormat="1" applyFont="1" applyFill="1" applyBorder="1" applyAlignment="1">
      <alignment horizontal="right" wrapText="1"/>
    </xf>
    <xf numFmtId="168" fontId="7" fillId="29" borderId="77" xfId="0" applyNumberFormat="1" applyFont="1" applyFill="1" applyBorder="1" applyAlignment="1">
      <alignment horizontal="right"/>
    </xf>
    <xf numFmtId="168" fontId="7" fillId="25" borderId="101" xfId="0" applyNumberFormat="1" applyFont="1" applyFill="1" applyBorder="1" applyAlignment="1">
      <alignment horizontal="right"/>
    </xf>
    <xf numFmtId="168" fontId="10" fillId="30" borderId="46" xfId="0" applyNumberFormat="1" applyFont="1" applyFill="1" applyBorder="1" applyAlignment="1">
      <alignment horizontal="right"/>
    </xf>
    <xf numFmtId="168" fontId="10" fillId="30" borderId="63" xfId="0" applyNumberFormat="1" applyFont="1" applyFill="1" applyBorder="1" applyAlignment="1">
      <alignment horizontal="right"/>
    </xf>
    <xf numFmtId="168" fontId="7" fillId="25" borderId="46" xfId="0" applyNumberFormat="1" applyFont="1" applyFill="1" applyBorder="1" applyAlignment="1">
      <alignment horizontal="right"/>
    </xf>
    <xf numFmtId="168" fontId="7" fillId="25" borderId="63" xfId="0" applyNumberFormat="1" applyFont="1" applyFill="1" applyBorder="1" applyAlignment="1">
      <alignment horizontal="right"/>
    </xf>
    <xf numFmtId="0" fontId="7" fillId="33" borderId="50" xfId="0" applyFont="1" applyFill="1" applyBorder="1" applyAlignment="1">
      <alignment horizontal="left" wrapText="1"/>
    </xf>
    <xf numFmtId="43" fontId="7" fillId="29" borderId="46" xfId="30" applyFont="1" applyFill="1" applyBorder="1" applyAlignment="1">
      <alignment horizontal="right"/>
    </xf>
    <xf numFmtId="43" fontId="7" fillId="29" borderId="62" xfId="30" applyFont="1" applyFill="1" applyBorder="1" applyAlignment="1">
      <alignment horizontal="right"/>
    </xf>
    <xf numFmtId="43" fontId="7" fillId="29" borderId="77" xfId="30" applyFont="1" applyFill="1" applyBorder="1" applyAlignment="1">
      <alignment horizontal="right"/>
    </xf>
    <xf numFmtId="0" fontId="0" fillId="33" borderId="0" xfId="0" applyFill="1" applyBorder="1"/>
    <xf numFmtId="168" fontId="7" fillId="33" borderId="0" xfId="0" applyNumberFormat="1" applyFont="1" applyFill="1"/>
    <xf numFmtId="0" fontId="10" fillId="38" borderId="75" xfId="0" applyFont="1" applyFill="1" applyBorder="1" applyAlignment="1">
      <alignment horizontal="left" vertical="center" wrapText="1"/>
    </xf>
    <xf numFmtId="0" fontId="10" fillId="38" borderId="90" xfId="0" applyFont="1" applyFill="1" applyBorder="1" applyAlignment="1">
      <alignment horizontal="left" vertical="center" wrapText="1"/>
    </xf>
    <xf numFmtId="0" fontId="10" fillId="38" borderId="77" xfId="0" applyFont="1" applyFill="1" applyBorder="1" applyAlignment="1">
      <alignment horizontal="left" vertical="center" wrapText="1"/>
    </xf>
    <xf numFmtId="164" fontId="7" fillId="31" borderId="46" xfId="44" applyNumberFormat="1" applyFont="1" applyFill="1" applyBorder="1"/>
    <xf numFmtId="164" fontId="7" fillId="31" borderId="60" xfId="44" applyNumberFormat="1" applyFont="1" applyFill="1" applyBorder="1"/>
    <xf numFmtId="164" fontId="7" fillId="31" borderId="63" xfId="44" applyNumberFormat="1" applyFont="1" applyFill="1" applyBorder="1"/>
    <xf numFmtId="170" fontId="7" fillId="38" borderId="46" xfId="30" applyNumberFormat="1" applyFont="1" applyFill="1" applyBorder="1"/>
    <xf numFmtId="170" fontId="7" fillId="38" borderId="60" xfId="30" applyNumberFormat="1" applyFont="1" applyFill="1" applyBorder="1"/>
    <xf numFmtId="170" fontId="7" fillId="38" borderId="63" xfId="30" applyNumberFormat="1" applyFont="1" applyFill="1" applyBorder="1"/>
    <xf numFmtId="0" fontId="7" fillId="33" borderId="60" xfId="30" applyNumberFormat="1" applyFont="1" applyFill="1" applyBorder="1"/>
    <xf numFmtId="0" fontId="7" fillId="33" borderId="63" xfId="30" applyNumberFormat="1" applyFont="1" applyFill="1" applyBorder="1"/>
    <xf numFmtId="168" fontId="7" fillId="30" borderId="64" xfId="0" applyNumberFormat="1" applyFont="1" applyFill="1" applyBorder="1"/>
    <xf numFmtId="168" fontId="7" fillId="30" borderId="67" xfId="0" applyNumberFormat="1" applyFont="1" applyFill="1" applyBorder="1"/>
    <xf numFmtId="168" fontId="7" fillId="30" borderId="48" xfId="0" applyNumberFormat="1" applyFont="1" applyFill="1" applyBorder="1"/>
    <xf numFmtId="0" fontId="7" fillId="29" borderId="70" xfId="0" applyFont="1" applyFill="1" applyBorder="1" applyAlignment="1">
      <alignment horizontal="left" vertical="center" wrapText="1"/>
    </xf>
    <xf numFmtId="168" fontId="7" fillId="29" borderId="44" xfId="0" applyNumberFormat="1" applyFont="1" applyFill="1" applyBorder="1"/>
    <xf numFmtId="168" fontId="7" fillId="29" borderId="82" xfId="0" applyNumberFormat="1" applyFont="1" applyFill="1" applyBorder="1"/>
    <xf numFmtId="168" fontId="7" fillId="30" borderId="46" xfId="0" applyNumberFormat="1" applyFont="1" applyFill="1" applyBorder="1"/>
    <xf numFmtId="168" fontId="7" fillId="30" borderId="60" xfId="0" applyNumberFormat="1" applyFont="1" applyFill="1" applyBorder="1"/>
    <xf numFmtId="168" fontId="10" fillId="30" borderId="68" xfId="0" applyNumberFormat="1" applyFont="1" applyFill="1" applyBorder="1" applyAlignment="1">
      <alignment horizontal="left" wrapText="1"/>
    </xf>
    <xf numFmtId="0" fontId="10" fillId="33" borderId="70" xfId="0" applyFont="1" applyFill="1" applyBorder="1" applyAlignment="1">
      <alignment horizontal="left" vertical="center" wrapText="1"/>
    </xf>
    <xf numFmtId="0" fontId="16" fillId="29" borderId="90" xfId="0" applyFont="1" applyFill="1" applyBorder="1" applyAlignment="1">
      <alignment horizontal="left" vertical="center" wrapText="1"/>
    </xf>
    <xf numFmtId="0" fontId="16" fillId="29" borderId="63" xfId="0" applyFont="1" applyFill="1" applyBorder="1" applyAlignment="1">
      <alignment horizontal="left" vertical="center" wrapText="1"/>
    </xf>
    <xf numFmtId="168" fontId="7" fillId="29" borderId="67" xfId="30" applyNumberFormat="1" applyFont="1" applyFill="1" applyBorder="1" applyAlignment="1">
      <alignment horizontal="right"/>
    </xf>
    <xf numFmtId="0" fontId="67" fillId="36" borderId="64" xfId="0" applyFont="1" applyFill="1" applyBorder="1" applyAlignment="1">
      <alignment horizontal="center" vertical="center" wrapText="1"/>
    </xf>
    <xf numFmtId="0" fontId="67" fillId="36" borderId="48" xfId="0" applyFont="1" applyFill="1" applyBorder="1" applyAlignment="1">
      <alignment horizontal="center" vertical="center" wrapText="1"/>
    </xf>
    <xf numFmtId="0" fontId="67" fillId="41" borderId="64" xfId="0" applyFont="1" applyFill="1" applyBorder="1" applyAlignment="1">
      <alignment horizontal="center" vertical="center" wrapText="1"/>
    </xf>
    <xf numFmtId="0" fontId="67" fillId="36" borderId="78" xfId="0" applyFont="1" applyFill="1" applyBorder="1" applyAlignment="1">
      <alignment horizontal="center" vertical="center" wrapText="1"/>
    </xf>
    <xf numFmtId="0" fontId="67" fillId="36" borderId="79" xfId="0" applyFont="1" applyFill="1" applyBorder="1" applyAlignment="1">
      <alignment horizontal="center" vertical="center" wrapText="1"/>
    </xf>
    <xf numFmtId="0" fontId="67" fillId="41" borderId="79" xfId="0" applyFont="1" applyFill="1" applyBorder="1" applyAlignment="1">
      <alignment horizontal="center" vertical="center" wrapText="1"/>
    </xf>
    <xf numFmtId="0" fontId="69" fillId="35" borderId="79" xfId="0" applyFont="1" applyFill="1" applyBorder="1" applyAlignment="1">
      <alignment horizontal="center" vertical="center"/>
    </xf>
    <xf numFmtId="0" fontId="67" fillId="36" borderId="84" xfId="0" applyFont="1" applyFill="1" applyBorder="1" applyAlignment="1">
      <alignment horizontal="center" vertical="center" wrapText="1"/>
    </xf>
    <xf numFmtId="0" fontId="0" fillId="47" borderId="24" xfId="0" applyFill="1" applyBorder="1"/>
    <xf numFmtId="0" fontId="51" fillId="35" borderId="60" xfId="0" applyFont="1" applyFill="1" applyBorder="1" applyAlignment="1">
      <alignment horizontal="center" vertical="center" wrapText="1"/>
    </xf>
    <xf numFmtId="168" fontId="7" fillId="29" borderId="46" xfId="30" applyNumberFormat="1" applyFont="1" applyFill="1" applyBorder="1"/>
    <xf numFmtId="168" fontId="7" fillId="29" borderId="60" xfId="30" applyNumberFormat="1" applyFont="1" applyFill="1" applyBorder="1"/>
    <xf numFmtId="0" fontId="7" fillId="0" borderId="0" xfId="0" applyFont="1" applyFill="1" applyAlignment="1">
      <alignment vertical="top"/>
    </xf>
    <xf numFmtId="168" fontId="7" fillId="29" borderId="64" xfId="30" applyNumberFormat="1" applyFont="1" applyFill="1" applyBorder="1"/>
    <xf numFmtId="0" fontId="10" fillId="33" borderId="68" xfId="0" applyFont="1" applyFill="1" applyBorder="1" applyAlignment="1">
      <alignment horizontal="left" vertical="center" wrapText="1"/>
    </xf>
    <xf numFmtId="168" fontId="16" fillId="34" borderId="62" xfId="30" applyNumberFormat="1" applyFont="1" applyFill="1" applyBorder="1"/>
    <xf numFmtId="168" fontId="16" fillId="34" borderId="60" xfId="30" applyNumberFormat="1" applyFont="1" applyFill="1" applyBorder="1"/>
    <xf numFmtId="0" fontId="13" fillId="33" borderId="0" xfId="38" applyFill="1" applyAlignment="1" applyProtection="1"/>
    <xf numFmtId="0" fontId="0" fillId="33" borderId="0" xfId="0" applyFill="1"/>
    <xf numFmtId="168" fontId="49" fillId="31" borderId="43" xfId="30" applyNumberFormat="1" applyFont="1" applyFill="1" applyBorder="1"/>
    <xf numFmtId="168" fontId="49" fillId="31" borderId="103" xfId="30" applyNumberFormat="1" applyFont="1" applyFill="1" applyBorder="1"/>
    <xf numFmtId="168" fontId="49" fillId="31" borderId="104" xfId="30" applyNumberFormat="1" applyFont="1" applyFill="1" applyBorder="1"/>
    <xf numFmtId="168" fontId="49" fillId="31" borderId="105" xfId="30" applyNumberFormat="1" applyFont="1" applyFill="1" applyBorder="1"/>
    <xf numFmtId="168" fontId="10" fillId="29" borderId="82" xfId="0" applyNumberFormat="1" applyFont="1" applyFill="1" applyBorder="1" applyAlignment="1">
      <alignment horizontal="left" vertical="center" wrapText="1"/>
    </xf>
    <xf numFmtId="168" fontId="10" fillId="29" borderId="46" xfId="0" applyNumberFormat="1" applyFont="1" applyFill="1" applyBorder="1" applyAlignment="1">
      <alignment horizontal="left" vertical="center" wrapText="1"/>
    </xf>
    <xf numFmtId="168" fontId="10" fillId="29" borderId="60" xfId="0" applyNumberFormat="1" applyFont="1" applyFill="1" applyBorder="1" applyAlignment="1">
      <alignment horizontal="left" vertical="center" wrapText="1"/>
    </xf>
    <xf numFmtId="168" fontId="16" fillId="34" borderId="46" xfId="30" applyNumberFormat="1" applyFont="1" applyFill="1" applyBorder="1"/>
    <xf numFmtId="0" fontId="7" fillId="22" borderId="36" xfId="0" applyFont="1" applyFill="1" applyBorder="1" applyAlignment="1" applyProtection="1">
      <alignment vertical="center" wrapText="1"/>
      <protection locked="0"/>
    </xf>
    <xf numFmtId="0" fontId="7" fillId="22" borderId="35" xfId="0" applyFont="1" applyFill="1" applyBorder="1" applyAlignment="1" applyProtection="1">
      <alignment vertical="center" wrapText="1"/>
      <protection locked="0"/>
    </xf>
    <xf numFmtId="0" fontId="7" fillId="38" borderId="18" xfId="0" applyFont="1" applyFill="1" applyBorder="1" applyAlignment="1">
      <alignment horizontal="center" vertical="center" wrapText="1"/>
    </xf>
    <xf numFmtId="168" fontId="7" fillId="31" borderId="19" xfId="30" applyNumberFormat="1" applyFont="1" applyFill="1" applyBorder="1"/>
    <xf numFmtId="168" fontId="7" fillId="31" borderId="0" xfId="30" applyNumberFormat="1" applyFont="1" applyFill="1" applyBorder="1"/>
    <xf numFmtId="168" fontId="7" fillId="31" borderId="70" xfId="30" applyNumberFormat="1" applyFont="1" applyFill="1" applyBorder="1"/>
    <xf numFmtId="168" fontId="7" fillId="31" borderId="97" xfId="30" applyNumberFormat="1" applyFont="1" applyFill="1" applyBorder="1"/>
    <xf numFmtId="168" fontId="7" fillId="31" borderId="21" xfId="30" applyNumberFormat="1" applyFont="1" applyFill="1" applyBorder="1"/>
    <xf numFmtId="168" fontId="7" fillId="31" borderId="22" xfId="30" applyNumberFormat="1" applyFont="1" applyFill="1" applyBorder="1"/>
    <xf numFmtId="0" fontId="10" fillId="33" borderId="36" xfId="0" applyFont="1" applyFill="1" applyBorder="1" applyAlignment="1" applyProtection="1">
      <alignment horizontal="left" vertical="center" wrapText="1"/>
      <protection locked="0"/>
    </xf>
    <xf numFmtId="168" fontId="7" fillId="31" borderId="23" xfId="30" applyNumberFormat="1" applyFont="1" applyFill="1" applyBorder="1"/>
    <xf numFmtId="168" fontId="49" fillId="31" borderId="109" xfId="30" applyNumberFormat="1" applyFont="1" applyFill="1" applyBorder="1"/>
    <xf numFmtId="168" fontId="49" fillId="31" borderId="110" xfId="30" applyNumberFormat="1" applyFont="1" applyFill="1" applyBorder="1"/>
    <xf numFmtId="168" fontId="10" fillId="29" borderId="63" xfId="0" applyNumberFormat="1" applyFont="1" applyFill="1" applyBorder="1" applyAlignment="1">
      <alignment horizontal="left" vertical="center" wrapText="1"/>
    </xf>
    <xf numFmtId="168" fontId="16" fillId="34" borderId="63" xfId="30" applyNumberFormat="1" applyFont="1" applyFill="1" applyBorder="1"/>
    <xf numFmtId="168" fontId="10" fillId="29" borderId="90" xfId="0" applyNumberFormat="1" applyFont="1" applyFill="1" applyBorder="1" applyAlignment="1">
      <alignment horizontal="left" vertical="center" wrapText="1"/>
    </xf>
    <xf numFmtId="168" fontId="16" fillId="34" borderId="64" xfId="30" applyNumberFormat="1" applyFont="1" applyFill="1" applyBorder="1"/>
    <xf numFmtId="168" fontId="16" fillId="34" borderId="67" xfId="30" applyNumberFormat="1" applyFont="1" applyFill="1" applyBorder="1"/>
    <xf numFmtId="168" fontId="10" fillId="48" borderId="56" xfId="0" applyNumberFormat="1" applyFont="1" applyFill="1" applyBorder="1" applyAlignment="1">
      <alignment horizontal="left" vertical="center" wrapText="1"/>
    </xf>
    <xf numFmtId="168" fontId="7" fillId="29" borderId="56" xfId="30" applyNumberFormat="1" applyFont="1" applyFill="1" applyBorder="1"/>
    <xf numFmtId="0" fontId="7" fillId="22" borderId="51" xfId="0" applyFont="1" applyFill="1" applyBorder="1" applyAlignment="1" applyProtection="1">
      <alignment vertical="center" wrapText="1"/>
      <protection locked="0"/>
    </xf>
    <xf numFmtId="0" fontId="7" fillId="22" borderId="52" xfId="0" applyFont="1" applyFill="1" applyBorder="1" applyAlignment="1" applyProtection="1">
      <alignment vertical="center" wrapText="1"/>
      <protection locked="0"/>
    </xf>
    <xf numFmtId="0" fontId="49" fillId="0" borderId="0" xfId="0" applyFont="1" applyFill="1"/>
    <xf numFmtId="0" fontId="49" fillId="0" borderId="0" xfId="0" applyFont="1" applyFill="1" applyBorder="1"/>
    <xf numFmtId="0" fontId="49" fillId="0" borderId="0" xfId="0" applyFont="1"/>
    <xf numFmtId="0" fontId="49" fillId="0" borderId="0" xfId="0" applyFont="1" applyAlignment="1">
      <alignment horizontal="right"/>
    </xf>
    <xf numFmtId="168" fontId="49" fillId="38" borderId="0" xfId="30" applyNumberFormat="1" applyFont="1" applyFill="1" applyBorder="1" applyAlignment="1">
      <alignment horizontal="right"/>
    </xf>
    <xf numFmtId="168" fontId="17" fillId="0" borderId="0" xfId="30" applyNumberFormat="1" applyFont="1" applyFill="1" applyBorder="1" applyAlignment="1">
      <alignment horizontal="right"/>
    </xf>
    <xf numFmtId="0" fontId="7" fillId="0" borderId="0" xfId="0" applyFont="1" applyAlignment="1">
      <alignment horizontal="right"/>
    </xf>
    <xf numFmtId="0" fontId="7" fillId="0" borderId="0" xfId="0" applyFont="1" applyFill="1" applyBorder="1" applyAlignment="1">
      <alignment horizontal="right"/>
    </xf>
    <xf numFmtId="168" fontId="7" fillId="31" borderId="43" xfId="30" applyNumberFormat="1" applyFont="1" applyFill="1" applyBorder="1"/>
    <xf numFmtId="0" fontId="0" fillId="51" borderId="21" xfId="0" applyFill="1" applyBorder="1"/>
    <xf numFmtId="0" fontId="0" fillId="51" borderId="22" xfId="0" applyFill="1" applyBorder="1"/>
    <xf numFmtId="0" fontId="51" fillId="35" borderId="60" xfId="0" applyFont="1" applyFill="1" applyBorder="1" applyAlignment="1">
      <alignment horizontal="center" vertical="center"/>
    </xf>
    <xf numFmtId="0" fontId="69" fillId="35" borderId="60" xfId="0" applyFont="1" applyFill="1" applyBorder="1" applyAlignment="1">
      <alignment horizontal="center" vertical="center"/>
    </xf>
    <xf numFmtId="0" fontId="7" fillId="25" borderId="34" xfId="0" applyFont="1" applyFill="1" applyBorder="1" applyAlignment="1" applyProtection="1">
      <alignment vertical="center" wrapText="1"/>
      <protection locked="0"/>
    </xf>
    <xf numFmtId="0" fontId="67" fillId="36" borderId="60" xfId="0" applyFont="1" applyFill="1" applyBorder="1" applyAlignment="1">
      <alignment horizontal="center" vertical="center" wrapText="1"/>
    </xf>
    <xf numFmtId="0" fontId="67" fillId="41" borderId="60" xfId="0" applyFont="1" applyFill="1" applyBorder="1" applyAlignment="1">
      <alignment horizontal="center" vertical="center" wrapText="1"/>
    </xf>
    <xf numFmtId="168" fontId="7" fillId="18" borderId="44" xfId="30" applyNumberFormat="1" applyFont="1" applyFill="1" applyBorder="1"/>
    <xf numFmtId="168" fontId="7" fillId="18" borderId="82" xfId="30" applyNumberFormat="1" applyFont="1" applyFill="1" applyBorder="1"/>
    <xf numFmtId="168" fontId="7" fillId="18" borderId="61" xfId="30" applyNumberFormat="1" applyFont="1" applyFill="1" applyBorder="1"/>
    <xf numFmtId="168" fontId="7" fillId="18" borderId="64" xfId="30" applyNumberFormat="1" applyFont="1" applyFill="1" applyBorder="1"/>
    <xf numFmtId="168" fontId="7" fillId="18" borderId="55" xfId="30" applyNumberFormat="1" applyFont="1" applyFill="1" applyBorder="1"/>
    <xf numFmtId="168" fontId="7" fillId="18" borderId="62" xfId="30" applyNumberFormat="1" applyFont="1" applyFill="1" applyBorder="1"/>
    <xf numFmtId="168" fontId="49" fillId="29" borderId="43" xfId="30" applyNumberFormat="1" applyFont="1" applyFill="1" applyBorder="1" applyAlignment="1">
      <alignment horizontal="right"/>
    </xf>
    <xf numFmtId="168" fontId="7" fillId="18" borderId="43" xfId="30" applyNumberFormat="1" applyFont="1" applyFill="1" applyBorder="1"/>
    <xf numFmtId="168" fontId="49" fillId="30" borderId="43" xfId="30" applyNumberFormat="1" applyFont="1" applyFill="1" applyBorder="1" applyAlignment="1">
      <alignment horizontal="right"/>
    </xf>
    <xf numFmtId="168" fontId="49" fillId="18" borderId="43" xfId="30" applyNumberFormat="1" applyFont="1" applyFill="1" applyBorder="1" applyAlignment="1">
      <alignment horizontal="right"/>
    </xf>
    <xf numFmtId="168" fontId="49" fillId="30" borderId="104" xfId="30" applyNumberFormat="1" applyFont="1" applyFill="1" applyBorder="1" applyAlignment="1">
      <alignment horizontal="right"/>
    </xf>
    <xf numFmtId="168" fontId="49" fillId="25" borderId="117" xfId="30" applyNumberFormat="1" applyFont="1" applyFill="1" applyBorder="1" applyAlignment="1">
      <alignment horizontal="right"/>
    </xf>
    <xf numFmtId="168" fontId="7" fillId="29" borderId="82" xfId="30" applyNumberFormat="1" applyFont="1" applyFill="1" applyBorder="1" applyAlignment="1">
      <alignment horizontal="right"/>
    </xf>
    <xf numFmtId="168" fontId="49" fillId="30" borderId="107" xfId="30" applyNumberFormat="1" applyFont="1" applyFill="1" applyBorder="1" applyAlignment="1">
      <alignment horizontal="right"/>
    </xf>
    <xf numFmtId="0" fontId="15" fillId="31" borderId="23" xfId="0" applyFont="1" applyFill="1" applyBorder="1" applyAlignment="1">
      <alignment vertical="center"/>
    </xf>
    <xf numFmtId="168" fontId="7" fillId="31" borderId="63" xfId="30" applyNumberFormat="1" applyFont="1" applyFill="1" applyBorder="1"/>
    <xf numFmtId="168" fontId="49" fillId="38" borderId="19" xfId="30" applyNumberFormat="1" applyFont="1" applyFill="1" applyBorder="1" applyAlignment="1">
      <alignment horizontal="right"/>
    </xf>
    <xf numFmtId="168" fontId="49" fillId="25" borderId="119" xfId="30" applyNumberFormat="1" applyFont="1" applyFill="1" applyBorder="1" applyAlignment="1">
      <alignment horizontal="right"/>
    </xf>
    <xf numFmtId="168" fontId="7" fillId="25" borderId="46" xfId="0" applyNumberFormat="1" applyFont="1" applyFill="1" applyBorder="1"/>
    <xf numFmtId="168" fontId="49" fillId="30" borderId="110" xfId="30" applyNumberFormat="1" applyFont="1" applyFill="1" applyBorder="1" applyAlignment="1">
      <alignment horizontal="right"/>
    </xf>
    <xf numFmtId="0" fontId="49" fillId="33" borderId="121" xfId="0" applyFont="1" applyFill="1" applyBorder="1" applyAlignment="1">
      <alignment horizontal="left" vertical="center" wrapText="1" indent="4"/>
    </xf>
    <xf numFmtId="0" fontId="54" fillId="33" borderId="121" xfId="0" applyFont="1" applyFill="1" applyBorder="1" applyAlignment="1">
      <alignment horizontal="left" vertical="center" wrapText="1"/>
    </xf>
    <xf numFmtId="0" fontId="54" fillId="33" borderId="92" xfId="0" applyFont="1" applyFill="1" applyBorder="1" applyAlignment="1">
      <alignment horizontal="left"/>
    </xf>
    <xf numFmtId="168" fontId="49" fillId="30" borderId="106" xfId="30" applyNumberFormat="1" applyFont="1" applyFill="1" applyBorder="1" applyAlignment="1">
      <alignment horizontal="right"/>
    </xf>
    <xf numFmtId="168" fontId="7" fillId="25" borderId="63" xfId="0" applyNumberFormat="1" applyFont="1" applyFill="1" applyBorder="1"/>
    <xf numFmtId="168" fontId="7" fillId="29" borderId="90" xfId="30" applyNumberFormat="1" applyFont="1" applyFill="1" applyBorder="1"/>
    <xf numFmtId="168" fontId="7" fillId="29" borderId="82" xfId="30" applyNumberFormat="1" applyFont="1" applyFill="1" applyBorder="1"/>
    <xf numFmtId="168" fontId="49" fillId="25" borderId="124" xfId="30" applyNumberFormat="1" applyFont="1" applyFill="1" applyBorder="1" applyAlignment="1">
      <alignment horizontal="right"/>
    </xf>
    <xf numFmtId="168" fontId="49" fillId="18" borderId="103" xfId="30" applyNumberFormat="1" applyFont="1" applyFill="1" applyBorder="1" applyAlignment="1">
      <alignment horizontal="right"/>
    </xf>
    <xf numFmtId="168" fontId="49" fillId="30" borderId="103" xfId="30" applyNumberFormat="1" applyFont="1" applyFill="1" applyBorder="1" applyAlignment="1">
      <alignment horizontal="right"/>
    </xf>
    <xf numFmtId="168" fontId="49" fillId="29" borderId="109" xfId="30" applyNumberFormat="1" applyFont="1" applyFill="1" applyBorder="1" applyAlignment="1">
      <alignment horizontal="right"/>
    </xf>
    <xf numFmtId="0" fontId="67" fillId="36" borderId="67" xfId="0" applyFont="1" applyFill="1" applyBorder="1" applyAlignment="1">
      <alignment horizontal="center" vertical="center" wrapText="1"/>
    </xf>
    <xf numFmtId="168" fontId="49" fillId="30" borderId="105" xfId="30" applyNumberFormat="1" applyFont="1" applyFill="1" applyBorder="1" applyAlignment="1">
      <alignment horizontal="right"/>
    </xf>
    <xf numFmtId="168" fontId="49" fillId="18" borderId="109" xfId="30" applyNumberFormat="1" applyFont="1" applyFill="1" applyBorder="1" applyAlignment="1">
      <alignment horizontal="right"/>
    </xf>
    <xf numFmtId="168" fontId="49" fillId="30" borderId="109" xfId="30" applyNumberFormat="1" applyFont="1" applyFill="1" applyBorder="1" applyAlignment="1">
      <alignment horizontal="right"/>
    </xf>
    <xf numFmtId="168" fontId="7" fillId="29" borderId="62" xfId="30" applyNumberFormat="1" applyFont="1" applyFill="1" applyBorder="1"/>
    <xf numFmtId="168" fontId="49" fillId="29" borderId="106" xfId="30" applyNumberFormat="1" applyFont="1" applyFill="1" applyBorder="1" applyAlignment="1">
      <alignment horizontal="right"/>
    </xf>
    <xf numFmtId="0" fontId="0" fillId="0" borderId="73" xfId="0" applyBorder="1"/>
    <xf numFmtId="168" fontId="7" fillId="29" borderId="63" xfId="30" applyNumberFormat="1" applyFont="1" applyFill="1" applyBorder="1"/>
    <xf numFmtId="168" fontId="49" fillId="25" borderId="122" xfId="30" applyNumberFormat="1" applyFont="1" applyFill="1" applyBorder="1" applyAlignment="1">
      <alignment horizontal="right"/>
    </xf>
    <xf numFmtId="168" fontId="49" fillId="29" borderId="103" xfId="30" applyNumberFormat="1" applyFont="1" applyFill="1" applyBorder="1" applyAlignment="1">
      <alignment horizontal="right"/>
    </xf>
    <xf numFmtId="168" fontId="7" fillId="38" borderId="82" xfId="30" applyNumberFormat="1" applyFont="1" applyFill="1" applyBorder="1"/>
    <xf numFmtId="0" fontId="15" fillId="31" borderId="22" xfId="0" applyFont="1" applyFill="1" applyBorder="1" applyAlignment="1">
      <alignment vertical="center"/>
    </xf>
    <xf numFmtId="168" fontId="7" fillId="0" borderId="0" xfId="30" applyNumberFormat="1" applyFont="1" applyFill="1" applyBorder="1"/>
    <xf numFmtId="168" fontId="7" fillId="31" borderId="60" xfId="30" applyNumberFormat="1" applyFont="1" applyFill="1" applyBorder="1" applyAlignment="1">
      <alignment horizontal="right"/>
    </xf>
    <xf numFmtId="168" fontId="7" fillId="31" borderId="63" xfId="30" applyNumberFormat="1" applyFont="1" applyFill="1" applyBorder="1" applyAlignment="1">
      <alignment horizontal="right"/>
    </xf>
    <xf numFmtId="168" fontId="7" fillId="18" borderId="60" xfId="30" applyNumberFormat="1" applyFont="1" applyFill="1" applyBorder="1"/>
    <xf numFmtId="168" fontId="7" fillId="18" borderId="46" xfId="30" applyNumberFormat="1" applyFont="1" applyFill="1" applyBorder="1"/>
    <xf numFmtId="168" fontId="7" fillId="18" borderId="63" xfId="30" applyNumberFormat="1" applyFont="1" applyFill="1" applyBorder="1"/>
    <xf numFmtId="168" fontId="7" fillId="18" borderId="60" xfId="30" applyNumberFormat="1" applyFont="1" applyFill="1" applyBorder="1" applyAlignment="1">
      <alignment horizontal="right"/>
    </xf>
    <xf numFmtId="168" fontId="7" fillId="38" borderId="46" xfId="30" applyNumberFormat="1" applyFont="1" applyFill="1" applyBorder="1"/>
    <xf numFmtId="168" fontId="7" fillId="38" borderId="60" xfId="30" applyNumberFormat="1" applyFont="1" applyFill="1" applyBorder="1"/>
    <xf numFmtId="168" fontId="7" fillId="38" borderId="63" xfId="30" applyNumberFormat="1" applyFont="1" applyFill="1" applyBorder="1"/>
    <xf numFmtId="168" fontId="7" fillId="29" borderId="60" xfId="30" applyNumberFormat="1" applyFont="1" applyFill="1" applyBorder="1" applyAlignment="1">
      <alignment horizontal="right"/>
    </xf>
    <xf numFmtId="168" fontId="7" fillId="38" borderId="60" xfId="30" applyNumberFormat="1" applyFont="1" applyFill="1" applyBorder="1" applyAlignment="1">
      <alignment horizontal="right"/>
    </xf>
    <xf numFmtId="168" fontId="7" fillId="25" borderId="60" xfId="30" applyNumberFormat="1" applyFont="1" applyFill="1" applyBorder="1"/>
    <xf numFmtId="168" fontId="7" fillId="38" borderId="0" xfId="30" applyNumberFormat="1" applyFont="1" applyFill="1" applyBorder="1"/>
    <xf numFmtId="168" fontId="7" fillId="38" borderId="97" xfId="30" applyNumberFormat="1" applyFont="1" applyFill="1" applyBorder="1"/>
    <xf numFmtId="168" fontId="7" fillId="38" borderId="19" xfId="30" applyNumberFormat="1" applyFont="1" applyFill="1" applyBorder="1"/>
    <xf numFmtId="168" fontId="7" fillId="38" borderId="70" xfId="30" applyNumberFormat="1" applyFont="1" applyFill="1" applyBorder="1"/>
    <xf numFmtId="168" fontId="7" fillId="25" borderId="46" xfId="30" applyNumberFormat="1" applyFont="1" applyFill="1" applyBorder="1"/>
    <xf numFmtId="0" fontId="0" fillId="0" borderId="0" xfId="0"/>
    <xf numFmtId="0" fontId="7" fillId="0" borderId="0" xfId="0" applyFont="1"/>
    <xf numFmtId="0" fontId="7" fillId="18" borderId="60" xfId="30" applyNumberFormat="1" applyFont="1" applyFill="1" applyBorder="1"/>
    <xf numFmtId="168" fontId="7" fillId="25" borderId="60" xfId="0" applyNumberFormat="1" applyFont="1" applyFill="1" applyBorder="1"/>
    <xf numFmtId="0" fontId="7" fillId="25" borderId="60" xfId="0" applyNumberFormat="1" applyFont="1" applyFill="1" applyBorder="1"/>
    <xf numFmtId="168" fontId="7" fillId="31" borderId="46" xfId="30" applyNumberFormat="1" applyFont="1" applyFill="1" applyBorder="1"/>
    <xf numFmtId="168" fontId="7" fillId="31" borderId="60" xfId="30" applyNumberFormat="1" applyFont="1" applyFill="1" applyBorder="1"/>
    <xf numFmtId="168" fontId="7" fillId="25" borderId="63" xfId="30" applyNumberFormat="1" applyFont="1" applyFill="1" applyBorder="1"/>
    <xf numFmtId="0" fontId="7" fillId="22" borderId="46" xfId="0" applyFont="1" applyFill="1" applyBorder="1" applyAlignment="1" applyProtection="1">
      <alignment vertical="center" wrapText="1"/>
      <protection locked="0"/>
    </xf>
    <xf numFmtId="0" fontId="10" fillId="33" borderId="0" xfId="0" applyFont="1" applyFill="1" applyBorder="1"/>
    <xf numFmtId="0" fontId="7" fillId="33" borderId="0" xfId="0" applyFont="1" applyFill="1" applyBorder="1"/>
    <xf numFmtId="0" fontId="7" fillId="33" borderId="0" xfId="0" applyFont="1" applyFill="1" applyBorder="1" applyAlignment="1">
      <alignment vertical="top" wrapText="1"/>
    </xf>
    <xf numFmtId="0" fontId="10" fillId="33" borderId="0" xfId="0" applyFont="1" applyFill="1"/>
    <xf numFmtId="0" fontId="7" fillId="33" borderId="0" xfId="0" applyFont="1" applyFill="1" applyAlignment="1">
      <alignment wrapText="1"/>
    </xf>
    <xf numFmtId="0" fontId="10" fillId="33" borderId="0" xfId="0" applyFont="1" applyFill="1" applyBorder="1" applyAlignment="1">
      <alignment wrapText="1"/>
    </xf>
    <xf numFmtId="0" fontId="7" fillId="33" borderId="0" xfId="0" applyFont="1" applyFill="1" applyBorder="1" applyAlignment="1">
      <alignment wrapText="1"/>
    </xf>
    <xf numFmtId="0" fontId="19" fillId="33" borderId="0" xfId="0" applyNumberFormat="1" applyFont="1" applyFill="1"/>
    <xf numFmtId="0" fontId="17" fillId="33" borderId="0" xfId="0" applyFont="1" applyFill="1"/>
    <xf numFmtId="0" fontId="19" fillId="19" borderId="0" xfId="0" applyFont="1" applyFill="1" applyBorder="1" applyAlignment="1" applyProtection="1">
      <alignment vertical="center"/>
      <protection locked="0"/>
    </xf>
    <xf numFmtId="168" fontId="7" fillId="18" borderId="56" xfId="30" applyNumberFormat="1" applyFont="1" applyFill="1" applyBorder="1"/>
    <xf numFmtId="0" fontId="10" fillId="33" borderId="46" xfId="0" applyFont="1" applyFill="1" applyBorder="1"/>
    <xf numFmtId="168" fontId="10" fillId="38" borderId="60" xfId="0" applyNumberFormat="1" applyFont="1" applyFill="1" applyBorder="1" applyAlignment="1">
      <alignment horizontal="left" vertical="center" wrapText="1"/>
    </xf>
    <xf numFmtId="168" fontId="10" fillId="38" borderId="61" xfId="0" applyNumberFormat="1" applyFont="1" applyFill="1" applyBorder="1" applyAlignment="1">
      <alignment horizontal="left" vertical="center" wrapText="1"/>
    </xf>
    <xf numFmtId="168" fontId="10" fillId="38" borderId="63" xfId="0" applyNumberFormat="1" applyFont="1" applyFill="1" applyBorder="1" applyAlignment="1">
      <alignment horizontal="left" vertical="center" wrapText="1"/>
    </xf>
    <xf numFmtId="0" fontId="0" fillId="25" borderId="73" xfId="0" applyFill="1" applyBorder="1"/>
    <xf numFmtId="0" fontId="0" fillId="25" borderId="91" xfId="0" applyFill="1" applyBorder="1"/>
    <xf numFmtId="168" fontId="10" fillId="38" borderId="86" xfId="0" applyNumberFormat="1" applyFont="1" applyFill="1" applyBorder="1" applyAlignment="1">
      <alignment horizontal="left" vertical="center" wrapText="1"/>
    </xf>
    <xf numFmtId="168" fontId="7" fillId="29" borderId="66" xfId="30" applyNumberFormat="1" applyFont="1" applyFill="1" applyBorder="1"/>
    <xf numFmtId="168" fontId="7" fillId="29" borderId="67" xfId="30" applyNumberFormat="1" applyFont="1" applyFill="1" applyBorder="1"/>
    <xf numFmtId="0" fontId="7" fillId="25" borderId="62" xfId="0" applyNumberFormat="1" applyFont="1" applyFill="1" applyBorder="1"/>
    <xf numFmtId="168" fontId="7" fillId="18" borderId="90" xfId="30" applyNumberFormat="1" applyFont="1" applyFill="1" applyBorder="1"/>
    <xf numFmtId="168" fontId="7" fillId="18" borderId="59" xfId="30" applyNumberFormat="1" applyFont="1" applyFill="1" applyBorder="1"/>
    <xf numFmtId="0" fontId="7" fillId="38" borderId="20" xfId="0" applyFont="1" applyFill="1" applyBorder="1" applyAlignment="1">
      <alignment horizontal="center" vertical="center" wrapText="1"/>
    </xf>
    <xf numFmtId="0" fontId="7" fillId="33" borderId="0" xfId="0" applyFont="1" applyFill="1" applyBorder="1" applyAlignment="1">
      <alignment vertical="top"/>
    </xf>
    <xf numFmtId="168" fontId="7" fillId="38" borderId="64" xfId="30" applyNumberFormat="1" applyFont="1" applyFill="1" applyBorder="1"/>
    <xf numFmtId="168" fontId="7" fillId="38" borderId="67" xfId="30" applyNumberFormat="1" applyFont="1" applyFill="1" applyBorder="1"/>
    <xf numFmtId="168" fontId="7" fillId="38" borderId="46" xfId="0" applyNumberFormat="1" applyFont="1" applyFill="1" applyBorder="1"/>
    <xf numFmtId="168" fontId="7" fillId="38" borderId="60" xfId="0" applyNumberFormat="1" applyFont="1" applyFill="1" applyBorder="1"/>
    <xf numFmtId="168" fontId="7" fillId="38" borderId="62" xfId="30" applyNumberFormat="1" applyFont="1" applyFill="1" applyBorder="1"/>
    <xf numFmtId="168" fontId="7" fillId="38" borderId="66" xfId="30" applyNumberFormat="1" applyFont="1" applyFill="1" applyBorder="1"/>
    <xf numFmtId="1" fontId="0" fillId="0" borderId="0" xfId="0" applyNumberFormat="1"/>
    <xf numFmtId="0" fontId="0" fillId="0" borderId="0" xfId="0" applyFill="1" applyBorder="1"/>
    <xf numFmtId="0" fontId="7" fillId="33" borderId="76" xfId="0" applyFont="1" applyFill="1" applyBorder="1" applyAlignment="1">
      <alignment horizontal="left" vertical="center" wrapText="1" indent="4"/>
    </xf>
    <xf numFmtId="0" fontId="10" fillId="33" borderId="76" xfId="0" applyFont="1" applyFill="1" applyBorder="1" applyAlignment="1">
      <alignment horizontal="left" vertical="center" wrapText="1"/>
    </xf>
    <xf numFmtId="0" fontId="7" fillId="18" borderId="63" xfId="30" applyNumberFormat="1" applyFont="1" applyFill="1" applyBorder="1"/>
    <xf numFmtId="0" fontId="7" fillId="25" borderId="63" xfId="0" applyNumberFormat="1" applyFont="1" applyFill="1" applyBorder="1"/>
    <xf numFmtId="0" fontId="0" fillId="33" borderId="23" xfId="0" applyFill="1" applyBorder="1"/>
    <xf numFmtId="0" fontId="0" fillId="33" borderId="24" xfId="0" applyFill="1" applyBorder="1"/>
    <xf numFmtId="0" fontId="0" fillId="33" borderId="25" xfId="0" applyFill="1" applyBorder="1"/>
    <xf numFmtId="0" fontId="0" fillId="33" borderId="129" xfId="0" applyFill="1" applyBorder="1"/>
    <xf numFmtId="0" fontId="0" fillId="33" borderId="73" xfId="0" applyFill="1" applyBorder="1"/>
    <xf numFmtId="0" fontId="0" fillId="33" borderId="91" xfId="0" applyFill="1" applyBorder="1"/>
    <xf numFmtId="168" fontId="7" fillId="38" borderId="90" xfId="30" applyNumberFormat="1" applyFont="1" applyFill="1" applyBorder="1"/>
    <xf numFmtId="168" fontId="7" fillId="38" borderId="21" xfId="30" applyNumberFormat="1" applyFont="1" applyFill="1" applyBorder="1"/>
    <xf numFmtId="168" fontId="7" fillId="38" borderId="22" xfId="30" applyNumberFormat="1" applyFont="1" applyFill="1" applyBorder="1"/>
    <xf numFmtId="168" fontId="7" fillId="38" borderId="23" xfId="30" applyNumberFormat="1" applyFont="1" applyFill="1" applyBorder="1"/>
    <xf numFmtId="168" fontId="7" fillId="38" borderId="24" xfId="30" applyNumberFormat="1" applyFont="1" applyFill="1" applyBorder="1"/>
    <xf numFmtId="168" fontId="7" fillId="38" borderId="125" xfId="30" applyNumberFormat="1" applyFont="1" applyFill="1" applyBorder="1"/>
    <xf numFmtId="0" fontId="7" fillId="33" borderId="76" xfId="0" applyFont="1" applyFill="1" applyBorder="1" applyAlignment="1">
      <alignment horizontal="left" vertical="center" wrapText="1"/>
    </xf>
    <xf numFmtId="168" fontId="10" fillId="38" borderId="46" xfId="0" applyNumberFormat="1" applyFont="1" applyFill="1" applyBorder="1" applyAlignment="1">
      <alignment horizontal="left" vertical="center" wrapText="1"/>
    </xf>
    <xf numFmtId="168" fontId="10" fillId="38" borderId="62" xfId="0" applyNumberFormat="1" applyFont="1" applyFill="1" applyBorder="1" applyAlignment="1">
      <alignment horizontal="left" vertical="center" wrapText="1"/>
    </xf>
    <xf numFmtId="168" fontId="10" fillId="38" borderId="44" xfId="0" applyNumberFormat="1" applyFont="1" applyFill="1" applyBorder="1" applyAlignment="1">
      <alignment horizontal="left" vertical="center" wrapText="1"/>
    </xf>
    <xf numFmtId="168" fontId="10" fillId="38" borderId="82" xfId="0" applyNumberFormat="1" applyFont="1" applyFill="1" applyBorder="1" applyAlignment="1">
      <alignment horizontal="left" vertical="center" wrapText="1"/>
    </xf>
    <xf numFmtId="168" fontId="10" fillId="38" borderId="90" xfId="0" applyNumberFormat="1" applyFont="1" applyFill="1" applyBorder="1" applyAlignment="1">
      <alignment horizontal="left" vertical="center" wrapText="1"/>
    </xf>
    <xf numFmtId="168" fontId="7" fillId="31" borderId="49" xfId="30" applyNumberFormat="1" applyFont="1" applyFill="1" applyBorder="1"/>
    <xf numFmtId="168" fontId="7" fillId="31" borderId="74" xfId="30" applyNumberFormat="1" applyFont="1" applyFill="1" applyBorder="1"/>
    <xf numFmtId="168" fontId="7" fillId="31" borderId="75" xfId="30" applyNumberFormat="1" applyFont="1" applyFill="1" applyBorder="1"/>
    <xf numFmtId="168" fontId="52" fillId="25" borderId="72" xfId="30" applyNumberFormat="1" applyFont="1" applyFill="1" applyBorder="1" applyAlignment="1"/>
    <xf numFmtId="0" fontId="67" fillId="41" borderId="67" xfId="0" applyFont="1" applyFill="1" applyBorder="1" applyAlignment="1">
      <alignment horizontal="center" vertical="center" wrapText="1"/>
    </xf>
    <xf numFmtId="0" fontId="7" fillId="33" borderId="0" xfId="0" applyFont="1" applyFill="1" applyAlignment="1"/>
    <xf numFmtId="0" fontId="7" fillId="0" borderId="0" xfId="0" applyFont="1" applyFill="1" applyBorder="1" applyAlignment="1" applyProtection="1">
      <alignment wrapText="1"/>
      <protection locked="0"/>
    </xf>
    <xf numFmtId="0" fontId="7" fillId="0" borderId="0" xfId="0" applyFont="1" applyFill="1" applyBorder="1" applyAlignment="1"/>
    <xf numFmtId="0" fontId="7" fillId="22" borderId="79" xfId="0" applyFont="1" applyFill="1" applyBorder="1" applyAlignment="1" applyProtection="1">
      <alignment vertical="center" wrapText="1"/>
      <protection locked="0"/>
    </xf>
    <xf numFmtId="168" fontId="7" fillId="38" borderId="63" xfId="0" applyNumberFormat="1" applyFont="1" applyFill="1" applyBorder="1"/>
    <xf numFmtId="168" fontId="10" fillId="38" borderId="71" xfId="0" applyNumberFormat="1" applyFont="1" applyFill="1" applyBorder="1" applyAlignment="1">
      <alignment horizontal="left" vertical="center" wrapText="1"/>
    </xf>
    <xf numFmtId="168" fontId="10" fillId="38" borderId="85" xfId="0" applyNumberFormat="1" applyFont="1" applyFill="1" applyBorder="1" applyAlignment="1">
      <alignment horizontal="left" vertical="center" wrapText="1"/>
    </xf>
    <xf numFmtId="0" fontId="7" fillId="33" borderId="0" xfId="0" applyFont="1" applyFill="1" applyAlignment="1">
      <alignment horizontal="left"/>
    </xf>
    <xf numFmtId="168" fontId="7" fillId="33" borderId="0" xfId="30" applyNumberFormat="1" applyFont="1" applyFill="1" applyBorder="1"/>
    <xf numFmtId="0" fontId="67" fillId="36" borderId="80" xfId="0" applyFont="1" applyFill="1" applyBorder="1" applyAlignment="1">
      <alignment horizontal="center" vertical="center" wrapText="1"/>
    </xf>
    <xf numFmtId="168" fontId="7" fillId="38" borderId="65" xfId="30" applyNumberFormat="1" applyFont="1" applyFill="1" applyBorder="1"/>
    <xf numFmtId="43" fontId="10" fillId="29" borderId="60" xfId="0" applyNumberFormat="1" applyFont="1" applyFill="1" applyBorder="1"/>
    <xf numFmtId="43" fontId="10" fillId="29" borderId="64" xfId="0" applyNumberFormat="1" applyFont="1" applyFill="1" applyBorder="1"/>
    <xf numFmtId="43" fontId="10" fillId="29" borderId="67" xfId="0" applyNumberFormat="1" applyFont="1" applyFill="1" applyBorder="1"/>
    <xf numFmtId="43" fontId="10" fillId="29" borderId="46" xfId="0" applyNumberFormat="1" applyFont="1" applyFill="1" applyBorder="1"/>
    <xf numFmtId="43" fontId="10" fillId="29" borderId="63" xfId="0" applyNumberFormat="1" applyFont="1" applyFill="1" applyBorder="1"/>
    <xf numFmtId="43" fontId="10" fillId="29" borderId="60" xfId="0" applyNumberFormat="1" applyFont="1" applyFill="1" applyBorder="1" applyAlignment="1">
      <alignment horizontal="right"/>
    </xf>
    <xf numFmtId="43" fontId="10" fillId="29" borderId="64" xfId="0" applyNumberFormat="1" applyFont="1" applyFill="1" applyBorder="1" applyAlignment="1">
      <alignment horizontal="right"/>
    </xf>
    <xf numFmtId="0" fontId="7" fillId="25" borderId="46" xfId="0" applyNumberFormat="1" applyFont="1" applyFill="1" applyBorder="1"/>
    <xf numFmtId="0" fontId="7" fillId="33" borderId="70" xfId="0" applyFont="1" applyFill="1" applyBorder="1" applyAlignment="1">
      <alignment horizontal="left" vertical="center" wrapText="1" indent="4"/>
    </xf>
    <xf numFmtId="168" fontId="10" fillId="29" borderId="64" xfId="0" applyNumberFormat="1" applyFont="1" applyFill="1" applyBorder="1"/>
    <xf numFmtId="168" fontId="10" fillId="29" borderId="67" xfId="0" applyNumberFormat="1" applyFont="1" applyFill="1" applyBorder="1"/>
    <xf numFmtId="168" fontId="7" fillId="18" borderId="67" xfId="30" applyNumberFormat="1" applyFont="1" applyFill="1" applyBorder="1"/>
    <xf numFmtId="0" fontId="0" fillId="33" borderId="0" xfId="0" applyFill="1" applyBorder="1"/>
    <xf numFmtId="0" fontId="7" fillId="22" borderId="53" xfId="0" applyFont="1" applyFill="1" applyBorder="1" applyAlignment="1" applyProtection="1">
      <alignment vertical="center" wrapText="1"/>
      <protection locked="0"/>
    </xf>
    <xf numFmtId="167" fontId="7" fillId="32" borderId="60" xfId="0" applyNumberFormat="1" applyFont="1" applyFill="1" applyBorder="1"/>
    <xf numFmtId="0" fontId="7" fillId="21" borderId="60" xfId="0" applyFont="1" applyFill="1" applyBorder="1"/>
    <xf numFmtId="10" fontId="10" fillId="32" borderId="61" xfId="44" applyNumberFormat="1" applyFont="1" applyFill="1" applyBorder="1"/>
    <xf numFmtId="0" fontId="7" fillId="32" borderId="60" xfId="0" applyFont="1" applyFill="1" applyBorder="1"/>
    <xf numFmtId="167" fontId="7" fillId="21" borderId="60" xfId="0" applyNumberFormat="1" applyFont="1" applyFill="1" applyBorder="1"/>
    <xf numFmtId="10" fontId="10" fillId="21" borderId="61" xfId="44" applyNumberFormat="1" applyFont="1" applyFill="1" applyBorder="1"/>
    <xf numFmtId="10" fontId="10" fillId="25" borderId="61" xfId="44" applyNumberFormat="1" applyFont="1" applyFill="1" applyBorder="1"/>
    <xf numFmtId="0" fontId="7" fillId="21" borderId="64" xfId="0" applyFont="1" applyFill="1" applyBorder="1"/>
    <xf numFmtId="10" fontId="10" fillId="25" borderId="65" xfId="44" applyNumberFormat="1" applyFont="1" applyFill="1" applyBorder="1"/>
    <xf numFmtId="0" fontId="7" fillId="31" borderId="82" xfId="0" applyFont="1" applyFill="1" applyBorder="1"/>
    <xf numFmtId="0" fontId="7" fillId="31" borderId="71" xfId="0" applyFont="1" applyFill="1" applyBorder="1"/>
    <xf numFmtId="0" fontId="7" fillId="31" borderId="46" xfId="0" applyFont="1" applyFill="1" applyBorder="1"/>
    <xf numFmtId="0" fontId="7" fillId="31" borderId="60" xfId="0" applyFont="1" applyFill="1" applyBorder="1"/>
    <xf numFmtId="0" fontId="7" fillId="31" borderId="61" xfId="0" applyFont="1" applyFill="1" applyBorder="1"/>
    <xf numFmtId="0" fontId="10" fillId="31" borderId="46" xfId="0" applyFont="1" applyFill="1" applyBorder="1" applyAlignment="1">
      <alignment horizontal="right"/>
    </xf>
    <xf numFmtId="0" fontId="10" fillId="31" borderId="60" xfId="0" applyFont="1" applyFill="1" applyBorder="1" applyAlignment="1">
      <alignment horizontal="right"/>
    </xf>
    <xf numFmtId="0" fontId="7" fillId="31" borderId="60" xfId="0" applyFont="1" applyFill="1" applyBorder="1" applyAlignment="1">
      <alignment wrapText="1"/>
    </xf>
    <xf numFmtId="0" fontId="10" fillId="31" borderId="61" xfId="0" applyFont="1" applyFill="1" applyBorder="1" applyAlignment="1">
      <alignment horizontal="left"/>
    </xf>
    <xf numFmtId="17" fontId="7" fillId="31" borderId="60" xfId="0" applyNumberFormat="1" applyFont="1" applyFill="1" applyBorder="1"/>
    <xf numFmtId="17" fontId="7" fillId="31" borderId="64" xfId="0" applyNumberFormat="1" applyFont="1" applyFill="1" applyBorder="1"/>
    <xf numFmtId="17" fontId="7" fillId="29" borderId="19" xfId="0" applyNumberFormat="1" applyFont="1" applyFill="1" applyBorder="1"/>
    <xf numFmtId="0" fontId="10" fillId="29" borderId="19" xfId="0" applyFont="1" applyFill="1" applyBorder="1"/>
    <xf numFmtId="0" fontId="7" fillId="29" borderId="19" xfId="0" applyFont="1" applyFill="1" applyBorder="1"/>
    <xf numFmtId="0" fontId="71" fillId="29" borderId="19" xfId="0" applyFont="1" applyFill="1" applyBorder="1"/>
    <xf numFmtId="0" fontId="7" fillId="29" borderId="25" xfId="0" applyFont="1" applyFill="1" applyBorder="1"/>
    <xf numFmtId="0" fontId="7" fillId="29" borderId="13" xfId="0" applyFont="1" applyFill="1" applyBorder="1"/>
    <xf numFmtId="10" fontId="7" fillId="32" borderId="60" xfId="44" applyNumberFormat="1" applyFont="1" applyFill="1" applyBorder="1"/>
    <xf numFmtId="10" fontId="7" fillId="21" borderId="60" xfId="44" applyNumberFormat="1" applyFont="1" applyFill="1" applyBorder="1"/>
    <xf numFmtId="10" fontId="7" fillId="21" borderId="61" xfId="44" applyNumberFormat="1" applyFont="1" applyFill="1" applyBorder="1"/>
    <xf numFmtId="178" fontId="0" fillId="21" borderId="60" xfId="0" applyNumberFormat="1" applyFill="1" applyBorder="1"/>
    <xf numFmtId="178" fontId="0" fillId="21" borderId="61" xfId="0" applyNumberFormat="1" applyFill="1" applyBorder="1"/>
    <xf numFmtId="169" fontId="7" fillId="21" borderId="60" xfId="0" applyNumberFormat="1" applyFont="1" applyFill="1" applyBorder="1"/>
    <xf numFmtId="169" fontId="7" fillId="21" borderId="60" xfId="44" applyNumberFormat="1" applyFont="1" applyFill="1" applyBorder="1"/>
    <xf numFmtId="169" fontId="7" fillId="21" borderId="61" xfId="0" applyNumberFormat="1" applyFont="1" applyFill="1" applyBorder="1"/>
    <xf numFmtId="166" fontId="7" fillId="21" borderId="64" xfId="0" applyNumberFormat="1" applyFont="1" applyFill="1" applyBorder="1"/>
    <xf numFmtId="166" fontId="7" fillId="21" borderId="65" xfId="0" applyNumberFormat="1" applyFont="1" applyFill="1" applyBorder="1"/>
    <xf numFmtId="10" fontId="7" fillId="32" borderId="62" xfId="44" applyNumberFormat="1" applyFont="1" applyFill="1" applyBorder="1"/>
    <xf numFmtId="178" fontId="0" fillId="21" borderId="62" xfId="0" applyNumberFormat="1" applyFill="1" applyBorder="1"/>
    <xf numFmtId="169" fontId="7" fillId="21" borderId="62" xfId="0" applyNumberFormat="1" applyFont="1" applyFill="1" applyBorder="1"/>
    <xf numFmtId="166" fontId="7" fillId="21" borderId="66" xfId="0" applyNumberFormat="1" applyFont="1" applyFill="1" applyBorder="1"/>
    <xf numFmtId="17" fontId="7" fillId="29" borderId="13" xfId="0" applyNumberFormat="1" applyFont="1" applyFill="1" applyBorder="1"/>
    <xf numFmtId="0" fontId="10" fillId="29" borderId="13" xfId="0" applyFont="1" applyFill="1" applyBorder="1"/>
    <xf numFmtId="0" fontId="71" fillId="29" borderId="13" xfId="0" applyFont="1" applyFill="1" applyBorder="1"/>
    <xf numFmtId="0" fontId="7" fillId="29" borderId="132" xfId="0" applyFont="1" applyFill="1" applyBorder="1"/>
    <xf numFmtId="0" fontId="7" fillId="29" borderId="135" xfId="0" applyFont="1" applyFill="1" applyBorder="1"/>
    <xf numFmtId="0" fontId="7" fillId="29" borderId="134" xfId="0" applyFont="1" applyFill="1" applyBorder="1"/>
    <xf numFmtId="0" fontId="7" fillId="29" borderId="136" xfId="0" applyFont="1" applyFill="1" applyBorder="1"/>
    <xf numFmtId="172" fontId="7" fillId="29" borderId="137" xfId="0" applyNumberFormat="1" applyFont="1" applyFill="1" applyBorder="1"/>
    <xf numFmtId="172" fontId="7" fillId="29" borderId="97" xfId="0" applyNumberFormat="1" applyFont="1" applyFill="1" applyBorder="1"/>
    <xf numFmtId="172" fontId="7" fillId="29" borderId="138" xfId="0" applyNumberFormat="1" applyFont="1" applyFill="1" applyBorder="1"/>
    <xf numFmtId="0" fontId="10" fillId="31" borderId="58" xfId="0" applyFont="1" applyFill="1" applyBorder="1" applyAlignment="1">
      <alignment horizontal="right"/>
    </xf>
    <xf numFmtId="0" fontId="10" fillId="31" borderId="56" xfId="0" applyFont="1" applyFill="1" applyBorder="1" applyAlignment="1">
      <alignment horizontal="right"/>
    </xf>
    <xf numFmtId="0" fontId="10" fillId="31" borderId="57" xfId="0" applyFont="1" applyFill="1" applyBorder="1" applyAlignment="1">
      <alignment horizontal="right"/>
    </xf>
    <xf numFmtId="17" fontId="7" fillId="31" borderId="46" xfId="0" applyNumberFormat="1" applyFont="1" applyFill="1" applyBorder="1" applyAlignment="1">
      <alignment horizontal="right"/>
    </xf>
    <xf numFmtId="17" fontId="7" fillId="31" borderId="48" xfId="0" applyNumberFormat="1" applyFont="1" applyFill="1" applyBorder="1" applyAlignment="1">
      <alignment horizontal="right"/>
    </xf>
    <xf numFmtId="0" fontId="67" fillId="36" borderId="62" xfId="0" applyFont="1" applyFill="1" applyBorder="1" applyAlignment="1">
      <alignment horizontal="center" vertical="center" wrapText="1"/>
    </xf>
    <xf numFmtId="168" fontId="7" fillId="18" borderId="86" xfId="30" applyNumberFormat="1" applyFont="1" applyFill="1" applyBorder="1"/>
    <xf numFmtId="168" fontId="7" fillId="29" borderId="86" xfId="30" applyNumberFormat="1" applyFont="1" applyFill="1" applyBorder="1"/>
    <xf numFmtId="168" fontId="7" fillId="25" borderId="86" xfId="30" applyNumberFormat="1" applyFont="1" applyFill="1" applyBorder="1"/>
    <xf numFmtId="168" fontId="7" fillId="29" borderId="88" xfId="30" applyNumberFormat="1" applyFont="1" applyFill="1" applyBorder="1"/>
    <xf numFmtId="168" fontId="10" fillId="31" borderId="60" xfId="0" applyNumberFormat="1" applyFont="1" applyFill="1" applyBorder="1" applyAlignment="1">
      <alignment horizontal="left" vertical="center"/>
    </xf>
    <xf numFmtId="168" fontId="10" fillId="31" borderId="86" xfId="0" applyNumberFormat="1" applyFont="1" applyFill="1" applyBorder="1" applyAlignment="1">
      <alignment horizontal="left" vertical="center"/>
    </xf>
    <xf numFmtId="168" fontId="10" fillId="29" borderId="60" xfId="30" applyNumberFormat="1" applyFont="1" applyFill="1" applyBorder="1" applyAlignment="1"/>
    <xf numFmtId="168" fontId="10" fillId="29" borderId="86" xfId="30" applyNumberFormat="1" applyFont="1" applyFill="1" applyBorder="1" applyAlignment="1"/>
    <xf numFmtId="168" fontId="10" fillId="29" borderId="79" xfId="30" applyNumberFormat="1" applyFont="1" applyFill="1" applyBorder="1" applyAlignment="1"/>
    <xf numFmtId="168" fontId="10" fillId="29" borderId="87" xfId="30" applyNumberFormat="1" applyFont="1" applyFill="1" applyBorder="1" applyAlignment="1"/>
    <xf numFmtId="168" fontId="10" fillId="29" borderId="62" xfId="30" applyNumberFormat="1" applyFont="1" applyFill="1" applyBorder="1" applyAlignment="1"/>
    <xf numFmtId="168" fontId="10" fillId="29" borderId="81" xfId="30" applyNumberFormat="1" applyFont="1" applyFill="1" applyBorder="1" applyAlignment="1"/>
    <xf numFmtId="0" fontId="7" fillId="33" borderId="0" xfId="0" applyFont="1" applyFill="1" applyBorder="1" applyAlignment="1">
      <alignment horizontal="center" vertical="center" wrapText="1"/>
    </xf>
    <xf numFmtId="0" fontId="17" fillId="33" borderId="0" xfId="0" applyFont="1" applyFill="1" applyBorder="1" applyAlignment="1">
      <alignment horizontal="center" vertical="center" wrapText="1"/>
    </xf>
    <xf numFmtId="0" fontId="7" fillId="33" borderId="0" xfId="0" applyFont="1" applyFill="1" applyBorder="1" applyAlignment="1" applyProtection="1">
      <alignment vertical="center" wrapText="1"/>
      <protection locked="0"/>
    </xf>
    <xf numFmtId="43" fontId="17" fillId="33" borderId="0" xfId="0" applyNumberFormat="1" applyFont="1" applyFill="1" applyBorder="1"/>
    <xf numFmtId="168" fontId="17" fillId="33" borderId="0" xfId="30" applyNumberFormat="1" applyFont="1" applyFill="1" applyBorder="1"/>
    <xf numFmtId="0" fontId="7" fillId="33" borderId="0" xfId="0" applyFont="1" applyFill="1" applyBorder="1" applyAlignment="1" applyProtection="1">
      <alignment horizontal="center" vertical="center" wrapText="1"/>
      <protection locked="0"/>
    </xf>
    <xf numFmtId="0" fontId="10" fillId="33" borderId="0" xfId="0" applyFont="1" applyFill="1" applyBorder="1" applyAlignment="1" applyProtection="1">
      <alignment horizontal="left" vertical="center" wrapText="1"/>
      <protection locked="0"/>
    </xf>
    <xf numFmtId="0" fontId="51" fillId="33" borderId="0" xfId="0" applyFont="1" applyFill="1" applyBorder="1" applyAlignment="1" applyProtection="1">
      <alignment horizontal="left" vertical="center" wrapText="1"/>
      <protection locked="0"/>
    </xf>
    <xf numFmtId="168" fontId="10" fillId="38" borderId="55" xfId="0" applyNumberFormat="1" applyFont="1" applyFill="1" applyBorder="1" applyAlignment="1">
      <alignment horizontal="left" vertical="center"/>
    </xf>
    <xf numFmtId="168" fontId="10" fillId="38" borderId="56" xfId="0" applyNumberFormat="1" applyFont="1" applyFill="1" applyBorder="1" applyAlignment="1">
      <alignment horizontal="left" vertical="center"/>
    </xf>
    <xf numFmtId="168" fontId="10" fillId="38" borderId="133" xfId="0" applyNumberFormat="1" applyFont="1" applyFill="1" applyBorder="1" applyAlignment="1">
      <alignment horizontal="left" vertical="center"/>
    </xf>
    <xf numFmtId="168" fontId="10" fillId="29" borderId="46" xfId="30" applyNumberFormat="1" applyFont="1" applyFill="1" applyBorder="1" applyAlignment="1"/>
    <xf numFmtId="168" fontId="10" fillId="29" borderId="63" xfId="30" applyNumberFormat="1" applyFont="1" applyFill="1" applyBorder="1" applyAlignment="1"/>
    <xf numFmtId="168" fontId="10" fillId="29" borderId="64" xfId="30" applyNumberFormat="1" applyFont="1" applyFill="1" applyBorder="1" applyAlignment="1"/>
    <xf numFmtId="168" fontId="10" fillId="29" borderId="88" xfId="30" applyNumberFormat="1" applyFont="1" applyFill="1" applyBorder="1" applyAlignment="1"/>
    <xf numFmtId="168" fontId="10" fillId="29" borderId="67" xfId="30" applyNumberFormat="1" applyFont="1" applyFill="1" applyBorder="1" applyAlignment="1"/>
    <xf numFmtId="168" fontId="7" fillId="29" borderId="64" xfId="30" applyNumberFormat="1" applyFont="1" applyFill="1" applyBorder="1" applyAlignment="1"/>
    <xf numFmtId="168" fontId="7" fillId="29" borderId="67" xfId="30" applyNumberFormat="1" applyFont="1" applyFill="1" applyBorder="1" applyAlignment="1"/>
    <xf numFmtId="174" fontId="7" fillId="18" borderId="82" xfId="30" applyNumberFormat="1" applyFont="1" applyFill="1" applyBorder="1"/>
    <xf numFmtId="174" fontId="7" fillId="18" borderId="60" xfId="30" applyNumberFormat="1" applyFont="1" applyFill="1" applyBorder="1"/>
    <xf numFmtId="0" fontId="67" fillId="31" borderId="36" xfId="0" applyFont="1" applyFill="1" applyBorder="1" applyAlignment="1">
      <alignment vertical="center"/>
    </xf>
    <xf numFmtId="0" fontId="49" fillId="25" borderId="49" xfId="0" applyFont="1" applyFill="1" applyBorder="1" applyAlignment="1" applyProtection="1">
      <alignment horizontal="left" vertical="center" wrapText="1"/>
      <protection locked="0"/>
    </xf>
    <xf numFmtId="0" fontId="49" fillId="25" borderId="50" xfId="0" applyFont="1" applyFill="1" applyBorder="1" applyAlignment="1" applyProtection="1">
      <alignment horizontal="left" vertical="center" wrapText="1"/>
      <protection locked="0"/>
    </xf>
    <xf numFmtId="0" fontId="15" fillId="31" borderId="51" xfId="0" applyFont="1" applyFill="1" applyBorder="1" applyAlignment="1">
      <alignment vertical="center"/>
    </xf>
    <xf numFmtId="0" fontId="15" fillId="31" borderId="52" xfId="0" applyFont="1" applyFill="1" applyBorder="1" applyAlignment="1">
      <alignment vertical="center"/>
    </xf>
    <xf numFmtId="0" fontId="7" fillId="25" borderId="36" xfId="0" applyFont="1" applyFill="1" applyBorder="1" applyAlignment="1" applyProtection="1">
      <alignment vertical="center" wrapText="1"/>
      <protection locked="0"/>
    </xf>
    <xf numFmtId="0" fontId="10" fillId="30" borderId="50" xfId="0" applyFont="1" applyFill="1" applyBorder="1" applyAlignment="1" applyProtection="1">
      <alignment horizontal="left" vertical="center" wrapText="1"/>
      <protection locked="0"/>
    </xf>
    <xf numFmtId="0" fontId="49" fillId="25" borderId="83" xfId="0" applyFont="1" applyFill="1" applyBorder="1" applyAlignment="1" applyProtection="1">
      <alignment horizontal="left" vertical="center" wrapText="1"/>
      <protection locked="0"/>
    </xf>
    <xf numFmtId="168" fontId="7" fillId="18" borderId="78" xfId="30" applyNumberFormat="1" applyFont="1" applyFill="1" applyBorder="1"/>
    <xf numFmtId="168" fontId="7" fillId="18" borderId="79" xfId="30" applyNumberFormat="1" applyFont="1" applyFill="1" applyBorder="1"/>
    <xf numFmtId="174" fontId="7" fillId="18" borderId="79" xfId="30" applyNumberFormat="1" applyFont="1" applyFill="1" applyBorder="1"/>
    <xf numFmtId="0" fontId="49" fillId="25" borderId="70" xfId="0" applyFont="1" applyFill="1" applyBorder="1" applyAlignment="1" applyProtection="1">
      <alignment horizontal="left" vertical="center" wrapText="1"/>
      <protection locked="0"/>
    </xf>
    <xf numFmtId="174" fontId="7" fillId="18" borderId="56" xfId="30" applyNumberFormat="1" applyFont="1" applyFill="1" applyBorder="1"/>
    <xf numFmtId="0" fontId="15" fillId="31" borderId="53" xfId="0" applyFont="1" applyFill="1" applyBorder="1" applyAlignment="1">
      <alignment vertical="center"/>
    </xf>
    <xf numFmtId="168" fontId="7" fillId="18" borderId="80" xfId="30" applyNumberFormat="1" applyFont="1" applyFill="1" applyBorder="1"/>
    <xf numFmtId="174" fontId="7" fillId="18" borderId="44" xfId="30" applyNumberFormat="1" applyFont="1" applyFill="1" applyBorder="1"/>
    <xf numFmtId="174" fontId="7" fillId="18" borderId="90" xfId="30" applyNumberFormat="1" applyFont="1" applyFill="1" applyBorder="1"/>
    <xf numFmtId="174" fontId="7" fillId="18" borderId="46" xfId="30" applyNumberFormat="1" applyFont="1" applyFill="1" applyBorder="1"/>
    <xf numFmtId="174" fontId="7" fillId="18" borderId="63" xfId="30" applyNumberFormat="1" applyFont="1" applyFill="1" applyBorder="1"/>
    <xf numFmtId="174" fontId="7" fillId="18" borderId="78" xfId="30" applyNumberFormat="1" applyFont="1" applyFill="1" applyBorder="1"/>
    <xf numFmtId="174" fontId="7" fillId="18" borderId="80" xfId="30" applyNumberFormat="1" applyFont="1" applyFill="1" applyBorder="1"/>
    <xf numFmtId="174" fontId="7" fillId="18" borderId="55" xfId="30" applyNumberFormat="1" applyFont="1" applyFill="1" applyBorder="1"/>
    <xf numFmtId="174" fontId="7" fillId="18" borderId="59" xfId="30" applyNumberFormat="1" applyFont="1" applyFill="1" applyBorder="1"/>
    <xf numFmtId="0" fontId="10" fillId="29" borderId="68" xfId="0" applyFont="1" applyFill="1" applyBorder="1" applyAlignment="1" applyProtection="1">
      <alignment horizontal="left" vertical="center" wrapText="1"/>
      <protection locked="0"/>
    </xf>
    <xf numFmtId="0" fontId="0" fillId="33" borderId="72" xfId="0" applyFill="1" applyBorder="1"/>
    <xf numFmtId="0" fontId="7" fillId="33" borderId="50" xfId="0" applyFont="1" applyFill="1" applyBorder="1" applyAlignment="1">
      <alignment horizontal="left" vertical="center" wrapText="1" indent="1"/>
    </xf>
    <xf numFmtId="0" fontId="7" fillId="18" borderId="60" xfId="0" applyFont="1" applyFill="1" applyBorder="1"/>
    <xf numFmtId="0" fontId="12" fillId="33" borderId="0" xfId="0" applyFont="1" applyFill="1"/>
    <xf numFmtId="41" fontId="12" fillId="38" borderId="60" xfId="0" applyNumberFormat="1" applyFont="1" applyFill="1" applyBorder="1"/>
    <xf numFmtId="0" fontId="17" fillId="38" borderId="125" xfId="0" applyFont="1" applyFill="1" applyBorder="1" applyAlignment="1">
      <alignment horizontal="center" vertical="center" wrapText="1"/>
    </xf>
    <xf numFmtId="0" fontId="12" fillId="33" borderId="0" xfId="0" applyFont="1" applyFill="1" applyAlignment="1">
      <alignment horizontal="center" vertical="center"/>
    </xf>
    <xf numFmtId="0" fontId="67" fillId="36" borderId="65" xfId="0" applyFont="1" applyFill="1" applyBorder="1" applyAlignment="1">
      <alignment horizontal="center" vertical="center" wrapText="1"/>
    </xf>
    <xf numFmtId="0" fontId="7" fillId="33" borderId="0" xfId="0" applyFont="1" applyFill="1" applyBorder="1" applyAlignment="1">
      <alignment horizontal="center" vertical="center"/>
    </xf>
    <xf numFmtId="0" fontId="49" fillId="33" borderId="0" xfId="0" applyFont="1" applyFill="1" applyBorder="1" applyAlignment="1">
      <alignment horizontal="center" vertical="center" wrapText="1"/>
    </xf>
    <xf numFmtId="0" fontId="49" fillId="33" borderId="0" xfId="0" applyFont="1" applyFill="1" applyBorder="1" applyAlignment="1" applyProtection="1">
      <alignment horizontal="center" vertical="center" wrapText="1"/>
      <protection locked="0"/>
    </xf>
    <xf numFmtId="164" fontId="7" fillId="33" borderId="0" xfId="44" applyNumberFormat="1" applyFont="1" applyFill="1" applyBorder="1"/>
    <xf numFmtId="0" fontId="12" fillId="33" borderId="0" xfId="0" applyFont="1" applyFill="1" applyBorder="1"/>
    <xf numFmtId="164" fontId="7" fillId="38" borderId="60" xfId="44" applyNumberFormat="1" applyFont="1" applyFill="1" applyBorder="1"/>
    <xf numFmtId="0" fontId="7" fillId="33" borderId="92" xfId="0" applyFont="1" applyFill="1" applyBorder="1" applyAlignment="1">
      <alignment horizontal="left" vertical="center" wrapText="1" indent="1"/>
    </xf>
    <xf numFmtId="0" fontId="7" fillId="33" borderId="93" xfId="0" applyFont="1" applyFill="1" applyBorder="1" applyAlignment="1">
      <alignment horizontal="left" vertical="center" wrapText="1" indent="1"/>
    </xf>
    <xf numFmtId="0" fontId="7" fillId="33" borderId="94" xfId="0" applyFont="1" applyFill="1" applyBorder="1" applyAlignment="1">
      <alignment horizontal="left" vertical="center" wrapText="1" indent="1"/>
    </xf>
    <xf numFmtId="0" fontId="10" fillId="18" borderId="60" xfId="0" applyFont="1" applyFill="1" applyBorder="1" applyAlignment="1">
      <alignment vertical="center" wrapText="1"/>
    </xf>
    <xf numFmtId="0" fontId="10" fillId="18" borderId="60" xfId="0" applyFont="1" applyFill="1" applyBorder="1" applyAlignment="1">
      <alignment vertical="center"/>
    </xf>
    <xf numFmtId="0" fontId="0" fillId="33" borderId="0" xfId="0" applyFill="1"/>
    <xf numFmtId="0" fontId="0" fillId="33" borderId="0" xfId="0" applyFill="1" applyAlignment="1">
      <alignment wrapText="1"/>
    </xf>
    <xf numFmtId="0" fontId="10" fillId="29" borderId="51" xfId="0" applyFont="1" applyFill="1" applyBorder="1"/>
    <xf numFmtId="0" fontId="10" fillId="29" borderId="52" xfId="0" applyFont="1" applyFill="1" applyBorder="1"/>
    <xf numFmtId="0" fontId="10" fillId="29" borderId="53" xfId="0" applyFont="1" applyFill="1" applyBorder="1"/>
    <xf numFmtId="0" fontId="7" fillId="33" borderId="46" xfId="0" applyFont="1" applyFill="1" applyBorder="1" applyAlignment="1">
      <alignment horizontal="left" vertical="center" wrapText="1"/>
    </xf>
    <xf numFmtId="0" fontId="0" fillId="33" borderId="0" xfId="0" applyFill="1"/>
    <xf numFmtId="0" fontId="48" fillId="33" borderId="0" xfId="0" applyFont="1" applyFill="1" applyBorder="1"/>
    <xf numFmtId="0" fontId="7" fillId="33" borderId="0" xfId="0" applyFont="1" applyFill="1" applyBorder="1" applyAlignment="1">
      <alignment vertical="top" wrapText="1"/>
    </xf>
    <xf numFmtId="0" fontId="10" fillId="33" borderId="0" xfId="0" applyFont="1" applyFill="1" applyBorder="1" applyAlignment="1">
      <alignment vertical="top"/>
    </xf>
    <xf numFmtId="0" fontId="0" fillId="33" borderId="0" xfId="0" applyFill="1"/>
    <xf numFmtId="0" fontId="7" fillId="33" borderId="49" xfId="0" applyFont="1" applyFill="1" applyBorder="1" applyAlignment="1">
      <alignment horizontal="left" vertical="center" wrapText="1" indent="1"/>
    </xf>
    <xf numFmtId="0" fontId="7" fillId="33" borderId="68" xfId="0" applyFont="1" applyFill="1" applyBorder="1" applyAlignment="1">
      <alignment horizontal="left" vertical="center" wrapText="1" indent="1"/>
    </xf>
    <xf numFmtId="0" fontId="7" fillId="18" borderId="46" xfId="0" applyFont="1" applyFill="1" applyBorder="1"/>
    <xf numFmtId="3" fontId="12" fillId="18" borderId="60" xfId="0" applyNumberFormat="1" applyFont="1" applyFill="1" applyBorder="1"/>
    <xf numFmtId="0" fontId="7" fillId="33" borderId="46" xfId="0" applyFont="1" applyFill="1" applyBorder="1" applyAlignment="1">
      <alignment horizontal="left" vertical="center" wrapText="1" indent="2"/>
    </xf>
    <xf numFmtId="41" fontId="17" fillId="29" borderId="64" xfId="0" applyNumberFormat="1" applyFont="1" applyFill="1" applyBorder="1"/>
    <xf numFmtId="3" fontId="12" fillId="18" borderId="46" xfId="0" applyNumberFormat="1" applyFont="1" applyFill="1" applyBorder="1"/>
    <xf numFmtId="0" fontId="44" fillId="18" borderId="0" xfId="0" applyFont="1" applyFill="1" applyBorder="1" applyAlignment="1">
      <alignment horizontal="center" vertical="center"/>
    </xf>
    <xf numFmtId="0" fontId="72" fillId="18" borderId="0" xfId="0" applyFont="1" applyFill="1" applyBorder="1" applyAlignment="1">
      <alignment horizontal="center" vertical="center"/>
    </xf>
    <xf numFmtId="0" fontId="72" fillId="18" borderId="31" xfId="0" applyFont="1" applyFill="1" applyBorder="1" applyAlignment="1">
      <alignment horizontal="center" vertical="center"/>
    </xf>
    <xf numFmtId="0" fontId="72" fillId="0" borderId="0" xfId="0" applyFont="1" applyFill="1" applyBorder="1" applyAlignment="1">
      <alignment horizontal="center" vertical="center"/>
    </xf>
    <xf numFmtId="0" fontId="73" fillId="18" borderId="0" xfId="0" applyFont="1" applyFill="1" applyBorder="1" applyAlignment="1">
      <alignment horizontal="center" vertical="center"/>
    </xf>
    <xf numFmtId="0" fontId="57" fillId="18" borderId="30" xfId="0" applyFont="1" applyFill="1" applyBorder="1" applyAlignment="1">
      <alignment horizontal="center" vertical="center"/>
    </xf>
    <xf numFmtId="0" fontId="57" fillId="18" borderId="0" xfId="0" applyFont="1" applyFill="1" applyBorder="1" applyAlignment="1">
      <alignment horizontal="center" vertical="center"/>
    </xf>
    <xf numFmtId="0" fontId="74" fillId="18" borderId="0" xfId="0" applyFont="1" applyFill="1" applyBorder="1" applyAlignment="1">
      <alignment horizontal="center" vertical="center"/>
    </xf>
    <xf numFmtId="0" fontId="75" fillId="18" borderId="0" xfId="0" applyFont="1" applyFill="1" applyBorder="1" applyAlignment="1">
      <alignment horizontal="center" vertical="center"/>
    </xf>
    <xf numFmtId="0" fontId="57" fillId="0" borderId="0" xfId="0" applyFont="1" applyFill="1" applyBorder="1" applyAlignment="1">
      <alignment horizontal="center" vertical="center"/>
    </xf>
    <xf numFmtId="0" fontId="76" fillId="18" borderId="0" xfId="0" applyFont="1" applyFill="1" applyBorder="1" applyAlignment="1">
      <alignment horizontal="center" vertical="center"/>
    </xf>
    <xf numFmtId="0" fontId="61" fillId="31" borderId="44" xfId="0" applyFont="1" applyFill="1" applyBorder="1"/>
    <xf numFmtId="0" fontId="61" fillId="31" borderId="82" xfId="0" applyFont="1" applyFill="1" applyBorder="1"/>
    <xf numFmtId="0" fontId="37" fillId="33" borderId="0" xfId="0" applyFont="1" applyFill="1" applyBorder="1" applyAlignment="1">
      <alignment horizontal="center" vertical="center"/>
    </xf>
    <xf numFmtId="0" fontId="10" fillId="33" borderId="36" xfId="0" applyFont="1" applyFill="1" applyBorder="1" applyAlignment="1">
      <alignment horizontal="left" vertical="center" wrapText="1"/>
    </xf>
    <xf numFmtId="44" fontId="57" fillId="38" borderId="23" xfId="31" applyFont="1" applyFill="1" applyBorder="1" applyAlignment="1">
      <alignment horizontal="center" vertical="center" wrapText="1"/>
    </xf>
    <xf numFmtId="44" fontId="57" fillId="38" borderId="24" xfId="31" applyFont="1" applyFill="1" applyBorder="1" applyAlignment="1">
      <alignment horizontal="center" vertical="center" wrapText="1"/>
    </xf>
    <xf numFmtId="0" fontId="49" fillId="33" borderId="0" xfId="0" applyFont="1" applyFill="1" applyBorder="1" applyAlignment="1">
      <alignment vertical="center"/>
    </xf>
    <xf numFmtId="0" fontId="77" fillId="0" borderId="0" xfId="0" applyFont="1" applyFill="1" applyBorder="1" applyAlignment="1">
      <alignment vertical="center"/>
    </xf>
    <xf numFmtId="41" fontId="7" fillId="38" borderId="60" xfId="0" applyNumberFormat="1" applyFont="1" applyFill="1" applyBorder="1"/>
    <xf numFmtId="0" fontId="7" fillId="33" borderId="70" xfId="0" applyFont="1" applyFill="1" applyBorder="1" applyAlignment="1">
      <alignment horizontal="left" vertical="center" wrapText="1" indent="1"/>
    </xf>
    <xf numFmtId="3" fontId="12" fillId="18" borderId="55" xfId="0" applyNumberFormat="1" applyFont="1" applyFill="1" applyBorder="1"/>
    <xf numFmtId="3" fontId="12" fillId="18" borderId="56" xfId="0" applyNumberFormat="1" applyFont="1" applyFill="1" applyBorder="1"/>
    <xf numFmtId="0" fontId="7" fillId="18" borderId="44" xfId="0" applyFont="1" applyFill="1" applyBorder="1" applyAlignment="1">
      <alignment vertical="center" wrapText="1"/>
    </xf>
    <xf numFmtId="1" fontId="10" fillId="38" borderId="85" xfId="0" applyNumberFormat="1" applyFont="1" applyFill="1" applyBorder="1"/>
    <xf numFmtId="1" fontId="10" fillId="38" borderId="74" xfId="0" applyNumberFormat="1" applyFont="1" applyFill="1" applyBorder="1"/>
    <xf numFmtId="0" fontId="79" fillId="27" borderId="36" xfId="0" applyFont="1" applyFill="1" applyBorder="1" applyAlignment="1">
      <alignment vertical="center"/>
    </xf>
    <xf numFmtId="0" fontId="80" fillId="27" borderId="22" xfId="0" applyFont="1" applyFill="1" applyBorder="1" applyAlignment="1">
      <alignment vertical="center"/>
    </xf>
    <xf numFmtId="0" fontId="67" fillId="29" borderId="36" xfId="0" applyFont="1" applyFill="1" applyBorder="1" applyAlignment="1">
      <alignment vertical="center"/>
    </xf>
    <xf numFmtId="0" fontId="67" fillId="29" borderId="35" xfId="0" applyFont="1" applyFill="1" applyBorder="1" applyAlignment="1">
      <alignment vertical="center"/>
    </xf>
    <xf numFmtId="0" fontId="67" fillId="29" borderId="34" xfId="0" applyFont="1" applyFill="1" applyBorder="1" applyAlignment="1">
      <alignment vertical="center"/>
    </xf>
    <xf numFmtId="0" fontId="17" fillId="33" borderId="0" xfId="0" applyFont="1" applyFill="1" applyBorder="1"/>
    <xf numFmtId="0" fontId="0" fillId="33" borderId="0" xfId="0" applyFill="1" applyBorder="1"/>
    <xf numFmtId="0" fontId="15" fillId="41" borderId="64" xfId="0" applyFont="1" applyFill="1" applyBorder="1" applyAlignment="1">
      <alignment horizontal="center" vertical="center" wrapText="1"/>
    </xf>
    <xf numFmtId="0" fontId="7" fillId="38" borderId="55" xfId="0" applyFont="1" applyFill="1" applyBorder="1" applyAlignment="1" applyProtection="1">
      <alignment horizontal="right"/>
      <protection locked="0"/>
    </xf>
    <xf numFmtId="0" fontId="7" fillId="38" borderId="56" xfId="0" applyFont="1" applyFill="1" applyBorder="1" applyAlignment="1" applyProtection="1">
      <alignment horizontal="right"/>
      <protection locked="0"/>
    </xf>
    <xf numFmtId="0" fontId="7" fillId="38" borderId="133" xfId="0" applyFont="1" applyFill="1" applyBorder="1" applyAlignment="1" applyProtection="1">
      <alignment horizontal="right"/>
      <protection locked="0"/>
    </xf>
    <xf numFmtId="0" fontId="7" fillId="38" borderId="59" xfId="0" applyFont="1" applyFill="1" applyBorder="1" applyAlignment="1" applyProtection="1">
      <alignment horizontal="right"/>
      <protection locked="0"/>
    </xf>
    <xf numFmtId="0" fontId="7" fillId="38" borderId="58" xfId="0" applyFont="1" applyFill="1" applyBorder="1" applyAlignment="1" applyProtection="1">
      <alignment horizontal="right"/>
      <protection locked="0"/>
    </xf>
    <xf numFmtId="0" fontId="15" fillId="36" borderId="65" xfId="0" applyFont="1" applyFill="1" applyBorder="1" applyAlignment="1">
      <alignment horizontal="center" vertical="center" wrapText="1"/>
    </xf>
    <xf numFmtId="0" fontId="15" fillId="41" borderId="65" xfId="0" applyFont="1" applyFill="1" applyBorder="1" applyAlignment="1">
      <alignment horizontal="center" vertical="center" wrapText="1"/>
    </xf>
    <xf numFmtId="0" fontId="51" fillId="35" borderId="64" xfId="0" applyFont="1" applyFill="1" applyBorder="1" applyAlignment="1">
      <alignment horizontal="center" vertical="center"/>
    </xf>
    <xf numFmtId="0" fontId="7" fillId="38" borderId="86" xfId="0" applyFont="1" applyFill="1" applyBorder="1" applyAlignment="1">
      <alignment horizontal="left" vertical="center" wrapText="1"/>
    </xf>
    <xf numFmtId="0" fontId="7" fillId="18" borderId="62" xfId="0" applyFont="1" applyFill="1" applyBorder="1"/>
    <xf numFmtId="0" fontId="7" fillId="18" borderId="44" xfId="0" applyFont="1" applyFill="1" applyBorder="1"/>
    <xf numFmtId="0" fontId="7" fillId="18" borderId="82" xfId="0" applyFont="1" applyFill="1" applyBorder="1"/>
    <xf numFmtId="0" fontId="7" fillId="18" borderId="90" xfId="0" applyFont="1" applyFill="1" applyBorder="1"/>
    <xf numFmtId="0" fontId="7" fillId="18" borderId="63" xfId="0" applyFont="1" applyFill="1" applyBorder="1"/>
    <xf numFmtId="0" fontId="7" fillId="18" borderId="48" xfId="0" applyFont="1" applyFill="1" applyBorder="1"/>
    <xf numFmtId="0" fontId="7" fillId="18" borderId="64" xfId="0" applyFont="1" applyFill="1" applyBorder="1"/>
    <xf numFmtId="0" fontId="7" fillId="18" borderId="67" xfId="0" applyFont="1" applyFill="1" applyBorder="1"/>
    <xf numFmtId="0" fontId="7" fillId="18" borderId="89" xfId="0" applyFont="1" applyFill="1" applyBorder="1"/>
    <xf numFmtId="0" fontId="7" fillId="18" borderId="66" xfId="0" applyFont="1" applyFill="1" applyBorder="1"/>
    <xf numFmtId="168" fontId="10" fillId="38" borderId="48" xfId="0" applyNumberFormat="1" applyFont="1" applyFill="1" applyBorder="1" applyAlignment="1">
      <alignment horizontal="left" vertical="center" wrapText="1"/>
    </xf>
    <xf numFmtId="168" fontId="10" fillId="38" borderId="64" xfId="0" applyNumberFormat="1" applyFont="1" applyFill="1" applyBorder="1" applyAlignment="1">
      <alignment horizontal="left" vertical="center" wrapText="1"/>
    </xf>
    <xf numFmtId="168" fontId="10" fillId="38" borderId="67" xfId="0" applyNumberFormat="1" applyFont="1" applyFill="1" applyBorder="1" applyAlignment="1">
      <alignment horizontal="left" vertical="center" wrapText="1"/>
    </xf>
    <xf numFmtId="175" fontId="7" fillId="38" borderId="44" xfId="0" applyNumberFormat="1" applyFont="1" applyFill="1" applyBorder="1" applyAlignment="1">
      <alignment horizontal="right" wrapText="1"/>
    </xf>
    <xf numFmtId="175" fontId="7" fillId="38" borderId="82" xfId="0" applyNumberFormat="1" applyFont="1" applyFill="1" applyBorder="1" applyAlignment="1">
      <alignment horizontal="right" wrapText="1"/>
    </xf>
    <xf numFmtId="175" fontId="7" fillId="38" borderId="90" xfId="0" applyNumberFormat="1" applyFont="1" applyFill="1" applyBorder="1" applyAlignment="1">
      <alignment horizontal="right" wrapText="1"/>
    </xf>
    <xf numFmtId="164" fontId="7" fillId="38" borderId="46" xfId="44" applyNumberFormat="1" applyFont="1" applyFill="1" applyBorder="1"/>
    <xf numFmtId="164" fontId="7" fillId="38" borderId="63" xfId="44" applyNumberFormat="1" applyFont="1" applyFill="1" applyBorder="1"/>
    <xf numFmtId="175" fontId="7" fillId="38" borderId="48" xfId="0" applyNumberFormat="1" applyFont="1" applyFill="1" applyBorder="1" applyAlignment="1">
      <alignment horizontal="right" wrapText="1"/>
    </xf>
    <xf numFmtId="175" fontId="7" fillId="38" borderId="64" xfId="0" applyNumberFormat="1" applyFont="1" applyFill="1" applyBorder="1" applyAlignment="1">
      <alignment horizontal="right" wrapText="1"/>
    </xf>
    <xf numFmtId="175" fontId="7" fillId="38" borderId="67" xfId="0" applyNumberFormat="1" applyFont="1" applyFill="1" applyBorder="1" applyAlignment="1">
      <alignment horizontal="right" wrapText="1"/>
    </xf>
    <xf numFmtId="0" fontId="7" fillId="33" borderId="83" xfId="0" applyFont="1" applyFill="1" applyBorder="1" applyAlignment="1">
      <alignment horizontal="left" vertical="center" wrapText="1" indent="1"/>
    </xf>
    <xf numFmtId="0" fontId="10" fillId="18" borderId="82" xfId="0" applyFont="1" applyFill="1" applyBorder="1" applyAlignment="1">
      <alignment vertical="center" wrapText="1"/>
    </xf>
    <xf numFmtId="0" fontId="10" fillId="18" borderId="46" xfId="0" applyFont="1" applyFill="1" applyBorder="1" applyAlignment="1">
      <alignment vertical="center" wrapText="1"/>
    </xf>
    <xf numFmtId="0" fontId="10" fillId="18" borderId="46" xfId="0" applyFont="1" applyFill="1" applyBorder="1" applyAlignment="1">
      <alignment vertical="center"/>
    </xf>
    <xf numFmtId="0" fontId="7" fillId="14" borderId="0" xfId="0" applyFont="1" applyFill="1" applyBorder="1" applyAlignment="1">
      <alignment horizontal="left" vertical="top" wrapText="1"/>
    </xf>
    <xf numFmtId="0" fontId="81" fillId="33" borderId="0" xfId="0" applyFont="1" applyFill="1" applyBorder="1"/>
    <xf numFmtId="0" fontId="67" fillId="29" borderId="21" xfId="0" applyFont="1" applyFill="1" applyBorder="1" applyAlignment="1">
      <alignment vertical="center"/>
    </xf>
    <xf numFmtId="0" fontId="67" fillId="29" borderId="22" xfId="0" applyFont="1" applyFill="1" applyBorder="1" applyAlignment="1">
      <alignment vertical="center"/>
    </xf>
    <xf numFmtId="0" fontId="67" fillId="29" borderId="23" xfId="0" applyFont="1" applyFill="1" applyBorder="1" applyAlignment="1">
      <alignment vertical="center"/>
    </xf>
    <xf numFmtId="0" fontId="10" fillId="41" borderId="82" xfId="0" applyFont="1" applyFill="1" applyBorder="1" applyAlignment="1">
      <alignment horizontal="center" vertical="center" wrapText="1"/>
    </xf>
    <xf numFmtId="164" fontId="7" fillId="18" borderId="60" xfId="44" applyNumberFormat="1" applyFont="1" applyFill="1" applyBorder="1" applyAlignment="1">
      <alignment vertical="center" wrapText="1"/>
    </xf>
    <xf numFmtId="0" fontId="10" fillId="41" borderId="90" xfId="0" applyFont="1" applyFill="1" applyBorder="1" applyAlignment="1">
      <alignment horizontal="center" vertical="center" wrapText="1"/>
    </xf>
    <xf numFmtId="6" fontId="7" fillId="18" borderId="63" xfId="44" applyNumberFormat="1" applyFont="1" applyFill="1" applyBorder="1" applyAlignment="1">
      <alignment vertical="center" wrapText="1"/>
    </xf>
    <xf numFmtId="176" fontId="7" fillId="18" borderId="63" xfId="44" applyNumberFormat="1" applyFont="1" applyFill="1" applyBorder="1" applyAlignment="1">
      <alignment vertical="center" wrapText="1"/>
    </xf>
    <xf numFmtId="164" fontId="7" fillId="18" borderId="46" xfId="44" applyNumberFormat="1" applyFont="1" applyFill="1" applyBorder="1" applyAlignment="1">
      <alignment horizontal="left" vertical="center" wrapText="1" indent="1"/>
    </xf>
    <xf numFmtId="164" fontId="7" fillId="18" borderId="78" xfId="44" applyNumberFormat="1" applyFont="1" applyFill="1" applyBorder="1" applyAlignment="1">
      <alignment horizontal="left" vertical="center" wrapText="1" indent="1"/>
    </xf>
    <xf numFmtId="164" fontId="7" fillId="18" borderId="79" xfId="44" applyNumberFormat="1" applyFont="1" applyFill="1" applyBorder="1" applyAlignment="1">
      <alignment vertical="center" wrapText="1"/>
    </xf>
    <xf numFmtId="176" fontId="7" fillId="18" borderId="80" xfId="44" applyNumberFormat="1" applyFont="1" applyFill="1" applyBorder="1" applyAlignment="1">
      <alignment vertical="center" wrapText="1"/>
    </xf>
    <xf numFmtId="0" fontId="10" fillId="33" borderId="51" xfId="0" applyFont="1" applyFill="1" applyBorder="1" applyAlignment="1" applyProtection="1">
      <alignment horizontal="left" vertical="center" wrapText="1"/>
      <protection locked="0"/>
    </xf>
    <xf numFmtId="0" fontId="10" fillId="31" borderId="60" xfId="0" applyFont="1" applyFill="1" applyBorder="1" applyAlignment="1" applyProtection="1">
      <alignment horizontal="right" vertical="center"/>
      <protection locked="0"/>
    </xf>
    <xf numFmtId="0" fontId="79" fillId="27" borderId="0" xfId="0" applyFont="1" applyFill="1" applyBorder="1" applyAlignment="1">
      <alignment vertical="center"/>
    </xf>
    <xf numFmtId="0" fontId="80" fillId="27" borderId="0" xfId="0" applyFont="1" applyFill="1" applyBorder="1" applyAlignment="1">
      <alignment vertical="center"/>
    </xf>
    <xf numFmtId="0" fontId="0" fillId="33" borderId="0" xfId="0" applyFill="1" applyBorder="1" applyAlignment="1">
      <alignment vertical="top"/>
    </xf>
    <xf numFmtId="0" fontId="0" fillId="0" borderId="0" xfId="0" applyBorder="1" applyAlignment="1">
      <alignment vertical="top"/>
    </xf>
    <xf numFmtId="0" fontId="77" fillId="33" borderId="0" xfId="0" applyFont="1" applyFill="1" applyBorder="1" applyAlignment="1">
      <alignment vertical="center"/>
    </xf>
    <xf numFmtId="0" fontId="77" fillId="33" borderId="0" xfId="0" applyFont="1" applyFill="1" applyBorder="1" applyAlignment="1">
      <alignment vertical="center" wrapText="1"/>
    </xf>
    <xf numFmtId="0" fontId="79" fillId="27" borderId="21" xfId="0" applyFont="1" applyFill="1" applyBorder="1" applyAlignment="1">
      <alignment vertical="center"/>
    </xf>
    <xf numFmtId="0" fontId="49" fillId="18" borderId="46" xfId="0" applyFont="1" applyFill="1" applyBorder="1"/>
    <xf numFmtId="0" fontId="17" fillId="18" borderId="60" xfId="0" applyFont="1" applyFill="1" applyBorder="1"/>
    <xf numFmtId="0" fontId="0" fillId="33" borderId="0" xfId="0" applyFill="1" applyBorder="1" applyAlignment="1">
      <alignment wrapText="1"/>
    </xf>
    <xf numFmtId="0" fontId="7" fillId="29" borderId="60" xfId="0" applyFont="1" applyFill="1" applyBorder="1" applyAlignment="1">
      <alignment horizontal="right" vertical="center" wrapText="1"/>
    </xf>
    <xf numFmtId="0" fontId="7" fillId="33" borderId="50" xfId="0" applyFont="1" applyFill="1" applyBorder="1" applyAlignment="1">
      <alignment horizontal="left" vertical="center" wrapText="1"/>
    </xf>
    <xf numFmtId="43" fontId="17" fillId="33" borderId="0" xfId="0" applyNumberFormat="1" applyFont="1" applyFill="1"/>
    <xf numFmtId="0" fontId="10" fillId="38" borderId="50" xfId="0" applyFont="1" applyFill="1" applyBorder="1" applyAlignment="1">
      <alignment horizontal="left" vertical="center" wrapText="1"/>
    </xf>
    <xf numFmtId="43" fontId="10" fillId="29" borderId="48" xfId="0" applyNumberFormat="1" applyFont="1" applyFill="1" applyBorder="1" applyAlignment="1">
      <alignment horizontal="right" vertical="center" wrapText="1"/>
    </xf>
    <xf numFmtId="43" fontId="10" fillId="29" borderId="64" xfId="0" applyNumberFormat="1" applyFont="1" applyFill="1" applyBorder="1" applyAlignment="1">
      <alignment horizontal="right" vertical="center" wrapText="1"/>
    </xf>
    <xf numFmtId="43" fontId="10" fillId="29" borderId="67" xfId="0" applyNumberFormat="1" applyFont="1" applyFill="1" applyBorder="1" applyAlignment="1">
      <alignment horizontal="right" vertical="center" wrapText="1"/>
    </xf>
    <xf numFmtId="0" fontId="41" fillId="33" borderId="78" xfId="0" applyFont="1" applyFill="1" applyBorder="1" applyAlignment="1">
      <alignment vertical="center" wrapText="1"/>
    </xf>
    <xf numFmtId="0" fontId="0" fillId="33" borderId="142" xfId="0" applyFill="1" applyBorder="1"/>
    <xf numFmtId="0" fontId="41" fillId="33" borderId="55" xfId="0" applyFont="1" applyFill="1" applyBorder="1" applyAlignment="1">
      <alignment horizontal="left" vertical="center" wrapText="1"/>
    </xf>
    <xf numFmtId="0" fontId="16" fillId="33" borderId="87" xfId="0" applyFont="1" applyFill="1" applyBorder="1" applyAlignment="1">
      <alignment horizontal="left"/>
    </xf>
    <xf numFmtId="0" fontId="16" fillId="33" borderId="47" xfId="0" applyFont="1" applyFill="1" applyBorder="1" applyAlignment="1">
      <alignment horizontal="left"/>
    </xf>
    <xf numFmtId="0" fontId="41" fillId="33" borderId="133" xfId="0" applyFont="1" applyFill="1" applyBorder="1" applyAlignment="1">
      <alignment horizontal="left" vertical="center" wrapText="1"/>
    </xf>
    <xf numFmtId="0" fontId="10" fillId="29" borderId="86" xfId="0" applyFont="1" applyFill="1" applyBorder="1" applyAlignment="1">
      <alignment horizontal="left" vertical="center" wrapText="1"/>
    </xf>
    <xf numFmtId="0" fontId="7" fillId="18" borderId="86" xfId="0" applyFont="1" applyFill="1" applyBorder="1"/>
    <xf numFmtId="0" fontId="7" fillId="29" borderId="46" xfId="0" applyFont="1" applyFill="1" applyBorder="1" applyAlignment="1">
      <alignment horizontal="right" vertical="center" wrapText="1"/>
    </xf>
    <xf numFmtId="0" fontId="7" fillId="29" borderId="63" xfId="0" applyFont="1" applyFill="1" applyBorder="1" applyAlignment="1">
      <alignment horizontal="right" vertical="center" wrapText="1"/>
    </xf>
    <xf numFmtId="0" fontId="17" fillId="18" borderId="46" xfId="0" applyFont="1" applyFill="1" applyBorder="1"/>
    <xf numFmtId="0" fontId="17" fillId="18" borderId="63" xfId="0" applyFont="1" applyFill="1" applyBorder="1"/>
    <xf numFmtId="43" fontId="10" fillId="29" borderId="87" xfId="0" applyNumberFormat="1" applyFont="1" applyFill="1" applyBorder="1" applyAlignment="1">
      <alignment horizontal="right" vertical="center" wrapText="1"/>
    </xf>
    <xf numFmtId="0" fontId="7" fillId="29" borderId="78" xfId="0" applyFont="1" applyFill="1" applyBorder="1"/>
    <xf numFmtId="0" fontId="7" fillId="33" borderId="69" xfId="0" applyFont="1" applyFill="1" applyBorder="1" applyAlignment="1" applyProtection="1">
      <alignment vertical="center" wrapText="1"/>
      <protection locked="0"/>
    </xf>
    <xf numFmtId="0" fontId="10" fillId="41" borderId="64" xfId="0" applyFont="1" applyFill="1" applyBorder="1" applyAlignment="1">
      <alignment horizontal="center" vertical="center" wrapText="1"/>
    </xf>
    <xf numFmtId="0" fontId="10" fillId="36" borderId="64" xfId="0" applyFont="1" applyFill="1" applyBorder="1" applyAlignment="1">
      <alignment horizontal="center" vertical="center" wrapText="1"/>
    </xf>
    <xf numFmtId="0" fontId="9" fillId="0" borderId="0" xfId="0" applyFont="1" applyFill="1" applyBorder="1" applyAlignment="1">
      <alignment vertical="center"/>
    </xf>
    <xf numFmtId="0" fontId="10" fillId="31" borderId="140" xfId="0" applyFont="1" applyFill="1" applyBorder="1" applyAlignment="1">
      <alignment horizontal="center" vertical="center" wrapText="1"/>
    </xf>
    <xf numFmtId="0" fontId="79" fillId="27" borderId="22" xfId="0" applyFont="1" applyFill="1" applyBorder="1" applyAlignment="1">
      <alignment vertical="center"/>
    </xf>
    <xf numFmtId="0" fontId="79" fillId="27" borderId="23" xfId="0" applyFont="1" applyFill="1" applyBorder="1" applyAlignment="1">
      <alignment vertical="center"/>
    </xf>
    <xf numFmtId="0" fontId="9" fillId="33" borderId="0" xfId="0" applyFont="1" applyFill="1" applyBorder="1"/>
    <xf numFmtId="0" fontId="9" fillId="33" borderId="0" xfId="0" applyFont="1" applyFill="1" applyBorder="1" applyAlignment="1">
      <alignment vertical="center"/>
    </xf>
    <xf numFmtId="43" fontId="7" fillId="33" borderId="0" xfId="0" applyNumberFormat="1" applyFont="1" applyFill="1"/>
    <xf numFmtId="43" fontId="7" fillId="29" borderId="48" xfId="0" applyNumberFormat="1" applyFont="1" applyFill="1" applyBorder="1"/>
    <xf numFmtId="43" fontId="7" fillId="29" borderId="64" xfId="0" applyNumberFormat="1" applyFont="1" applyFill="1" applyBorder="1"/>
    <xf numFmtId="43" fontId="7" fillId="29" borderId="67" xfId="0" applyNumberFormat="1" applyFont="1" applyFill="1" applyBorder="1"/>
    <xf numFmtId="0" fontId="67" fillId="41" borderId="65" xfId="0" applyFont="1" applyFill="1" applyBorder="1" applyAlignment="1">
      <alignment horizontal="center" vertical="center" wrapText="1"/>
    </xf>
    <xf numFmtId="0" fontId="7" fillId="18" borderId="60" xfId="0" applyFont="1" applyFill="1" applyBorder="1" applyAlignment="1" applyProtection="1">
      <alignment horizontal="right" vertical="center"/>
      <protection locked="0"/>
    </xf>
    <xf numFmtId="0" fontId="7" fillId="18" borderId="63" xfId="0" applyFont="1" applyFill="1" applyBorder="1" applyAlignment="1" applyProtection="1">
      <alignment horizontal="right" vertical="center"/>
      <protection locked="0"/>
    </xf>
    <xf numFmtId="0" fontId="10" fillId="29" borderId="77" xfId="0" applyFont="1" applyFill="1" applyBorder="1" applyAlignment="1">
      <alignment horizontal="right" vertical="center"/>
    </xf>
    <xf numFmtId="0" fontId="7" fillId="18" borderId="61" xfId="0" applyFont="1" applyFill="1" applyBorder="1"/>
    <xf numFmtId="0" fontId="7" fillId="18" borderId="64" xfId="0" applyFont="1" applyFill="1" applyBorder="1" applyAlignment="1" applyProtection="1">
      <alignment horizontal="right" vertical="center"/>
      <protection locked="0"/>
    </xf>
    <xf numFmtId="0" fontId="7" fillId="18" borderId="67" xfId="0" applyFont="1" applyFill="1" applyBorder="1" applyAlignment="1" applyProtection="1">
      <alignment horizontal="right" vertical="center"/>
      <protection locked="0"/>
    </xf>
    <xf numFmtId="0" fontId="10" fillId="38" borderId="147" xfId="0" applyFont="1" applyFill="1" applyBorder="1" applyAlignment="1">
      <alignment horizontal="right" vertical="center"/>
    </xf>
    <xf numFmtId="168" fontId="7" fillId="30" borderId="60" xfId="30" applyNumberFormat="1" applyFont="1" applyFill="1" applyBorder="1"/>
    <xf numFmtId="0" fontId="10" fillId="33" borderId="0" xfId="0" applyFont="1" applyFill="1" applyBorder="1"/>
    <xf numFmtId="0" fontId="10" fillId="0" borderId="0" xfId="0" applyFont="1" applyFill="1"/>
    <xf numFmtId="0" fontId="10" fillId="33" borderId="0" xfId="0" applyFont="1" applyFill="1"/>
    <xf numFmtId="0" fontId="10" fillId="0" borderId="0" xfId="0" applyFont="1"/>
    <xf numFmtId="0" fontId="10" fillId="30" borderId="50" xfId="0" applyFont="1" applyFill="1" applyBorder="1" applyAlignment="1">
      <alignment horizontal="left" vertical="center" wrapText="1"/>
    </xf>
    <xf numFmtId="168" fontId="7" fillId="30" borderId="46" xfId="30" applyNumberFormat="1" applyFont="1" applyFill="1" applyBorder="1"/>
    <xf numFmtId="168" fontId="7" fillId="30" borderId="63" xfId="30" applyNumberFormat="1" applyFont="1" applyFill="1" applyBorder="1"/>
    <xf numFmtId="0" fontId="7" fillId="38" borderId="50" xfId="0" applyFont="1" applyFill="1" applyBorder="1" applyAlignment="1">
      <alignment horizontal="left" vertical="center" wrapText="1" indent="2"/>
    </xf>
    <xf numFmtId="0" fontId="7" fillId="0" borderId="0" xfId="0" applyFont="1" applyAlignment="1">
      <alignment vertical="top"/>
    </xf>
    <xf numFmtId="0" fontId="10" fillId="18" borderId="60" xfId="0" applyFont="1" applyFill="1" applyBorder="1"/>
    <xf numFmtId="0" fontId="7" fillId="25" borderId="46" xfId="0" applyFont="1" applyFill="1" applyBorder="1" applyAlignment="1">
      <alignment horizontal="left" vertical="center" wrapText="1" indent="2"/>
    </xf>
    <xf numFmtId="0" fontId="10" fillId="39" borderId="64" xfId="0" applyFont="1" applyFill="1" applyBorder="1" applyAlignment="1">
      <alignment horizontal="center" vertical="center" wrapText="1"/>
    </xf>
    <xf numFmtId="0" fontId="10" fillId="40" borderId="64" xfId="0" applyFont="1" applyFill="1" applyBorder="1" applyAlignment="1">
      <alignment horizontal="center" vertical="center" wrapText="1"/>
    </xf>
    <xf numFmtId="0" fontId="10" fillId="39" borderId="65" xfId="0" applyFont="1" applyFill="1" applyBorder="1" applyAlignment="1">
      <alignment horizontal="center" vertical="center" wrapText="1"/>
    </xf>
    <xf numFmtId="0" fontId="7" fillId="18" borderId="118" xfId="0" applyFont="1" applyFill="1" applyBorder="1" applyAlignment="1" applyProtection="1">
      <alignment vertical="center" wrapText="1"/>
      <protection locked="0"/>
    </xf>
    <xf numFmtId="0" fontId="7" fillId="18" borderId="129" xfId="0" applyFont="1" applyFill="1" applyBorder="1" applyAlignment="1" applyProtection="1">
      <alignment vertical="center" wrapText="1"/>
      <protection locked="0"/>
    </xf>
    <xf numFmtId="0" fontId="7" fillId="25" borderId="48" xfId="0" applyFont="1" applyFill="1" applyBorder="1" applyAlignment="1">
      <alignment horizontal="left" vertical="center" wrapText="1" indent="2"/>
    </xf>
    <xf numFmtId="0" fontId="7" fillId="18" borderId="88" xfId="0" applyFont="1" applyFill="1" applyBorder="1"/>
    <xf numFmtId="0" fontId="7" fillId="25" borderId="146" xfId="0" applyNumberFormat="1" applyFont="1" applyFill="1" applyBorder="1" applyAlignment="1" applyProtection="1">
      <alignment horizontal="center" vertical="center" wrapText="1"/>
      <protection locked="0"/>
    </xf>
    <xf numFmtId="0" fontId="0" fillId="18" borderId="44" xfId="0" applyFill="1" applyBorder="1"/>
    <xf numFmtId="0" fontId="0" fillId="18" borderId="82" xfId="0" applyFill="1" applyBorder="1"/>
    <xf numFmtId="0" fontId="0" fillId="18" borderId="71" xfId="0" applyFill="1" applyBorder="1"/>
    <xf numFmtId="0" fontId="0" fillId="18" borderId="48" xfId="0" applyFill="1" applyBorder="1"/>
    <xf numFmtId="0" fontId="0" fillId="18" borderId="64" xfId="0" applyFill="1" applyBorder="1"/>
    <xf numFmtId="0" fontId="0" fillId="18" borderId="65" xfId="0" applyFill="1" applyBorder="1"/>
    <xf numFmtId="0" fontId="10" fillId="33" borderId="91" xfId="0" applyFont="1" applyFill="1" applyBorder="1"/>
    <xf numFmtId="0" fontId="10" fillId="29" borderId="73" xfId="0" applyFont="1" applyFill="1" applyBorder="1"/>
    <xf numFmtId="0" fontId="7" fillId="29" borderId="46" xfId="0" applyFont="1" applyFill="1" applyBorder="1"/>
    <xf numFmtId="0" fontId="7" fillId="29" borderId="60" xfId="0" applyFont="1" applyFill="1" applyBorder="1"/>
    <xf numFmtId="0" fontId="7" fillId="29" borderId="63" xfId="0" applyFont="1" applyFill="1" applyBorder="1"/>
    <xf numFmtId="0" fontId="0" fillId="18" borderId="67" xfId="0" applyFill="1" applyBorder="1"/>
    <xf numFmtId="43" fontId="7" fillId="29" borderId="60" xfId="0" applyNumberFormat="1" applyFont="1" applyFill="1" applyBorder="1"/>
    <xf numFmtId="0" fontId="10" fillId="29" borderId="50" xfId="0" applyFont="1" applyFill="1" applyBorder="1" applyAlignment="1">
      <alignment horizontal="left"/>
    </xf>
    <xf numFmtId="0" fontId="7" fillId="33" borderId="50" xfId="0" applyFont="1" applyFill="1" applyBorder="1" applyAlignment="1">
      <alignment horizontal="left" indent="1"/>
    </xf>
    <xf numFmtId="0" fontId="7" fillId="33" borderId="68" xfId="0" applyFont="1" applyFill="1" applyBorder="1" applyAlignment="1">
      <alignment horizontal="left" indent="1"/>
    </xf>
    <xf numFmtId="43" fontId="7" fillId="29" borderId="46" xfId="0" applyNumberFormat="1" applyFont="1" applyFill="1" applyBorder="1"/>
    <xf numFmtId="43" fontId="7" fillId="29" borderId="63" xfId="0" applyNumberFormat="1" applyFont="1" applyFill="1" applyBorder="1"/>
    <xf numFmtId="0" fontId="7" fillId="18" borderId="25" xfId="0" applyFont="1" applyFill="1" applyBorder="1" applyAlignment="1" applyProtection="1">
      <alignment vertical="center" wrapText="1"/>
      <protection locked="0"/>
    </xf>
    <xf numFmtId="0" fontId="7" fillId="33" borderId="21" xfId="0" applyFont="1" applyFill="1" applyBorder="1" applyAlignment="1">
      <alignment horizontal="left" indent="1"/>
    </xf>
    <xf numFmtId="0" fontId="7" fillId="33" borderId="25" xfId="0" applyFont="1" applyFill="1" applyBorder="1" applyAlignment="1">
      <alignment horizontal="left" indent="1"/>
    </xf>
    <xf numFmtId="0" fontId="0" fillId="18" borderId="85" xfId="0" applyFill="1" applyBorder="1"/>
    <xf numFmtId="0" fontId="0" fillId="18" borderId="88" xfId="0" applyFill="1" applyBorder="1"/>
    <xf numFmtId="0" fontId="10" fillId="38" borderId="18" xfId="0" applyFont="1" applyFill="1" applyBorder="1" applyAlignment="1">
      <alignment horizontal="center" vertical="center"/>
    </xf>
    <xf numFmtId="0" fontId="0" fillId="18" borderId="12" xfId="0" applyFill="1" applyBorder="1" applyAlignment="1">
      <alignment horizontal="left" vertical="top" wrapText="1"/>
    </xf>
    <xf numFmtId="0" fontId="7" fillId="29" borderId="67" xfId="0" applyFont="1" applyFill="1" applyBorder="1"/>
    <xf numFmtId="0" fontId="7" fillId="29" borderId="64" xfId="0" applyFont="1" applyFill="1" applyBorder="1"/>
    <xf numFmtId="0" fontId="7" fillId="29" borderId="82" xfId="0" applyFont="1" applyFill="1" applyBorder="1"/>
    <xf numFmtId="0" fontId="7" fillId="29" borderId="90" xfId="0" applyFont="1" applyFill="1" applyBorder="1"/>
    <xf numFmtId="0" fontId="7" fillId="29" borderId="64" xfId="0" applyNumberFormat="1" applyFont="1" applyFill="1" applyBorder="1"/>
    <xf numFmtId="0" fontId="7" fillId="29" borderId="67" xfId="0" applyNumberFormat="1" applyFont="1" applyFill="1" applyBorder="1"/>
    <xf numFmtId="0" fontId="7" fillId="29" borderId="88" xfId="0" applyFont="1" applyFill="1" applyBorder="1"/>
    <xf numFmtId="0" fontId="7" fillId="29" borderId="89" xfId="0" applyFont="1" applyFill="1" applyBorder="1"/>
    <xf numFmtId="0" fontId="7" fillId="29" borderId="66" xfId="0" applyNumberFormat="1" applyFont="1" applyFill="1" applyBorder="1"/>
    <xf numFmtId="0" fontId="7" fillId="29" borderId="44" xfId="0" applyFont="1" applyFill="1" applyBorder="1"/>
    <xf numFmtId="0" fontId="7" fillId="29" borderId="48" xfId="0" applyNumberFormat="1" applyFont="1" applyFill="1" applyBorder="1"/>
    <xf numFmtId="0" fontId="7" fillId="33" borderId="68" xfId="0" applyFont="1" applyFill="1" applyBorder="1" applyAlignment="1">
      <alignment horizontal="left" vertical="center" wrapText="1" indent="2"/>
    </xf>
    <xf numFmtId="0" fontId="7" fillId="38" borderId="50" xfId="0" applyFont="1" applyFill="1" applyBorder="1" applyAlignment="1">
      <alignment horizontal="left" vertical="center" wrapText="1" indent="1"/>
    </xf>
    <xf numFmtId="0" fontId="10" fillId="33" borderId="140" xfId="0" applyFont="1" applyFill="1" applyBorder="1" applyAlignment="1">
      <alignment horizontal="center" vertical="center" wrapText="1"/>
    </xf>
    <xf numFmtId="49" fontId="7" fillId="25" borderId="146" xfId="0" applyNumberFormat="1" applyFont="1" applyFill="1" applyBorder="1" applyAlignment="1">
      <alignment horizontal="center"/>
    </xf>
    <xf numFmtId="49" fontId="7" fillId="25" borderId="146" xfId="0" applyNumberFormat="1" applyFont="1" applyFill="1" applyBorder="1" applyAlignment="1">
      <alignment horizontal="left" wrapText="1"/>
    </xf>
    <xf numFmtId="0" fontId="0" fillId="33" borderId="0" xfId="0" applyFill="1" applyAlignment="1"/>
    <xf numFmtId="43" fontId="10" fillId="38" borderId="82" xfId="0" applyNumberFormat="1" applyFont="1" applyFill="1" applyBorder="1" applyAlignment="1">
      <alignment horizontal="center"/>
    </xf>
    <xf numFmtId="0" fontId="10" fillId="18" borderId="155" xfId="0" applyFont="1" applyFill="1" applyBorder="1"/>
    <xf numFmtId="0" fontId="7" fillId="29" borderId="66" xfId="0" applyFont="1" applyFill="1" applyBorder="1"/>
    <xf numFmtId="0" fontId="7" fillId="29" borderId="65" xfId="0" applyFont="1" applyFill="1" applyBorder="1"/>
    <xf numFmtId="0" fontId="7" fillId="29" borderId="52" xfId="0" applyFont="1" applyFill="1" applyBorder="1"/>
    <xf numFmtId="0" fontId="7" fillId="29" borderId="53" xfId="0" applyFont="1" applyFill="1" applyBorder="1"/>
    <xf numFmtId="0" fontId="7" fillId="29" borderId="54" xfId="0" applyFont="1" applyFill="1" applyBorder="1"/>
    <xf numFmtId="0" fontId="7" fillId="29" borderId="71" xfId="0" applyFont="1" applyFill="1" applyBorder="1"/>
    <xf numFmtId="0" fontId="7" fillId="29" borderId="65" xfId="0" applyNumberFormat="1" applyFont="1" applyFill="1" applyBorder="1"/>
    <xf numFmtId="43" fontId="10" fillId="38" borderId="90" xfId="0" applyNumberFormat="1" applyFont="1" applyFill="1" applyBorder="1" applyAlignment="1">
      <alignment horizontal="center"/>
    </xf>
    <xf numFmtId="43" fontId="10" fillId="38" borderId="56" xfId="0" applyNumberFormat="1" applyFont="1" applyFill="1" applyBorder="1" applyAlignment="1">
      <alignment horizontal="center"/>
    </xf>
    <xf numFmtId="43" fontId="10" fillId="38" borderId="59" xfId="0" applyNumberFormat="1" applyFont="1" applyFill="1" applyBorder="1" applyAlignment="1">
      <alignment horizontal="center"/>
    </xf>
    <xf numFmtId="43" fontId="10" fillId="38" borderId="89" xfId="0" applyNumberFormat="1" applyFont="1" applyFill="1" applyBorder="1" applyAlignment="1">
      <alignment horizontal="center"/>
    </xf>
    <xf numFmtId="43" fontId="10" fillId="38" borderId="58" xfId="0" applyNumberFormat="1" applyFont="1" applyFill="1" applyBorder="1" applyAlignment="1">
      <alignment horizontal="center"/>
    </xf>
    <xf numFmtId="43" fontId="10" fillId="38" borderId="157" xfId="0" applyNumberFormat="1" applyFont="1" applyFill="1" applyBorder="1" applyAlignment="1">
      <alignment horizontal="center"/>
    </xf>
    <xf numFmtId="43" fontId="10" fillId="38" borderId="57" xfId="0" applyNumberFormat="1" applyFont="1" applyFill="1" applyBorder="1" applyAlignment="1">
      <alignment horizontal="center"/>
    </xf>
    <xf numFmtId="0" fontId="7" fillId="29" borderId="148" xfId="0" applyFont="1" applyFill="1" applyBorder="1"/>
    <xf numFmtId="0" fontId="7" fillId="18" borderId="155" xfId="0" applyFont="1" applyFill="1" applyBorder="1"/>
    <xf numFmtId="0" fontId="10" fillId="38" borderId="82" xfId="0" applyFont="1" applyFill="1" applyBorder="1" applyAlignment="1">
      <alignment horizontal="left" vertical="center" wrapText="1"/>
    </xf>
    <xf numFmtId="0" fontId="10" fillId="39" borderId="78" xfId="0" applyFont="1" applyFill="1" applyBorder="1" applyAlignment="1">
      <alignment horizontal="center" vertical="center" wrapText="1"/>
    </xf>
    <xf numFmtId="0" fontId="10" fillId="39" borderId="79" xfId="0" applyFont="1" applyFill="1" applyBorder="1" applyAlignment="1">
      <alignment horizontal="center" vertical="center" wrapText="1"/>
    </xf>
    <xf numFmtId="0" fontId="10" fillId="40" borderId="79" xfId="0" applyFont="1" applyFill="1" applyBorder="1" applyAlignment="1">
      <alignment horizontal="center" vertical="center" wrapText="1"/>
    </xf>
    <xf numFmtId="0" fontId="10" fillId="39" borderId="84" xfId="0" applyFont="1" applyFill="1" applyBorder="1" applyAlignment="1">
      <alignment horizontal="center" vertical="center" wrapText="1"/>
    </xf>
    <xf numFmtId="0" fontId="7" fillId="33" borderId="0" xfId="0" applyFont="1" applyFill="1" applyBorder="1" applyAlignment="1">
      <alignment wrapText="1"/>
    </xf>
    <xf numFmtId="0" fontId="7" fillId="0" borderId="0" xfId="0" applyFont="1" applyAlignment="1">
      <alignment wrapText="1"/>
    </xf>
    <xf numFmtId="0" fontId="7" fillId="25" borderId="92" xfId="0" applyFont="1" applyFill="1" applyBorder="1" applyAlignment="1">
      <alignment horizontal="left" vertical="center" wrapText="1" indent="1"/>
    </xf>
    <xf numFmtId="0" fontId="7" fillId="25" borderId="93" xfId="0" applyFont="1" applyFill="1" applyBorder="1" applyAlignment="1">
      <alignment horizontal="left" vertical="center" wrapText="1" indent="1"/>
    </xf>
    <xf numFmtId="0" fontId="10" fillId="39" borderId="67" xfId="0" applyFont="1" applyFill="1" applyBorder="1" applyAlignment="1">
      <alignment horizontal="center" vertical="center" wrapText="1"/>
    </xf>
    <xf numFmtId="0" fontId="58" fillId="33" borderId="0" xfId="0" applyFont="1" applyFill="1" applyBorder="1"/>
    <xf numFmtId="43" fontId="58" fillId="33" borderId="0" xfId="0" applyNumberFormat="1" applyFont="1" applyFill="1" applyBorder="1"/>
    <xf numFmtId="0" fontId="53" fillId="33" borderId="19" xfId="0" applyFont="1" applyFill="1" applyBorder="1" applyAlignment="1">
      <alignment horizontal="center" vertical="center" wrapText="1"/>
    </xf>
    <xf numFmtId="0" fontId="85" fillId="19" borderId="0" xfId="0" applyFont="1" applyFill="1" applyBorder="1" applyAlignment="1" applyProtection="1">
      <alignment vertical="center"/>
    </xf>
    <xf numFmtId="0" fontId="0" fillId="33" borderId="0" xfId="0" applyFill="1"/>
    <xf numFmtId="0" fontId="0" fillId="33" borderId="0" xfId="0" applyFill="1" applyBorder="1"/>
    <xf numFmtId="0" fontId="43" fillId="33" borderId="0" xfId="0" applyFont="1" applyFill="1" applyBorder="1" applyAlignment="1">
      <alignment vertical="center"/>
    </xf>
    <xf numFmtId="0" fontId="44" fillId="33" borderId="0" xfId="0" applyFont="1" applyFill="1" applyBorder="1" applyAlignment="1">
      <alignment vertical="center"/>
    </xf>
    <xf numFmtId="0" fontId="72" fillId="33" borderId="0" xfId="0" applyFont="1" applyFill="1" applyBorder="1" applyAlignment="1">
      <alignment horizontal="center" vertical="center"/>
    </xf>
    <xf numFmtId="0" fontId="0" fillId="33" borderId="0" xfId="0" applyFill="1" applyBorder="1" applyAlignment="1">
      <alignment horizontal="center" vertical="center"/>
    </xf>
    <xf numFmtId="0" fontId="57" fillId="33" borderId="0" xfId="0" applyFont="1" applyFill="1" applyBorder="1" applyAlignment="1">
      <alignment horizontal="center" vertical="center"/>
    </xf>
    <xf numFmtId="0" fontId="45" fillId="33" borderId="0" xfId="0" applyFont="1" applyFill="1" applyBorder="1" applyAlignment="1">
      <alignment vertical="center"/>
    </xf>
    <xf numFmtId="0" fontId="45" fillId="33" borderId="0" xfId="0" applyFont="1" applyFill="1" applyBorder="1"/>
    <xf numFmtId="0" fontId="10" fillId="29" borderId="82" xfId="0" applyFont="1" applyFill="1" applyBorder="1" applyAlignment="1">
      <alignment horizontal="right" vertical="center" wrapText="1"/>
    </xf>
    <xf numFmtId="9" fontId="7" fillId="18" borderId="60" xfId="44" applyFont="1" applyFill="1" applyBorder="1" applyAlignment="1">
      <alignment horizontal="right"/>
    </xf>
    <xf numFmtId="0" fontId="10" fillId="29" borderId="60" xfId="0" applyFont="1" applyFill="1" applyBorder="1" applyAlignment="1">
      <alignment horizontal="right" vertical="center" wrapText="1"/>
    </xf>
    <xf numFmtId="0" fontId="10" fillId="0" borderId="44" xfId="0" applyFont="1" applyBorder="1" applyAlignment="1">
      <alignment horizontal="left" vertical="top"/>
    </xf>
    <xf numFmtId="0" fontId="7" fillId="0" borderId="90" xfId="0" applyFont="1" applyBorder="1" applyAlignment="1">
      <alignment horizontal="left" vertical="top"/>
    </xf>
    <xf numFmtId="0" fontId="10" fillId="0" borderId="46" xfId="0" applyFont="1" applyBorder="1" applyAlignment="1">
      <alignment horizontal="left" vertical="top"/>
    </xf>
    <xf numFmtId="0" fontId="7" fillId="0" borderId="63" xfId="0" applyFont="1" applyBorder="1" applyAlignment="1">
      <alignment horizontal="left" vertical="top"/>
    </xf>
    <xf numFmtId="0" fontId="10" fillId="0" borderId="48" xfId="0" applyFont="1" applyBorder="1" applyAlignment="1">
      <alignment horizontal="left" vertical="top"/>
    </xf>
    <xf numFmtId="0" fontId="7" fillId="0" borderId="67" xfId="0" applyFont="1" applyBorder="1" applyAlignment="1">
      <alignment horizontal="left" vertical="top"/>
    </xf>
    <xf numFmtId="0" fontId="10" fillId="0" borderId="44" xfId="0" applyFont="1" applyBorder="1" applyAlignment="1">
      <alignment horizontal="right"/>
    </xf>
    <xf numFmtId="0" fontId="10" fillId="0" borderId="46" xfId="0" applyFont="1" applyBorder="1" applyAlignment="1">
      <alignment horizontal="right"/>
    </xf>
    <xf numFmtId="0" fontId="10" fillId="0" borderId="48" xfId="0" applyFont="1" applyBorder="1" applyAlignment="1">
      <alignment horizontal="right"/>
    </xf>
    <xf numFmtId="0" fontId="7" fillId="0" borderId="90" xfId="0" applyFont="1" applyBorder="1"/>
    <xf numFmtId="0" fontId="7" fillId="0" borderId="63" xfId="0" applyFont="1" applyBorder="1"/>
    <xf numFmtId="0" fontId="7" fillId="0" borderId="67" xfId="0" applyFont="1" applyBorder="1"/>
    <xf numFmtId="0" fontId="10" fillId="33" borderId="44" xfId="0" applyFont="1" applyFill="1" applyBorder="1" applyAlignment="1">
      <alignment horizontal="right"/>
    </xf>
    <xf numFmtId="0" fontId="7" fillId="33" borderId="82" xfId="0" applyFont="1" applyFill="1" applyBorder="1"/>
    <xf numFmtId="0" fontId="10" fillId="33" borderId="46" xfId="0" applyFont="1" applyFill="1" applyBorder="1" applyAlignment="1">
      <alignment horizontal="right"/>
    </xf>
    <xf numFmtId="0" fontId="7" fillId="33" borderId="60" xfId="0" applyFont="1" applyFill="1" applyBorder="1"/>
    <xf numFmtId="0" fontId="10" fillId="33" borderId="48" xfId="0" applyFont="1" applyFill="1" applyBorder="1" applyAlignment="1">
      <alignment horizontal="right"/>
    </xf>
    <xf numFmtId="0" fontId="7" fillId="33" borderId="64" xfId="0" applyFont="1" applyFill="1" applyBorder="1"/>
    <xf numFmtId="0" fontId="7" fillId="33" borderId="90" xfId="0" applyFont="1" applyFill="1" applyBorder="1"/>
    <xf numFmtId="0" fontId="7" fillId="33" borderId="63" xfId="0" applyFont="1" applyFill="1" applyBorder="1"/>
    <xf numFmtId="0" fontId="0" fillId="33" borderId="63" xfId="0" applyFill="1" applyBorder="1"/>
    <xf numFmtId="0" fontId="7" fillId="33" borderId="63" xfId="0" applyFont="1" applyFill="1" applyBorder="1" applyAlignment="1">
      <alignment wrapText="1"/>
    </xf>
    <xf numFmtId="0" fontId="7" fillId="33" borderId="67" xfId="0" applyFont="1" applyFill="1" applyBorder="1"/>
    <xf numFmtId="0" fontId="10" fillId="33" borderId="44" xfId="0" applyFont="1" applyFill="1" applyBorder="1"/>
    <xf numFmtId="0" fontId="10" fillId="33" borderId="48" xfId="0" applyFont="1" applyFill="1" applyBorder="1"/>
    <xf numFmtId="0" fontId="0" fillId="33" borderId="0" xfId="0" applyFill="1" applyAlignment="1">
      <alignment vertical="top"/>
    </xf>
    <xf numFmtId="0" fontId="10" fillId="14" borderId="0" xfId="0" applyFont="1" applyFill="1" applyAlignment="1">
      <alignment vertical="top"/>
    </xf>
    <xf numFmtId="0" fontId="0" fillId="14" borderId="0" xfId="0" applyFill="1" applyAlignment="1">
      <alignment vertical="top"/>
    </xf>
    <xf numFmtId="0" fontId="0" fillId="0" borderId="0" xfId="0" applyAlignment="1">
      <alignment vertical="top"/>
    </xf>
    <xf numFmtId="0" fontId="7" fillId="18" borderId="86" xfId="0" applyFont="1" applyFill="1" applyBorder="1" applyProtection="1">
      <protection locked="0"/>
    </xf>
    <xf numFmtId="0" fontId="10" fillId="38" borderId="49" xfId="0" applyFont="1" applyFill="1" applyBorder="1" applyAlignment="1">
      <alignment horizontal="left" vertical="center" wrapText="1"/>
    </xf>
    <xf numFmtId="0" fontId="10" fillId="38" borderId="74" xfId="0" applyFont="1" applyFill="1" applyBorder="1" applyAlignment="1">
      <alignment horizontal="left" vertical="center" wrapText="1"/>
    </xf>
    <xf numFmtId="0" fontId="10" fillId="38" borderId="76" xfId="0" applyFont="1" applyFill="1" applyBorder="1" applyAlignment="1">
      <alignment horizontal="left" vertical="center" wrapText="1"/>
    </xf>
    <xf numFmtId="0" fontId="7" fillId="18" borderId="55" xfId="0" applyFont="1" applyFill="1" applyBorder="1"/>
    <xf numFmtId="0" fontId="7" fillId="18" borderId="56" xfId="0" applyFont="1" applyFill="1" applyBorder="1"/>
    <xf numFmtId="0" fontId="7" fillId="18" borderId="59" xfId="0" applyFont="1" applyFill="1" applyBorder="1"/>
    <xf numFmtId="0" fontId="0" fillId="43" borderId="0" xfId="0" applyFill="1"/>
    <xf numFmtId="0" fontId="89" fillId="29" borderId="22" xfId="0" applyFont="1" applyFill="1" applyBorder="1" applyAlignment="1">
      <alignment vertical="center"/>
    </xf>
    <xf numFmtId="0" fontId="89" fillId="29" borderId="34" xfId="0" applyFont="1" applyFill="1" applyBorder="1" applyAlignment="1">
      <alignment vertical="center"/>
    </xf>
    <xf numFmtId="0" fontId="89" fillId="29" borderId="35" xfId="0" applyFont="1" applyFill="1" applyBorder="1" applyAlignment="1">
      <alignment vertical="center"/>
    </xf>
    <xf numFmtId="43" fontId="10" fillId="52" borderId="51" xfId="0" applyNumberFormat="1" applyFont="1" applyFill="1" applyBorder="1"/>
    <xf numFmtId="43" fontId="10" fillId="52" borderId="52" xfId="0" applyNumberFormat="1" applyFont="1" applyFill="1" applyBorder="1"/>
    <xf numFmtId="43" fontId="10" fillId="52" borderId="53" xfId="0" applyNumberFormat="1" applyFont="1" applyFill="1" applyBorder="1"/>
    <xf numFmtId="43" fontId="10" fillId="52" borderId="54" xfId="0" applyNumberFormat="1" applyFont="1" applyFill="1" applyBorder="1"/>
    <xf numFmtId="0" fontId="7" fillId="38" borderId="39" xfId="0" applyFont="1" applyFill="1" applyBorder="1" applyAlignment="1">
      <alignment horizontal="center" vertical="center" wrapText="1"/>
    </xf>
    <xf numFmtId="0" fontId="7" fillId="38" borderId="154" xfId="0" applyFont="1" applyFill="1" applyBorder="1" applyAlignment="1">
      <alignment horizontal="center" vertical="center" wrapText="1"/>
    </xf>
    <xf numFmtId="0" fontId="7" fillId="38" borderId="162" xfId="0" applyFont="1" applyFill="1" applyBorder="1" applyAlignment="1">
      <alignment horizontal="center" vertical="center" wrapText="1"/>
    </xf>
    <xf numFmtId="168" fontId="7" fillId="18" borderId="109" xfId="30" applyNumberFormat="1" applyFont="1" applyFill="1" applyBorder="1"/>
    <xf numFmtId="168" fontId="7" fillId="18" borderId="103" xfId="30" applyNumberFormat="1" applyFont="1" applyFill="1" applyBorder="1"/>
    <xf numFmtId="0" fontId="12" fillId="18" borderId="55" xfId="0" applyFont="1" applyFill="1" applyBorder="1" applyAlignment="1">
      <alignment wrapText="1"/>
    </xf>
    <xf numFmtId="0" fontId="12" fillId="18" borderId="56" xfId="0" applyFont="1" applyFill="1" applyBorder="1" applyAlignment="1">
      <alignment wrapText="1"/>
    </xf>
    <xf numFmtId="41" fontId="12" fillId="38" borderId="46" xfId="0" applyNumberFormat="1" applyFont="1" applyFill="1" applyBorder="1" applyAlignment="1">
      <alignment wrapText="1"/>
    </xf>
    <xf numFmtId="41" fontId="12" fillId="38" borderId="60" xfId="0" applyNumberFormat="1" applyFont="1" applyFill="1" applyBorder="1" applyAlignment="1">
      <alignment wrapText="1"/>
    </xf>
    <xf numFmtId="0" fontId="12" fillId="18" borderId="46" xfId="0" applyFont="1" applyFill="1" applyBorder="1" applyAlignment="1">
      <alignment wrapText="1"/>
    </xf>
    <xf numFmtId="0" fontId="12" fillId="18" borderId="60" xfId="0" applyFont="1" applyFill="1" applyBorder="1" applyAlignment="1">
      <alignment wrapText="1"/>
    </xf>
    <xf numFmtId="0" fontId="12" fillId="18" borderId="55" xfId="0" applyFont="1" applyFill="1" applyBorder="1" applyAlignment="1">
      <alignment horizontal="left" vertical="top" wrapText="1"/>
    </xf>
    <xf numFmtId="0" fontId="12" fillId="18" borderId="56" xfId="0" applyFont="1" applyFill="1" applyBorder="1" applyAlignment="1">
      <alignment horizontal="left" vertical="top" wrapText="1"/>
    </xf>
    <xf numFmtId="0" fontId="7" fillId="33" borderId="21" xfId="0" applyFont="1" applyFill="1" applyBorder="1"/>
    <xf numFmtId="0" fontId="7" fillId="33" borderId="19" xfId="0" applyFont="1" applyFill="1" applyBorder="1" applyAlignment="1">
      <alignment horizontal="left"/>
    </xf>
    <xf numFmtId="0" fontId="7" fillId="33" borderId="19" xfId="0" applyFont="1" applyFill="1" applyBorder="1"/>
    <xf numFmtId="0" fontId="16" fillId="29" borderId="89" xfId="0" applyFont="1" applyFill="1" applyBorder="1" applyAlignment="1">
      <alignment horizontal="left" vertical="center" wrapText="1"/>
    </xf>
    <xf numFmtId="0" fontId="16" fillId="29" borderId="62" xfId="0" applyFont="1" applyFill="1" applyBorder="1" applyAlignment="1">
      <alignment horizontal="left" vertical="center" wrapText="1"/>
    </xf>
    <xf numFmtId="168" fontId="7" fillId="18" borderId="62" xfId="30" applyNumberFormat="1" applyFont="1" applyFill="1" applyBorder="1" applyAlignment="1">
      <alignment horizontal="right"/>
    </xf>
    <xf numFmtId="168" fontId="7" fillId="38" borderId="62" xfId="30" applyNumberFormat="1" applyFont="1" applyFill="1" applyBorder="1" applyAlignment="1">
      <alignment horizontal="right"/>
    </xf>
    <xf numFmtId="168" fontId="7" fillId="31" borderId="75" xfId="0" applyNumberFormat="1" applyFont="1" applyFill="1" applyBorder="1" applyAlignment="1">
      <alignment horizontal="right" wrapText="1"/>
    </xf>
    <xf numFmtId="168" fontId="7" fillId="31" borderId="77" xfId="0" applyNumberFormat="1" applyFont="1" applyFill="1" applyBorder="1" applyAlignment="1">
      <alignment horizontal="right" wrapText="1"/>
    </xf>
    <xf numFmtId="168" fontId="7" fillId="38" borderId="63" xfId="0" applyNumberFormat="1" applyFont="1" applyFill="1" applyBorder="1" applyAlignment="1">
      <alignment horizontal="right"/>
    </xf>
    <xf numFmtId="168" fontId="7" fillId="25" borderId="165" xfId="0" applyNumberFormat="1" applyFont="1" applyFill="1" applyBorder="1" applyAlignment="1">
      <alignment horizontal="right"/>
    </xf>
    <xf numFmtId="168" fontId="10" fillId="30" borderId="64" xfId="0" applyNumberFormat="1" applyFont="1" applyFill="1" applyBorder="1" applyAlignment="1">
      <alignment horizontal="right"/>
    </xf>
    <xf numFmtId="168" fontId="10" fillId="30" borderId="67" xfId="0" applyNumberFormat="1" applyFont="1" applyFill="1" applyBorder="1" applyAlignment="1">
      <alignment horizontal="right"/>
    </xf>
    <xf numFmtId="168" fontId="7" fillId="29" borderId="62" xfId="30" applyNumberFormat="1" applyFont="1" applyFill="1" applyBorder="1" applyAlignment="1">
      <alignment horizontal="right"/>
    </xf>
    <xf numFmtId="168" fontId="7" fillId="18" borderId="89" xfId="30" applyNumberFormat="1" applyFont="1" applyFill="1" applyBorder="1" applyAlignment="1">
      <alignment horizontal="right"/>
    </xf>
    <xf numFmtId="168" fontId="7" fillId="29" borderId="66" xfId="30" applyNumberFormat="1" applyFont="1" applyFill="1" applyBorder="1" applyAlignment="1">
      <alignment horizontal="right"/>
    </xf>
    <xf numFmtId="168" fontId="7" fillId="31" borderId="82" xfId="0" applyNumberFormat="1" applyFont="1" applyFill="1" applyBorder="1" applyAlignment="1">
      <alignment horizontal="right" wrapText="1"/>
    </xf>
    <xf numFmtId="0" fontId="7" fillId="29" borderId="46" xfId="0" applyFont="1" applyFill="1" applyBorder="1" applyAlignment="1">
      <alignment horizontal="right" wrapText="1"/>
    </xf>
    <xf numFmtId="0" fontId="7" fillId="29" borderId="60" xfId="0" applyFont="1" applyFill="1" applyBorder="1" applyAlignment="1">
      <alignment horizontal="right" wrapText="1"/>
    </xf>
    <xf numFmtId="168" fontId="7" fillId="31" borderId="60" xfId="0" applyNumberFormat="1" applyFont="1" applyFill="1" applyBorder="1" applyAlignment="1">
      <alignment horizontal="right" wrapText="1"/>
    </xf>
    <xf numFmtId="168" fontId="7" fillId="29" borderId="60" xfId="0" applyNumberFormat="1" applyFont="1" applyFill="1" applyBorder="1" applyAlignment="1">
      <alignment horizontal="right" wrapText="1"/>
    </xf>
    <xf numFmtId="168" fontId="7" fillId="31" borderId="90" xfId="0" applyNumberFormat="1" applyFont="1" applyFill="1" applyBorder="1" applyAlignment="1">
      <alignment horizontal="right" wrapText="1"/>
    </xf>
    <xf numFmtId="0" fontId="7" fillId="29" borderId="63" xfId="0" applyFont="1" applyFill="1" applyBorder="1" applyAlignment="1">
      <alignment horizontal="right" wrapText="1"/>
    </xf>
    <xf numFmtId="168" fontId="7" fillId="31" borderId="63" xfId="0" applyNumberFormat="1" applyFont="1" applyFill="1" applyBorder="1" applyAlignment="1">
      <alignment horizontal="right" wrapText="1"/>
    </xf>
    <xf numFmtId="168" fontId="7" fillId="29" borderId="63" xfId="0" applyNumberFormat="1" applyFont="1" applyFill="1" applyBorder="1" applyAlignment="1">
      <alignment horizontal="right" wrapText="1"/>
    </xf>
    <xf numFmtId="168" fontId="7" fillId="29" borderId="90" xfId="0" applyNumberFormat="1" applyFont="1" applyFill="1" applyBorder="1"/>
    <xf numFmtId="168" fontId="7" fillId="30" borderId="63" xfId="0" applyNumberFormat="1" applyFont="1" applyFill="1" applyBorder="1"/>
    <xf numFmtId="0" fontId="7" fillId="33" borderId="46" xfId="30" applyNumberFormat="1" applyFont="1" applyFill="1" applyBorder="1"/>
    <xf numFmtId="168" fontId="7" fillId="18" borderId="76" xfId="30" applyNumberFormat="1" applyFont="1" applyFill="1" applyBorder="1"/>
    <xf numFmtId="168" fontId="7" fillId="38" borderId="76" xfId="30" applyNumberFormat="1" applyFont="1" applyFill="1" applyBorder="1"/>
    <xf numFmtId="164" fontId="7" fillId="31" borderId="76" xfId="44" applyNumberFormat="1" applyFont="1" applyFill="1" applyBorder="1"/>
    <xf numFmtId="170" fontId="7" fillId="38" borderId="76" xfId="30" applyNumberFormat="1" applyFont="1" applyFill="1" applyBorder="1"/>
    <xf numFmtId="168" fontId="7" fillId="30" borderId="116" xfId="0" applyNumberFormat="1" applyFont="1" applyFill="1" applyBorder="1"/>
    <xf numFmtId="168" fontId="7" fillId="18" borderId="77" xfId="30" applyNumberFormat="1" applyFont="1" applyFill="1" applyBorder="1"/>
    <xf numFmtId="168" fontId="7" fillId="38" borderId="77" xfId="30" applyNumberFormat="1" applyFont="1" applyFill="1" applyBorder="1"/>
    <xf numFmtId="164" fontId="7" fillId="31" borderId="77" xfId="44" applyNumberFormat="1" applyFont="1" applyFill="1" applyBorder="1"/>
    <xf numFmtId="170" fontId="7" fillId="38" borderId="77" xfId="30" applyNumberFormat="1" applyFont="1" applyFill="1" applyBorder="1"/>
    <xf numFmtId="0" fontId="7" fillId="33" borderId="77" xfId="30" applyNumberFormat="1" applyFont="1" applyFill="1" applyBorder="1"/>
    <xf numFmtId="168" fontId="7" fillId="30" borderId="147" xfId="0" applyNumberFormat="1" applyFont="1" applyFill="1" applyBorder="1"/>
    <xf numFmtId="168" fontId="7" fillId="29" borderId="74" xfId="0" applyNumberFormat="1" applyFont="1" applyFill="1" applyBorder="1"/>
    <xf numFmtId="168" fontId="7" fillId="38" borderId="76" xfId="0" applyNumberFormat="1" applyFont="1" applyFill="1" applyBorder="1"/>
    <xf numFmtId="168" fontId="7" fillId="30" borderId="76" xfId="0" applyNumberFormat="1" applyFont="1" applyFill="1" applyBorder="1"/>
    <xf numFmtId="168" fontId="7" fillId="29" borderId="74" xfId="0" applyNumberFormat="1" applyFont="1" applyFill="1" applyBorder="1" applyAlignment="1">
      <alignment horizontal="right" wrapText="1"/>
    </xf>
    <xf numFmtId="168" fontId="7" fillId="29" borderId="76" xfId="30" applyNumberFormat="1" applyFont="1" applyFill="1" applyBorder="1" applyAlignment="1">
      <alignment horizontal="right"/>
    </xf>
    <xf numFmtId="43" fontId="7" fillId="29" borderId="76" xfId="30" applyFont="1" applyFill="1" applyBorder="1" applyAlignment="1">
      <alignment horizontal="right"/>
    </xf>
    <xf numFmtId="168" fontId="10" fillId="30" borderId="76" xfId="0" applyNumberFormat="1" applyFont="1" applyFill="1" applyBorder="1" applyAlignment="1">
      <alignment horizontal="right"/>
    </xf>
    <xf numFmtId="168" fontId="7" fillId="25" borderId="76" xfId="0" applyNumberFormat="1" applyFont="1" applyFill="1" applyBorder="1" applyAlignment="1">
      <alignment horizontal="right"/>
    </xf>
    <xf numFmtId="168" fontId="7" fillId="29" borderId="77" xfId="30" applyNumberFormat="1" applyFont="1" applyFill="1" applyBorder="1" applyAlignment="1">
      <alignment horizontal="right"/>
    </xf>
    <xf numFmtId="168" fontId="10" fillId="30" borderId="77" xfId="0" applyNumberFormat="1" applyFont="1" applyFill="1" applyBorder="1" applyAlignment="1">
      <alignment horizontal="right"/>
    </xf>
    <xf numFmtId="168" fontId="7" fillId="25" borderId="77" xfId="0" applyNumberFormat="1" applyFont="1" applyFill="1" applyBorder="1" applyAlignment="1">
      <alignment horizontal="right"/>
    </xf>
    <xf numFmtId="168" fontId="7" fillId="29" borderId="76" xfId="0" applyNumberFormat="1" applyFont="1" applyFill="1" applyBorder="1" applyAlignment="1">
      <alignment horizontal="right" wrapText="1"/>
    </xf>
    <xf numFmtId="168" fontId="10" fillId="30" borderId="134" xfId="0" applyNumberFormat="1" applyFont="1" applyFill="1" applyBorder="1" applyAlignment="1">
      <alignment horizontal="right"/>
    </xf>
    <xf numFmtId="168" fontId="10" fillId="30" borderId="166" xfId="0" applyNumberFormat="1" applyFont="1" applyFill="1" applyBorder="1" applyAlignment="1">
      <alignment horizontal="right"/>
    </xf>
    <xf numFmtId="166" fontId="7" fillId="18" borderId="46" xfId="30" applyNumberFormat="1" applyFont="1" applyFill="1" applyBorder="1"/>
    <xf numFmtId="0" fontId="69" fillId="49" borderId="60" xfId="0" applyFont="1" applyFill="1" applyBorder="1" applyAlignment="1">
      <alignment horizontal="center" vertical="center" wrapText="1"/>
    </xf>
    <xf numFmtId="0" fontId="69" fillId="49" borderId="64" xfId="0" applyFont="1" applyFill="1" applyBorder="1" applyAlignment="1">
      <alignment horizontal="center" vertical="center"/>
    </xf>
    <xf numFmtId="168" fontId="7" fillId="18" borderId="76" xfId="30" applyNumberFormat="1" applyFont="1" applyFill="1" applyBorder="1" applyAlignment="1">
      <alignment horizontal="right"/>
    </xf>
    <xf numFmtId="0" fontId="7" fillId="25" borderId="35" xfId="0" applyFont="1" applyFill="1" applyBorder="1" applyAlignment="1" applyProtection="1">
      <alignment vertical="center"/>
      <protection locked="0"/>
    </xf>
    <xf numFmtId="0" fontId="7" fillId="25" borderId="34" xfId="0" applyFont="1" applyFill="1" applyBorder="1" applyAlignment="1" applyProtection="1">
      <alignment vertical="center"/>
      <protection locked="0"/>
    </xf>
    <xf numFmtId="0" fontId="7" fillId="38" borderId="44" xfId="0" applyFont="1" applyFill="1" applyBorder="1" applyAlignment="1" applyProtection="1">
      <alignment horizontal="right"/>
      <protection locked="0"/>
    </xf>
    <xf numFmtId="0" fontId="7" fillId="38" borderId="82" xfId="0" applyFont="1" applyFill="1" applyBorder="1" applyAlignment="1" applyProtection="1">
      <alignment horizontal="right"/>
      <protection locked="0"/>
    </xf>
    <xf numFmtId="0" fontId="7" fillId="38" borderId="90" xfId="0" applyFont="1" applyFill="1" applyBorder="1" applyAlignment="1" applyProtection="1">
      <alignment horizontal="right"/>
      <protection locked="0"/>
    </xf>
    <xf numFmtId="168" fontId="7" fillId="43" borderId="63" xfId="30" applyNumberFormat="1" applyFont="1" applyFill="1" applyBorder="1" applyAlignment="1">
      <alignment horizontal="right"/>
    </xf>
    <xf numFmtId="168" fontId="7" fillId="25" borderId="62" xfId="30" applyNumberFormat="1" applyFont="1" applyFill="1" applyBorder="1"/>
    <xf numFmtId="168" fontId="49" fillId="31" borderId="106" xfId="30" applyNumberFormat="1" applyFont="1" applyFill="1" applyBorder="1"/>
    <xf numFmtId="168" fontId="49" fillId="31" borderId="107" xfId="30" applyNumberFormat="1" applyFont="1" applyFill="1" applyBorder="1"/>
    <xf numFmtId="168" fontId="10" fillId="29" borderId="89" xfId="0" applyNumberFormat="1" applyFont="1" applyFill="1" applyBorder="1" applyAlignment="1">
      <alignment horizontal="left" vertical="center" wrapText="1"/>
    </xf>
    <xf numFmtId="168" fontId="10" fillId="29" borderId="62" xfId="0" applyNumberFormat="1" applyFont="1" applyFill="1" applyBorder="1" applyAlignment="1">
      <alignment horizontal="left" vertical="center" wrapText="1"/>
    </xf>
    <xf numFmtId="168" fontId="16" fillId="34" borderId="66" xfId="30" applyNumberFormat="1" applyFont="1" applyFill="1" applyBorder="1"/>
    <xf numFmtId="168" fontId="7" fillId="31" borderId="24" xfId="30" applyNumberFormat="1" applyFont="1" applyFill="1" applyBorder="1"/>
    <xf numFmtId="168" fontId="7" fillId="31" borderId="125" xfId="30" applyNumberFormat="1" applyFont="1" applyFill="1" applyBorder="1"/>
    <xf numFmtId="168" fontId="10" fillId="48" borderId="55" xfId="0" applyNumberFormat="1" applyFont="1" applyFill="1" applyBorder="1" applyAlignment="1">
      <alignment horizontal="left" vertical="center" wrapText="1"/>
    </xf>
    <xf numFmtId="168" fontId="10" fillId="48" borderId="59" xfId="0" applyNumberFormat="1" applyFont="1" applyFill="1" applyBorder="1" applyAlignment="1">
      <alignment horizontal="left" vertical="center" wrapText="1"/>
    </xf>
    <xf numFmtId="168" fontId="10" fillId="34" borderId="46" xfId="30" applyNumberFormat="1" applyFont="1" applyFill="1" applyBorder="1"/>
    <xf numFmtId="168" fontId="10" fillId="34" borderId="60" xfId="30" applyNumberFormat="1" applyFont="1" applyFill="1" applyBorder="1"/>
    <xf numFmtId="168" fontId="10" fillId="34" borderId="63" xfId="30" applyNumberFormat="1" applyFont="1" applyFill="1" applyBorder="1"/>
    <xf numFmtId="168" fontId="10" fillId="34" borderId="64" xfId="30" applyNumberFormat="1" applyFont="1" applyFill="1" applyBorder="1"/>
    <xf numFmtId="168" fontId="10" fillId="34" borderId="67" xfId="30" applyNumberFormat="1" applyFont="1" applyFill="1" applyBorder="1"/>
    <xf numFmtId="168" fontId="7" fillId="29" borderId="76" xfId="30" applyNumberFormat="1" applyFont="1" applyFill="1" applyBorder="1"/>
    <xf numFmtId="168" fontId="7" fillId="29" borderId="116" xfId="30" applyNumberFormat="1" applyFont="1" applyFill="1" applyBorder="1"/>
    <xf numFmtId="9" fontId="7" fillId="48" borderId="97" xfId="44" applyFont="1" applyFill="1" applyBorder="1"/>
    <xf numFmtId="168" fontId="10" fillId="34" borderId="76" xfId="30" applyNumberFormat="1" applyFont="1" applyFill="1" applyBorder="1"/>
    <xf numFmtId="168" fontId="10" fillId="34" borderId="134" xfId="30" applyNumberFormat="1" applyFont="1" applyFill="1" applyBorder="1"/>
    <xf numFmtId="0" fontId="7" fillId="38" borderId="166" xfId="0" applyFont="1" applyFill="1" applyBorder="1" applyAlignment="1" applyProtection="1">
      <alignment vertical="center" wrapText="1"/>
      <protection locked="0"/>
    </xf>
    <xf numFmtId="0" fontId="7" fillId="38" borderId="24" xfId="0" applyFont="1" applyFill="1" applyBorder="1" applyAlignment="1" applyProtection="1">
      <alignment vertical="center" wrapText="1"/>
      <protection locked="0"/>
    </xf>
    <xf numFmtId="0" fontId="7" fillId="14" borderId="41" xfId="0" applyFont="1" applyFill="1" applyBorder="1" applyAlignment="1" applyProtection="1">
      <alignment vertical="center" wrapText="1"/>
      <protection locked="0"/>
    </xf>
    <xf numFmtId="0" fontId="7" fillId="14" borderId="13" xfId="0" applyFont="1" applyFill="1" applyBorder="1" applyAlignment="1" applyProtection="1">
      <alignment vertical="center" wrapText="1"/>
      <protection locked="0"/>
    </xf>
    <xf numFmtId="0" fontId="7" fillId="18" borderId="46" xfId="30" applyNumberFormat="1" applyFont="1" applyFill="1" applyBorder="1"/>
    <xf numFmtId="168" fontId="7" fillId="29" borderId="55" xfId="30" applyNumberFormat="1" applyFont="1" applyFill="1" applyBorder="1"/>
    <xf numFmtId="168" fontId="7" fillId="29" borderId="59" xfId="30" applyNumberFormat="1" applyFont="1" applyFill="1" applyBorder="1"/>
    <xf numFmtId="0" fontId="49" fillId="33" borderId="115" xfId="0" applyFont="1" applyFill="1" applyBorder="1" applyAlignment="1">
      <alignment horizontal="left" vertical="center" wrapText="1"/>
    </xf>
    <xf numFmtId="168" fontId="49" fillId="38" borderId="24" xfId="30" applyNumberFormat="1" applyFont="1" applyFill="1" applyBorder="1" applyAlignment="1">
      <alignment horizontal="right"/>
    </xf>
    <xf numFmtId="168" fontId="7" fillId="31" borderId="109" xfId="30" applyNumberFormat="1" applyFont="1" applyFill="1" applyBorder="1"/>
    <xf numFmtId="168" fontId="7" fillId="31" borderId="103" xfId="30" applyNumberFormat="1" applyFont="1" applyFill="1" applyBorder="1"/>
    <xf numFmtId="168" fontId="7" fillId="31" borderId="62" xfId="30" applyNumberFormat="1" applyFont="1" applyFill="1" applyBorder="1"/>
    <xf numFmtId="168" fontId="7" fillId="31" borderId="170" xfId="30" applyNumberFormat="1" applyFont="1" applyFill="1" applyBorder="1"/>
    <xf numFmtId="168" fontId="7" fillId="31" borderId="76" xfId="30" applyNumberFormat="1" applyFont="1" applyFill="1" applyBorder="1" applyAlignment="1">
      <alignment horizontal="right"/>
    </xf>
    <xf numFmtId="168" fontId="7" fillId="31" borderId="77" xfId="30" applyNumberFormat="1" applyFont="1" applyFill="1" applyBorder="1" applyAlignment="1">
      <alignment horizontal="right"/>
    </xf>
    <xf numFmtId="168" fontId="7" fillId="29" borderId="90" xfId="30" applyNumberFormat="1" applyFont="1" applyFill="1" applyBorder="1" applyAlignment="1">
      <alignment horizontal="right"/>
    </xf>
    <xf numFmtId="168" fontId="7" fillId="29" borderId="74" xfId="30" applyNumberFormat="1" applyFont="1" applyFill="1" applyBorder="1" applyAlignment="1">
      <alignment horizontal="right"/>
    </xf>
    <xf numFmtId="168" fontId="7" fillId="29" borderId="112" xfId="30" applyNumberFormat="1" applyFont="1" applyFill="1" applyBorder="1" applyAlignment="1">
      <alignment horizontal="right"/>
    </xf>
    <xf numFmtId="168" fontId="7" fillId="18" borderId="139" xfId="30" applyNumberFormat="1" applyFont="1" applyFill="1" applyBorder="1" applyAlignment="1">
      <alignment horizontal="right"/>
    </xf>
    <xf numFmtId="168" fontId="7" fillId="31" borderId="139" xfId="30" applyNumberFormat="1" applyFont="1" applyFill="1" applyBorder="1" applyAlignment="1">
      <alignment horizontal="right"/>
    </xf>
    <xf numFmtId="168" fontId="7" fillId="29" borderId="139" xfId="30" applyNumberFormat="1" applyFont="1" applyFill="1" applyBorder="1" applyAlignment="1">
      <alignment horizontal="right"/>
    </xf>
    <xf numFmtId="168" fontId="7" fillId="30" borderId="46" xfId="30" applyNumberFormat="1" applyFont="1" applyFill="1" applyBorder="1" applyAlignment="1">
      <alignment horizontal="right"/>
    </xf>
    <xf numFmtId="168" fontId="7" fillId="30" borderId="60" xfId="30" applyNumberFormat="1" applyFont="1" applyFill="1" applyBorder="1" applyAlignment="1">
      <alignment horizontal="right"/>
    </xf>
    <xf numFmtId="168" fontId="7" fillId="30" borderId="63" xfId="30" applyNumberFormat="1" applyFont="1" applyFill="1" applyBorder="1" applyAlignment="1">
      <alignment horizontal="right"/>
    </xf>
    <xf numFmtId="168" fontId="7" fillId="30" borderId="76" xfId="30" applyNumberFormat="1" applyFont="1" applyFill="1" applyBorder="1" applyAlignment="1">
      <alignment horizontal="right"/>
    </xf>
    <xf numFmtId="168" fontId="7" fillId="30" borderId="139" xfId="30" applyNumberFormat="1" applyFont="1" applyFill="1" applyBorder="1" applyAlignment="1">
      <alignment horizontal="right"/>
    </xf>
    <xf numFmtId="168" fontId="10" fillId="30" borderId="64" xfId="0" applyNumberFormat="1" applyFont="1" applyFill="1" applyBorder="1" applyAlignment="1">
      <alignment horizontal="right" vertical="center"/>
    </xf>
    <xf numFmtId="168" fontId="10" fillId="30" borderId="67" xfId="0" applyNumberFormat="1" applyFont="1" applyFill="1" applyBorder="1" applyAlignment="1">
      <alignment horizontal="right" vertical="center"/>
    </xf>
    <xf numFmtId="168" fontId="10" fillId="30" borderId="145" xfId="0" applyNumberFormat="1" applyFont="1" applyFill="1" applyBorder="1" applyAlignment="1">
      <alignment horizontal="right" vertical="center"/>
    </xf>
    <xf numFmtId="0" fontId="7" fillId="51" borderId="21" xfId="0" applyFont="1" applyFill="1" applyBorder="1"/>
    <xf numFmtId="0" fontId="7" fillId="51" borderId="22" xfId="0" applyFont="1" applyFill="1" applyBorder="1"/>
    <xf numFmtId="0" fontId="7" fillId="51" borderId="23" xfId="0" applyFont="1" applyFill="1" applyBorder="1"/>
    <xf numFmtId="0" fontId="7" fillId="51" borderId="22" xfId="0" applyFont="1" applyFill="1" applyBorder="1" applyAlignment="1">
      <alignment horizontal="right"/>
    </xf>
    <xf numFmtId="0" fontId="7" fillId="51" borderId="23" xfId="0" applyFont="1" applyFill="1" applyBorder="1" applyAlignment="1">
      <alignment horizontal="right"/>
    </xf>
    <xf numFmtId="0" fontId="7" fillId="29" borderId="50" xfId="0" applyFont="1" applyFill="1" applyBorder="1" applyAlignment="1">
      <alignment vertical="center" wrapText="1"/>
    </xf>
    <xf numFmtId="0" fontId="7" fillId="29" borderId="76" xfId="0" applyFont="1" applyFill="1" applyBorder="1" applyAlignment="1">
      <alignment vertical="center" wrapText="1"/>
    </xf>
    <xf numFmtId="0" fontId="7" fillId="29" borderId="77" xfId="0" applyFont="1" applyFill="1" applyBorder="1" applyAlignment="1">
      <alignment vertical="center" wrapText="1"/>
    </xf>
    <xf numFmtId="0" fontId="7" fillId="29" borderId="76" xfId="0" applyFont="1" applyFill="1" applyBorder="1" applyAlignment="1">
      <alignment horizontal="right" vertical="center"/>
    </xf>
    <xf numFmtId="0" fontId="7" fillId="29" borderId="77" xfId="0" applyFont="1" applyFill="1" applyBorder="1" applyAlignment="1">
      <alignment horizontal="right" vertical="center" wrapText="1"/>
    </xf>
    <xf numFmtId="168" fontId="10" fillId="30" borderId="46" xfId="0" applyNumberFormat="1" applyFont="1" applyFill="1" applyBorder="1" applyAlignment="1">
      <alignment horizontal="left" vertical="center" wrapText="1"/>
    </xf>
    <xf numFmtId="168" fontId="10" fillId="30" borderId="60" xfId="0" applyNumberFormat="1" applyFont="1" applyFill="1" applyBorder="1" applyAlignment="1">
      <alignment horizontal="left" vertical="center" wrapText="1"/>
    </xf>
    <xf numFmtId="168" fontId="10" fillId="30" borderId="63" xfId="0" applyNumberFormat="1" applyFont="1" applyFill="1" applyBorder="1" applyAlignment="1">
      <alignment horizontal="left" vertical="center" wrapText="1"/>
    </xf>
    <xf numFmtId="168" fontId="10" fillId="30" borderId="76" xfId="0" applyNumberFormat="1" applyFont="1" applyFill="1" applyBorder="1" applyAlignment="1">
      <alignment horizontal="right" vertical="center"/>
    </xf>
    <xf numFmtId="168" fontId="10" fillId="30" borderId="77" xfId="0" applyNumberFormat="1" applyFont="1" applyFill="1" applyBorder="1" applyAlignment="1">
      <alignment horizontal="right" vertical="center" wrapText="1"/>
    </xf>
    <xf numFmtId="168" fontId="10" fillId="30" borderId="64" xfId="0" applyNumberFormat="1" applyFont="1" applyFill="1" applyBorder="1" applyAlignment="1">
      <alignment horizontal="left" vertical="center" wrapText="1"/>
    </xf>
    <xf numFmtId="168" fontId="10" fillId="30" borderId="67" xfId="0" applyNumberFormat="1" applyFont="1" applyFill="1" applyBorder="1" applyAlignment="1">
      <alignment horizontal="left" vertical="center" wrapText="1"/>
    </xf>
    <xf numFmtId="168" fontId="10" fillId="30" borderId="116" xfId="0" applyNumberFormat="1" applyFont="1" applyFill="1" applyBorder="1" applyAlignment="1">
      <alignment horizontal="right" vertical="center"/>
    </xf>
    <xf numFmtId="168" fontId="10" fillId="30" borderId="147" xfId="0" applyNumberFormat="1" applyFont="1" applyFill="1" applyBorder="1" applyAlignment="1">
      <alignment horizontal="right" vertical="center" wrapText="1"/>
    </xf>
    <xf numFmtId="168" fontId="7" fillId="29" borderId="21" xfId="30" applyNumberFormat="1" applyFont="1" applyFill="1" applyBorder="1" applyAlignment="1">
      <alignment horizontal="right"/>
    </xf>
    <xf numFmtId="168" fontId="7" fillId="29" borderId="22" xfId="30" applyNumberFormat="1" applyFont="1" applyFill="1" applyBorder="1" applyAlignment="1">
      <alignment horizontal="right"/>
    </xf>
    <xf numFmtId="168" fontId="7" fillId="29" borderId="23" xfId="30" applyNumberFormat="1" applyFont="1" applyFill="1" applyBorder="1" applyAlignment="1">
      <alignment horizontal="right"/>
    </xf>
    <xf numFmtId="168" fontId="7" fillId="29" borderId="58" xfId="30" applyNumberFormat="1" applyFont="1" applyFill="1" applyBorder="1" applyAlignment="1">
      <alignment horizontal="right"/>
    </xf>
    <xf numFmtId="168" fontId="7" fillId="29" borderId="56" xfId="30" applyNumberFormat="1" applyFont="1" applyFill="1" applyBorder="1" applyAlignment="1">
      <alignment horizontal="right"/>
    </xf>
    <xf numFmtId="168" fontId="7" fillId="38" borderId="19" xfId="30" applyNumberFormat="1" applyFont="1" applyFill="1" applyBorder="1" applyAlignment="1">
      <alignment horizontal="right"/>
    </xf>
    <xf numFmtId="168" fontId="7" fillId="38" borderId="0" xfId="30" applyNumberFormat="1" applyFont="1" applyFill="1" applyBorder="1" applyAlignment="1">
      <alignment horizontal="right"/>
    </xf>
    <xf numFmtId="168" fontId="7" fillId="38" borderId="24" xfId="30" applyNumberFormat="1" applyFont="1" applyFill="1" applyBorder="1" applyAlignment="1">
      <alignment horizontal="right"/>
    </xf>
    <xf numFmtId="168" fontId="7" fillId="29" borderId="19" xfId="30" applyNumberFormat="1" applyFont="1" applyFill="1" applyBorder="1" applyAlignment="1">
      <alignment horizontal="right"/>
    </xf>
    <xf numFmtId="168" fontId="7" fillId="29" borderId="0" xfId="30" applyNumberFormat="1" applyFont="1" applyFill="1" applyBorder="1" applyAlignment="1">
      <alignment horizontal="right"/>
    </xf>
    <xf numFmtId="168" fontId="7" fillId="29" borderId="24" xfId="30" applyNumberFormat="1" applyFont="1" applyFill="1" applyBorder="1" applyAlignment="1">
      <alignment horizontal="right"/>
    </xf>
    <xf numFmtId="168" fontId="7" fillId="38" borderId="168" xfId="30" applyNumberFormat="1" applyFont="1" applyFill="1" applyBorder="1" applyAlignment="1">
      <alignment horizontal="right"/>
    </xf>
    <xf numFmtId="168" fontId="7" fillId="38" borderId="113" xfId="30" applyNumberFormat="1" applyFont="1" applyFill="1" applyBorder="1" applyAlignment="1">
      <alignment horizontal="right"/>
    </xf>
    <xf numFmtId="168" fontId="7" fillId="38" borderId="169" xfId="30" applyNumberFormat="1" applyFont="1" applyFill="1" applyBorder="1" applyAlignment="1">
      <alignment horizontal="right"/>
    </xf>
    <xf numFmtId="168" fontId="7" fillId="30" borderId="62" xfId="30" applyNumberFormat="1" applyFont="1" applyFill="1" applyBorder="1" applyAlignment="1">
      <alignment horizontal="right"/>
    </xf>
    <xf numFmtId="168" fontId="10" fillId="30" borderId="66" xfId="0" applyNumberFormat="1" applyFont="1" applyFill="1" applyBorder="1" applyAlignment="1">
      <alignment horizontal="right" vertical="center"/>
    </xf>
    <xf numFmtId="168" fontId="10" fillId="30" borderId="78" xfId="0" applyNumberFormat="1" applyFont="1" applyFill="1" applyBorder="1" applyAlignment="1">
      <alignment horizontal="right" vertical="center"/>
    </xf>
    <xf numFmtId="168" fontId="10" fillId="30" borderId="79" xfId="0" applyNumberFormat="1" applyFont="1" applyFill="1" applyBorder="1" applyAlignment="1">
      <alignment horizontal="right" vertical="center"/>
    </xf>
    <xf numFmtId="168" fontId="10" fillId="30" borderId="80" xfId="0" applyNumberFormat="1" applyFont="1" applyFill="1" applyBorder="1" applyAlignment="1">
      <alignment horizontal="right" vertical="center"/>
    </xf>
    <xf numFmtId="168" fontId="10" fillId="30" borderId="81" xfId="0" applyNumberFormat="1" applyFont="1" applyFill="1" applyBorder="1" applyAlignment="1">
      <alignment horizontal="right" vertical="center"/>
    </xf>
    <xf numFmtId="0" fontId="7" fillId="29" borderId="99" xfId="0" applyFont="1" applyFill="1" applyBorder="1" applyAlignment="1">
      <alignment vertical="center" wrapText="1"/>
    </xf>
    <xf numFmtId="168" fontId="10" fillId="30" borderId="109" xfId="0" applyNumberFormat="1" applyFont="1" applyFill="1" applyBorder="1" applyAlignment="1">
      <alignment horizontal="left" vertical="center" wrapText="1"/>
    </xf>
    <xf numFmtId="168" fontId="10" fillId="30" borderId="43" xfId="0" applyNumberFormat="1" applyFont="1" applyFill="1" applyBorder="1" applyAlignment="1">
      <alignment horizontal="left" vertical="center" wrapText="1"/>
    </xf>
    <xf numFmtId="168" fontId="10" fillId="30" borderId="103" xfId="0" applyNumberFormat="1" applyFont="1" applyFill="1" applyBorder="1" applyAlignment="1">
      <alignment horizontal="left" vertical="center" wrapText="1"/>
    </xf>
    <xf numFmtId="168" fontId="10" fillId="30" borderId="170" xfId="0" applyNumberFormat="1" applyFont="1" applyFill="1" applyBorder="1" applyAlignment="1">
      <alignment horizontal="left" vertical="center" wrapText="1"/>
    </xf>
    <xf numFmtId="168" fontId="10" fillId="30" borderId="62" xfId="0" applyNumberFormat="1" applyFont="1" applyFill="1" applyBorder="1" applyAlignment="1">
      <alignment horizontal="left" vertical="center" wrapText="1"/>
    </xf>
    <xf numFmtId="168" fontId="10" fillId="30" borderId="110" xfId="0" applyNumberFormat="1" applyFont="1" applyFill="1" applyBorder="1" applyAlignment="1">
      <alignment horizontal="left" vertical="center" wrapText="1"/>
    </xf>
    <xf numFmtId="168" fontId="10" fillId="30" borderId="104" xfId="0" applyNumberFormat="1" applyFont="1" applyFill="1" applyBorder="1" applyAlignment="1">
      <alignment horizontal="left" vertical="center" wrapText="1"/>
    </xf>
    <xf numFmtId="168" fontId="10" fillId="30" borderId="105" xfId="0" applyNumberFormat="1" applyFont="1" applyFill="1" applyBorder="1" applyAlignment="1">
      <alignment horizontal="left" vertical="center" wrapText="1"/>
    </xf>
    <xf numFmtId="168" fontId="10" fillId="30" borderId="171" xfId="0" applyNumberFormat="1" applyFont="1" applyFill="1" applyBorder="1" applyAlignment="1">
      <alignment horizontal="left" vertical="center" wrapText="1"/>
    </xf>
    <xf numFmtId="168" fontId="49" fillId="25" borderId="163" xfId="30" applyNumberFormat="1" applyFont="1" applyFill="1" applyBorder="1" applyAlignment="1">
      <alignment horizontal="right"/>
    </xf>
    <xf numFmtId="168" fontId="49" fillId="25" borderId="164" xfId="30" applyNumberFormat="1" applyFont="1" applyFill="1" applyBorder="1" applyAlignment="1">
      <alignment horizontal="right"/>
    </xf>
    <xf numFmtId="168" fontId="7" fillId="30" borderId="64" xfId="30" applyNumberFormat="1" applyFont="1" applyFill="1" applyBorder="1"/>
    <xf numFmtId="168" fontId="7" fillId="30" borderId="67" xfId="30" applyNumberFormat="1" applyFont="1" applyFill="1" applyBorder="1"/>
    <xf numFmtId="168" fontId="7" fillId="25" borderId="163" xfId="30" applyNumberFormat="1" applyFont="1" applyFill="1" applyBorder="1" applyAlignment="1">
      <alignment horizontal="right"/>
    </xf>
    <xf numFmtId="168" fontId="7" fillId="25" borderId="119" xfId="30" applyNumberFormat="1" applyFont="1" applyFill="1" applyBorder="1" applyAlignment="1">
      <alignment horizontal="right"/>
    </xf>
    <xf numFmtId="168" fontId="7" fillId="25" borderId="164" xfId="30" applyNumberFormat="1" applyFont="1" applyFill="1" applyBorder="1" applyAlignment="1">
      <alignment horizontal="right"/>
    </xf>
    <xf numFmtId="168" fontId="7" fillId="29" borderId="109" xfId="30" applyNumberFormat="1" applyFont="1" applyFill="1" applyBorder="1" applyAlignment="1">
      <alignment horizontal="right"/>
    </xf>
    <xf numFmtId="168" fontId="7" fillId="29" borderId="43" xfId="30" applyNumberFormat="1" applyFont="1" applyFill="1" applyBorder="1" applyAlignment="1">
      <alignment horizontal="right"/>
    </xf>
    <xf numFmtId="168" fontId="7" fillId="29" borderId="103" xfId="30" applyNumberFormat="1" applyFont="1" applyFill="1" applyBorder="1" applyAlignment="1">
      <alignment horizontal="right"/>
    </xf>
    <xf numFmtId="168" fontId="7" fillId="30" borderId="109" xfId="30" applyNumberFormat="1" applyFont="1" applyFill="1" applyBorder="1" applyAlignment="1">
      <alignment horizontal="right"/>
    </xf>
    <xf numFmtId="168" fontId="7" fillId="30" borderId="43" xfId="30" applyNumberFormat="1" applyFont="1" applyFill="1" applyBorder="1" applyAlignment="1">
      <alignment horizontal="right"/>
    </xf>
    <xf numFmtId="168" fontId="7" fillId="30" borderId="103" xfId="30" applyNumberFormat="1" applyFont="1" applyFill="1" applyBorder="1" applyAlignment="1">
      <alignment horizontal="right"/>
    </xf>
    <xf numFmtId="168" fontId="7" fillId="18" borderId="109" xfId="30" applyNumberFormat="1" applyFont="1" applyFill="1" applyBorder="1" applyAlignment="1">
      <alignment horizontal="right"/>
    </xf>
    <xf numFmtId="168" fontId="7" fillId="18" borderId="43" xfId="30" applyNumberFormat="1" applyFont="1" applyFill="1" applyBorder="1" applyAlignment="1">
      <alignment horizontal="right"/>
    </xf>
    <xf numFmtId="168" fontId="7" fillId="18" borderId="103" xfId="30" applyNumberFormat="1" applyFont="1" applyFill="1" applyBorder="1" applyAlignment="1">
      <alignment horizontal="right"/>
    </xf>
    <xf numFmtId="168" fontId="7" fillId="30" borderId="110" xfId="30" applyNumberFormat="1" applyFont="1" applyFill="1" applyBorder="1" applyAlignment="1">
      <alignment horizontal="right"/>
    </xf>
    <xf numFmtId="168" fontId="7" fillId="30" borderId="104" xfId="30" applyNumberFormat="1" applyFont="1" applyFill="1" applyBorder="1" applyAlignment="1">
      <alignment horizontal="right"/>
    </xf>
    <xf numFmtId="168" fontId="7" fillId="30" borderId="105" xfId="30" applyNumberFormat="1" applyFont="1" applyFill="1" applyBorder="1" applyAlignment="1">
      <alignment horizontal="right"/>
    </xf>
    <xf numFmtId="168" fontId="7" fillId="25" borderId="124" xfId="30" applyNumberFormat="1" applyFont="1" applyFill="1" applyBorder="1" applyAlignment="1">
      <alignment horizontal="right"/>
    </xf>
    <xf numFmtId="168" fontId="7" fillId="25" borderId="117" xfId="30" applyNumberFormat="1" applyFont="1" applyFill="1" applyBorder="1" applyAlignment="1">
      <alignment horizontal="right"/>
    </xf>
    <xf numFmtId="168" fontId="7" fillId="25" borderId="122" xfId="30" applyNumberFormat="1" applyFont="1" applyFill="1" applyBorder="1" applyAlignment="1">
      <alignment horizontal="right"/>
    </xf>
    <xf numFmtId="168" fontId="49" fillId="29" borderId="113" xfId="30" applyNumberFormat="1" applyFont="1" applyFill="1" applyBorder="1" applyAlignment="1">
      <alignment horizontal="right"/>
    </xf>
    <xf numFmtId="168" fontId="49" fillId="29" borderId="111" xfId="30" applyNumberFormat="1" applyFont="1" applyFill="1" applyBorder="1" applyAlignment="1">
      <alignment horizontal="right"/>
    </xf>
    <xf numFmtId="168" fontId="49" fillId="30" borderId="111" xfId="30" applyNumberFormat="1" applyFont="1" applyFill="1" applyBorder="1" applyAlignment="1">
      <alignment horizontal="right"/>
    </xf>
    <xf numFmtId="168" fontId="49" fillId="18" borderId="111" xfId="30" applyNumberFormat="1" applyFont="1" applyFill="1" applyBorder="1" applyAlignment="1">
      <alignment horizontal="right"/>
    </xf>
    <xf numFmtId="168" fontId="49" fillId="30" borderId="172" xfId="30" applyNumberFormat="1" applyFont="1" applyFill="1" applyBorder="1" applyAlignment="1">
      <alignment horizontal="right"/>
    </xf>
    <xf numFmtId="168" fontId="49" fillId="29" borderId="114" xfId="30" applyNumberFormat="1" applyFont="1" applyFill="1" applyBorder="1" applyAlignment="1">
      <alignment horizontal="right"/>
    </xf>
    <xf numFmtId="168" fontId="49" fillId="29" borderId="173" xfId="30" applyNumberFormat="1" applyFont="1" applyFill="1" applyBorder="1" applyAlignment="1">
      <alignment horizontal="right"/>
    </xf>
    <xf numFmtId="168" fontId="7" fillId="18" borderId="77" xfId="30" applyNumberFormat="1" applyFont="1" applyFill="1" applyBorder="1" applyAlignment="1">
      <alignment horizontal="right"/>
    </xf>
    <xf numFmtId="168" fontId="49" fillId="30" borderId="173" xfId="30" applyNumberFormat="1" applyFont="1" applyFill="1" applyBorder="1" applyAlignment="1">
      <alignment horizontal="right"/>
    </xf>
    <xf numFmtId="168" fontId="49" fillId="18" borderId="173" xfId="30" applyNumberFormat="1" applyFont="1" applyFill="1" applyBorder="1" applyAlignment="1">
      <alignment horizontal="right"/>
    </xf>
    <xf numFmtId="168" fontId="49" fillId="30" borderId="174" xfId="30" applyNumberFormat="1" applyFont="1" applyFill="1" applyBorder="1" applyAlignment="1">
      <alignment horizontal="right"/>
    </xf>
    <xf numFmtId="43" fontId="7" fillId="25" borderId="46" xfId="0" applyNumberFormat="1" applyFont="1" applyFill="1" applyBorder="1" applyAlignment="1">
      <alignment horizontal="right"/>
    </xf>
    <xf numFmtId="168" fontId="7" fillId="30" borderId="116" xfId="30" applyNumberFormat="1" applyFont="1" applyFill="1" applyBorder="1" applyAlignment="1">
      <alignment horizontal="right"/>
    </xf>
    <xf numFmtId="168" fontId="10" fillId="29" borderId="46" xfId="30" applyNumberFormat="1" applyFont="1" applyFill="1" applyBorder="1"/>
    <xf numFmtId="168" fontId="10" fillId="29" borderId="60" xfId="30" applyNumberFormat="1" applyFont="1" applyFill="1" applyBorder="1"/>
    <xf numFmtId="168" fontId="10" fillId="29" borderId="63" xfId="30" applyNumberFormat="1" applyFont="1" applyFill="1" applyBorder="1"/>
    <xf numFmtId="168" fontId="10" fillId="29" borderId="62" xfId="30" applyNumberFormat="1" applyFont="1" applyFill="1" applyBorder="1"/>
    <xf numFmtId="168" fontId="10" fillId="29" borderId="86" xfId="30" applyNumberFormat="1" applyFont="1" applyFill="1" applyBorder="1"/>
    <xf numFmtId="168" fontId="10" fillId="29" borderId="48" xfId="30" applyNumberFormat="1" applyFont="1" applyFill="1" applyBorder="1"/>
    <xf numFmtId="168" fontId="10" fillId="29" borderId="64" xfId="30" applyNumberFormat="1" applyFont="1" applyFill="1" applyBorder="1"/>
    <xf numFmtId="168" fontId="10" fillId="29" borderId="67" xfId="30" applyNumberFormat="1" applyFont="1" applyFill="1" applyBorder="1"/>
    <xf numFmtId="168" fontId="10" fillId="29" borderId="66" xfId="30" applyNumberFormat="1" applyFont="1" applyFill="1" applyBorder="1"/>
    <xf numFmtId="168" fontId="10" fillId="29" borderId="61" xfId="30" applyNumberFormat="1" applyFont="1" applyFill="1" applyBorder="1"/>
    <xf numFmtId="168" fontId="10" fillId="29" borderId="88" xfId="30" applyNumberFormat="1" applyFont="1" applyFill="1" applyBorder="1"/>
    <xf numFmtId="43" fontId="7" fillId="0" borderId="0" xfId="0" applyNumberFormat="1" applyFont="1" applyFill="1" applyBorder="1"/>
    <xf numFmtId="0" fontId="7" fillId="0" borderId="0" xfId="0" applyFont="1" applyFill="1" applyBorder="1"/>
    <xf numFmtId="168" fontId="10" fillId="29" borderId="78" xfId="30" applyNumberFormat="1" applyFont="1" applyFill="1" applyBorder="1"/>
    <xf numFmtId="168" fontId="10" fillId="29" borderId="79" xfId="30" applyNumberFormat="1" applyFont="1" applyFill="1" applyBorder="1"/>
    <xf numFmtId="168" fontId="10" fillId="29" borderId="87" xfId="30" applyNumberFormat="1" applyFont="1" applyFill="1" applyBorder="1"/>
    <xf numFmtId="168" fontId="10" fillId="29" borderId="84" xfId="30" applyNumberFormat="1" applyFont="1" applyFill="1" applyBorder="1"/>
    <xf numFmtId="0" fontId="7" fillId="18" borderId="36" xfId="0" applyFont="1" applyFill="1" applyBorder="1" applyAlignment="1" applyProtection="1">
      <alignment vertical="center" wrapText="1"/>
      <protection locked="0"/>
    </xf>
    <xf numFmtId="0" fontId="7" fillId="18" borderId="35" xfId="0" applyFont="1" applyFill="1" applyBorder="1" applyAlignment="1" applyProtection="1">
      <alignment vertical="center" wrapText="1"/>
      <protection locked="0"/>
    </xf>
    <xf numFmtId="0" fontId="7" fillId="18" borderId="149" xfId="0" applyFont="1" applyFill="1" applyBorder="1" applyAlignment="1" applyProtection="1">
      <alignment vertical="center" wrapText="1"/>
      <protection locked="0"/>
    </xf>
    <xf numFmtId="168" fontId="10" fillId="31" borderId="46" xfId="0" applyNumberFormat="1" applyFont="1" applyFill="1" applyBorder="1" applyAlignment="1">
      <alignment horizontal="left" vertical="center"/>
    </xf>
    <xf numFmtId="168" fontId="7" fillId="18" borderId="85" xfId="30" applyNumberFormat="1" applyFont="1" applyFill="1" applyBorder="1"/>
    <xf numFmtId="0" fontId="7" fillId="33" borderId="0" xfId="0" applyFont="1" applyFill="1" applyAlignment="1">
      <alignment vertical="center"/>
    </xf>
    <xf numFmtId="0" fontId="0" fillId="43" borderId="0" xfId="0" applyFill="1"/>
    <xf numFmtId="0" fontId="7" fillId="43" borderId="0" xfId="0" applyFont="1" applyFill="1"/>
    <xf numFmtId="43" fontId="7" fillId="43" borderId="0" xfId="0" applyNumberFormat="1" applyFont="1" applyFill="1"/>
    <xf numFmtId="168" fontId="7" fillId="43" borderId="0" xfId="0" applyNumberFormat="1" applyFont="1" applyFill="1"/>
    <xf numFmtId="0" fontId="19" fillId="19" borderId="0" xfId="0" applyFont="1" applyFill="1" applyBorder="1" applyAlignment="1" applyProtection="1">
      <alignment vertical="center"/>
    </xf>
    <xf numFmtId="0" fontId="0" fillId="0" borderId="0" xfId="0"/>
    <xf numFmtId="0" fontId="19" fillId="19" borderId="0" xfId="0" applyFont="1" applyFill="1" applyBorder="1" applyAlignment="1" applyProtection="1">
      <alignment horizontal="left" vertical="center"/>
    </xf>
    <xf numFmtId="0" fontId="0" fillId="33" borderId="0" xfId="0" applyFill="1"/>
    <xf numFmtId="0" fontId="0" fillId="0" borderId="21" xfId="0" applyBorder="1"/>
    <xf numFmtId="0" fontId="0" fillId="0" borderId="22" xfId="0" applyBorder="1"/>
    <xf numFmtId="0" fontId="0" fillId="0" borderId="19" xfId="0" applyBorder="1"/>
    <xf numFmtId="0" fontId="0" fillId="0" borderId="0" xfId="0" applyBorder="1"/>
    <xf numFmtId="0" fontId="0" fillId="33" borderId="19" xfId="0" applyFill="1" applyBorder="1"/>
    <xf numFmtId="0" fontId="62" fillId="33" borderId="0" xfId="0" applyFont="1" applyFill="1" applyProtection="1"/>
    <xf numFmtId="0" fontId="62" fillId="33" borderId="0" xfId="0" applyFont="1" applyFill="1" applyBorder="1" applyProtection="1"/>
    <xf numFmtId="168" fontId="10" fillId="38" borderId="74" xfId="0" applyNumberFormat="1" applyFont="1" applyFill="1" applyBorder="1" applyAlignment="1">
      <alignment horizontal="left" vertical="center" wrapText="1"/>
    </xf>
    <xf numFmtId="168" fontId="10" fillId="38" borderId="76" xfId="0" applyNumberFormat="1" applyFont="1" applyFill="1" applyBorder="1" applyAlignment="1">
      <alignment horizontal="left" vertical="center" wrapText="1"/>
    </xf>
    <xf numFmtId="168" fontId="10" fillId="29" borderId="76" xfId="30" applyNumberFormat="1" applyFont="1" applyFill="1" applyBorder="1"/>
    <xf numFmtId="168" fontId="10" fillId="29" borderId="134" xfId="30" applyNumberFormat="1" applyFont="1" applyFill="1" applyBorder="1"/>
    <xf numFmtId="168" fontId="7" fillId="31" borderId="92" xfId="30" applyNumberFormat="1" applyFont="1" applyFill="1" applyBorder="1"/>
    <xf numFmtId="168" fontId="7" fillId="18" borderId="93" xfId="30" applyNumberFormat="1" applyFont="1" applyFill="1" applyBorder="1"/>
    <xf numFmtId="9" fontId="7" fillId="29" borderId="93" xfId="44" applyFont="1" applyFill="1" applyBorder="1"/>
    <xf numFmtId="9" fontId="7" fillId="29" borderId="94" xfId="44" applyFont="1" applyFill="1" applyBorder="1"/>
    <xf numFmtId="168" fontId="10" fillId="38" borderId="92" xfId="0" applyNumberFormat="1" applyFont="1" applyFill="1" applyBorder="1" applyAlignment="1">
      <alignment horizontal="left" vertical="center" wrapText="1"/>
    </xf>
    <xf numFmtId="168" fontId="10" fillId="38" borderId="93" xfId="0" applyNumberFormat="1" applyFont="1" applyFill="1" applyBorder="1" applyAlignment="1">
      <alignment horizontal="left" vertical="center" wrapText="1"/>
    </xf>
    <xf numFmtId="168" fontId="10" fillId="29" borderId="93" xfId="30" applyNumberFormat="1" applyFont="1" applyFill="1" applyBorder="1"/>
    <xf numFmtId="168" fontId="10" fillId="29" borderId="94" xfId="30" applyNumberFormat="1" applyFont="1" applyFill="1" applyBorder="1"/>
    <xf numFmtId="0" fontId="7" fillId="22" borderId="87" xfId="0" applyFont="1" applyFill="1" applyBorder="1" applyAlignment="1" applyProtection="1">
      <alignment vertical="center" wrapText="1"/>
      <protection locked="0"/>
    </xf>
    <xf numFmtId="0" fontId="7" fillId="22" borderId="78" xfId="0" applyFont="1" applyFill="1" applyBorder="1" applyAlignment="1" applyProtection="1">
      <alignment vertical="center" wrapText="1"/>
      <protection locked="0"/>
    </xf>
    <xf numFmtId="0" fontId="7" fillId="22" borderId="80" xfId="0" applyFont="1" applyFill="1" applyBorder="1" applyAlignment="1" applyProtection="1">
      <alignment vertical="center" wrapText="1"/>
      <protection locked="0"/>
    </xf>
    <xf numFmtId="0" fontId="7" fillId="18" borderId="34" xfId="0" applyFont="1" applyFill="1" applyBorder="1" applyAlignment="1" applyProtection="1">
      <alignment vertical="center" wrapText="1"/>
      <protection locked="0"/>
    </xf>
    <xf numFmtId="168" fontId="7" fillId="38" borderId="86" xfId="30" applyNumberFormat="1" applyFont="1" applyFill="1" applyBorder="1"/>
    <xf numFmtId="43" fontId="10" fillId="29" borderId="86" xfId="0" applyNumberFormat="1" applyFont="1" applyFill="1" applyBorder="1"/>
    <xf numFmtId="43" fontId="10" fillId="29" borderId="88" xfId="0" applyNumberFormat="1" applyFont="1" applyFill="1" applyBorder="1"/>
    <xf numFmtId="0" fontId="10" fillId="29" borderId="50" xfId="0" applyFont="1" applyFill="1" applyBorder="1"/>
    <xf numFmtId="43" fontId="10" fillId="29" borderId="46" xfId="0" applyNumberFormat="1" applyFont="1" applyFill="1" applyBorder="1" applyAlignment="1">
      <alignment horizontal="right"/>
    </xf>
    <xf numFmtId="43" fontId="10" fillId="29" borderId="63" xfId="0" applyNumberFormat="1" applyFont="1" applyFill="1" applyBorder="1" applyAlignment="1">
      <alignment horizontal="right"/>
    </xf>
    <xf numFmtId="43" fontId="10" fillId="29" borderId="67" xfId="0" applyNumberFormat="1" applyFont="1" applyFill="1" applyBorder="1" applyAlignment="1">
      <alignment horizontal="right"/>
    </xf>
    <xf numFmtId="168" fontId="7" fillId="38" borderId="88" xfId="30" applyNumberFormat="1" applyFont="1" applyFill="1" applyBorder="1"/>
    <xf numFmtId="0" fontId="19" fillId="33" borderId="0" xfId="0" applyFont="1" applyFill="1"/>
    <xf numFmtId="168" fontId="7" fillId="18" borderId="133" xfId="30" applyNumberFormat="1" applyFont="1" applyFill="1" applyBorder="1"/>
    <xf numFmtId="168" fontId="7" fillId="31" borderId="86" xfId="30" applyNumberFormat="1" applyFont="1" applyFill="1" applyBorder="1"/>
    <xf numFmtId="0" fontId="79" fillId="27" borderId="45" xfId="0" applyFont="1" applyFill="1" applyBorder="1" applyAlignment="1">
      <alignment vertical="center"/>
    </xf>
    <xf numFmtId="0" fontId="10" fillId="33" borderId="0" xfId="0" applyFont="1" applyFill="1" applyAlignment="1"/>
    <xf numFmtId="0" fontId="10" fillId="36" borderId="67" xfId="0" applyFont="1" applyFill="1" applyBorder="1" applyAlignment="1">
      <alignment horizontal="center" vertical="center" wrapText="1"/>
    </xf>
    <xf numFmtId="43" fontId="10" fillId="29" borderId="78" xfId="0" applyNumberFormat="1" applyFont="1" applyFill="1" applyBorder="1" applyAlignment="1">
      <alignment horizontal="right" vertical="center" wrapText="1"/>
    </xf>
    <xf numFmtId="43" fontId="10" fillId="29" borderId="79" xfId="0" applyNumberFormat="1" applyFont="1" applyFill="1" applyBorder="1" applyAlignment="1">
      <alignment horizontal="right" vertical="center" wrapText="1"/>
    </xf>
    <xf numFmtId="43" fontId="10" fillId="29" borderId="80" xfId="0" applyNumberFormat="1" applyFont="1" applyFill="1" applyBorder="1" applyAlignment="1">
      <alignment horizontal="right" vertical="center" wrapText="1"/>
    </xf>
    <xf numFmtId="0" fontId="7" fillId="25" borderId="50" xfId="0" applyFont="1" applyFill="1" applyBorder="1" applyAlignment="1">
      <alignment horizontal="left" vertical="center" wrapText="1" indent="1"/>
    </xf>
    <xf numFmtId="0" fontId="7" fillId="25" borderId="68" xfId="0" applyFont="1" applyFill="1" applyBorder="1" applyAlignment="1">
      <alignment horizontal="left" vertical="center" wrapText="1" indent="1"/>
    </xf>
    <xf numFmtId="168" fontId="10" fillId="29" borderId="64" xfId="0" applyNumberFormat="1" applyFont="1" applyFill="1" applyBorder="1" applyAlignment="1">
      <alignment wrapText="1"/>
    </xf>
    <xf numFmtId="168" fontId="10" fillId="29" borderId="67" xfId="0" applyNumberFormat="1" applyFont="1" applyFill="1" applyBorder="1" applyAlignment="1">
      <alignment wrapText="1"/>
    </xf>
    <xf numFmtId="0" fontId="67" fillId="36" borderId="78" xfId="0" applyFont="1" applyFill="1" applyBorder="1" applyAlignment="1">
      <alignment horizontal="center" vertical="center" wrapText="1"/>
    </xf>
    <xf numFmtId="0" fontId="67" fillId="36" borderId="79" xfId="0" applyFont="1" applyFill="1" applyBorder="1" applyAlignment="1">
      <alignment horizontal="center" vertical="center" wrapText="1"/>
    </xf>
    <xf numFmtId="168" fontId="7" fillId="25" borderId="50" xfId="0" applyNumberFormat="1" applyFont="1" applyFill="1" applyBorder="1" applyAlignment="1">
      <alignment horizontal="left" vertical="center" wrapText="1" indent="2"/>
    </xf>
    <xf numFmtId="0" fontId="69" fillId="49" borderId="63" xfId="0" applyFont="1" applyFill="1" applyBorder="1" applyAlignment="1">
      <alignment horizontal="center" vertical="center" wrapText="1"/>
    </xf>
    <xf numFmtId="0" fontId="69" fillId="49" borderId="67" xfId="0" applyFont="1" applyFill="1" applyBorder="1" applyAlignment="1">
      <alignment horizontal="center" vertical="center"/>
    </xf>
    <xf numFmtId="0" fontId="12" fillId="14" borderId="0" xfId="0" applyFont="1" applyFill="1" applyAlignment="1">
      <alignment vertical="top"/>
    </xf>
    <xf numFmtId="0" fontId="53" fillId="33" borderId="50" xfId="0" applyFont="1" applyFill="1" applyBorder="1" applyAlignment="1">
      <alignment horizontal="left" vertical="center" wrapText="1"/>
    </xf>
    <xf numFmtId="0" fontId="9" fillId="0" borderId="0" xfId="0" quotePrefix="1" applyFont="1" applyFill="1" applyBorder="1" applyAlignment="1">
      <alignment vertical="top"/>
    </xf>
    <xf numFmtId="10" fontId="55" fillId="38" borderId="25" xfId="0" applyNumberFormat="1" applyFont="1" applyFill="1" applyBorder="1" applyAlignment="1" applyProtection="1">
      <alignment horizontal="center" vertical="center" wrapText="1"/>
    </xf>
    <xf numFmtId="10" fontId="55" fillId="38" borderId="42" xfId="0" applyNumberFormat="1" applyFont="1" applyFill="1" applyBorder="1" applyAlignment="1" applyProtection="1">
      <alignment horizontal="center" vertical="center" wrapText="1"/>
    </xf>
    <xf numFmtId="10" fontId="55" fillId="38" borderId="26" xfId="0" applyNumberFormat="1" applyFont="1" applyFill="1" applyBorder="1" applyAlignment="1" applyProtection="1">
      <alignment horizontal="center" vertical="center" wrapText="1"/>
    </xf>
    <xf numFmtId="0" fontId="10" fillId="29" borderId="74" xfId="0" applyFont="1" applyFill="1" applyBorder="1" applyAlignment="1">
      <alignment horizontal="right" vertical="center" wrapText="1"/>
    </xf>
    <xf numFmtId="9" fontId="7" fillId="18" borderId="76" xfId="44" applyFont="1" applyFill="1" applyBorder="1" applyAlignment="1">
      <alignment horizontal="right"/>
    </xf>
    <xf numFmtId="0" fontId="10" fillId="29" borderId="76" xfId="0" applyFont="1" applyFill="1" applyBorder="1" applyAlignment="1">
      <alignment horizontal="right" vertical="center" wrapText="1"/>
    </xf>
    <xf numFmtId="0" fontId="10" fillId="29" borderId="75" xfId="0" applyFont="1" applyFill="1" applyBorder="1" applyAlignment="1">
      <alignment horizontal="right" vertical="center" wrapText="1"/>
    </xf>
    <xf numFmtId="9" fontId="7" fillId="18" borderId="77" xfId="44" applyFont="1" applyFill="1" applyBorder="1" applyAlignment="1">
      <alignment horizontal="right"/>
    </xf>
    <xf numFmtId="0" fontId="10" fillId="29" borderId="77" xfId="0" applyFont="1" applyFill="1" applyBorder="1" applyAlignment="1">
      <alignment horizontal="right" vertical="center" wrapText="1"/>
    </xf>
    <xf numFmtId="0" fontId="7" fillId="33" borderId="140" xfId="0" applyFont="1" applyFill="1" applyBorder="1" applyAlignment="1">
      <alignment horizontal="left" vertical="center" wrapText="1" indent="1"/>
    </xf>
    <xf numFmtId="0" fontId="7" fillId="33" borderId="141" xfId="0" applyFont="1" applyFill="1" applyBorder="1" applyAlignment="1">
      <alignment horizontal="left" vertical="center" wrapText="1" indent="1"/>
    </xf>
    <xf numFmtId="0" fontId="7" fillId="33" borderId="146" xfId="0" applyFont="1" applyFill="1" applyBorder="1" applyAlignment="1">
      <alignment horizontal="left" vertical="center" wrapText="1" indent="1"/>
    </xf>
    <xf numFmtId="0" fontId="103" fillId="0" borderId="0" xfId="0" applyFont="1"/>
    <xf numFmtId="0" fontId="103" fillId="36" borderId="21" xfId="0" applyFont="1" applyFill="1" applyBorder="1"/>
    <xf numFmtId="0" fontId="103" fillId="36" borderId="23" xfId="0" applyFont="1" applyFill="1" applyBorder="1"/>
    <xf numFmtId="0" fontId="103" fillId="36" borderId="19" xfId="0" applyFont="1" applyFill="1" applyBorder="1" applyAlignment="1">
      <alignment horizontal="center" vertical="center"/>
    </xf>
    <xf numFmtId="0" fontId="103" fillId="36" borderId="24" xfId="0" applyFont="1" applyFill="1" applyBorder="1" applyAlignment="1">
      <alignment horizontal="center" vertical="center"/>
    </xf>
    <xf numFmtId="0" fontId="103" fillId="36" borderId="19" xfId="0" applyFont="1" applyFill="1" applyBorder="1"/>
    <xf numFmtId="0" fontId="103" fillId="36" borderId="24" xfId="0" applyFont="1" applyFill="1" applyBorder="1"/>
    <xf numFmtId="0" fontId="99" fillId="36" borderId="24" xfId="0" applyFont="1" applyFill="1" applyBorder="1" applyAlignment="1">
      <alignment horizontal="left" vertical="center" wrapText="1"/>
    </xf>
    <xf numFmtId="0" fontId="103" fillId="36" borderId="25" xfId="0" applyFont="1" applyFill="1" applyBorder="1"/>
    <xf numFmtId="0" fontId="103" fillId="36" borderId="202" xfId="0" applyFont="1" applyFill="1" applyBorder="1"/>
    <xf numFmtId="0" fontId="99" fillId="36" borderId="24" xfId="0" applyFont="1" applyFill="1" applyBorder="1" applyAlignment="1">
      <alignment horizontal="left" vertical="center" indent="1"/>
    </xf>
    <xf numFmtId="0" fontId="99" fillId="36" borderId="24" xfId="0" applyFont="1" applyFill="1" applyBorder="1" applyAlignment="1">
      <alignment horizontal="left" vertical="center" wrapText="1" indent="1"/>
    </xf>
    <xf numFmtId="0" fontId="99" fillId="36" borderId="19" xfId="0" applyFont="1" applyFill="1" applyBorder="1" applyAlignment="1">
      <alignment horizontal="left" vertical="center" indent="1"/>
    </xf>
    <xf numFmtId="0" fontId="99" fillId="36" borderId="19" xfId="0" applyFont="1" applyFill="1" applyBorder="1" applyAlignment="1">
      <alignment horizontal="center" vertical="center" wrapText="1"/>
    </xf>
    <xf numFmtId="0" fontId="66" fillId="39" borderId="48" xfId="0" applyFont="1" applyFill="1" applyBorder="1" applyAlignment="1">
      <alignment horizontal="center" vertical="center" wrapText="1"/>
    </xf>
    <xf numFmtId="0" fontId="66" fillId="39" borderId="64" xfId="0" applyFont="1" applyFill="1" applyBorder="1" applyAlignment="1">
      <alignment horizontal="center" vertical="center" wrapText="1"/>
    </xf>
    <xf numFmtId="0" fontId="67" fillId="40" borderId="65" xfId="0" applyFont="1" applyFill="1" applyBorder="1" applyAlignment="1">
      <alignment horizontal="center" vertical="center" wrapText="1"/>
    </xf>
    <xf numFmtId="10" fontId="7" fillId="18" borderId="58" xfId="44" applyNumberFormat="1" applyFont="1" applyFill="1" applyBorder="1" applyProtection="1">
      <protection locked="0"/>
    </xf>
    <xf numFmtId="10" fontId="7" fillId="18" borderId="59" xfId="44" applyNumberFormat="1" applyFont="1" applyFill="1" applyBorder="1" applyProtection="1">
      <protection locked="0"/>
    </xf>
    <xf numFmtId="168" fontId="10" fillId="39" borderId="48" xfId="0" applyNumberFormat="1" applyFont="1" applyFill="1" applyBorder="1" applyAlignment="1">
      <alignment horizontal="center" vertical="center" wrapText="1"/>
    </xf>
    <xf numFmtId="168" fontId="10" fillId="39" borderId="64" xfId="0" applyNumberFormat="1" applyFont="1" applyFill="1" applyBorder="1" applyAlignment="1">
      <alignment horizontal="center" vertical="center" wrapText="1"/>
    </xf>
    <xf numFmtId="168" fontId="10" fillId="40" borderId="64" xfId="0" applyNumberFormat="1" applyFont="1" applyFill="1" applyBorder="1" applyAlignment="1">
      <alignment horizontal="center" vertical="center" wrapText="1"/>
    </xf>
    <xf numFmtId="168" fontId="10" fillId="40" borderId="88" xfId="0" applyNumberFormat="1" applyFont="1" applyFill="1" applyBorder="1" applyAlignment="1">
      <alignment horizontal="center" vertical="center" wrapText="1"/>
    </xf>
    <xf numFmtId="2" fontId="7" fillId="18" borderId="56" xfId="44" applyNumberFormat="1" applyFont="1" applyFill="1" applyBorder="1" applyAlignment="1" applyProtection="1">
      <alignment horizontal="left" indent="3"/>
      <protection locked="0"/>
    </xf>
    <xf numFmtId="10" fontId="7" fillId="18" borderId="59" xfId="44" applyNumberFormat="1" applyFont="1" applyFill="1" applyBorder="1" applyAlignment="1" applyProtection="1">
      <alignment vertical="center"/>
      <protection locked="0"/>
    </xf>
    <xf numFmtId="0" fontId="42" fillId="33" borderId="22" xfId="0" applyFont="1" applyFill="1" applyBorder="1" applyAlignment="1">
      <alignment horizontal="center" vertical="center" wrapText="1"/>
    </xf>
    <xf numFmtId="0" fontId="42" fillId="33" borderId="0" xfId="0" applyFont="1" applyFill="1" applyBorder="1" applyAlignment="1">
      <alignment horizontal="center" vertical="center" wrapText="1"/>
    </xf>
    <xf numFmtId="168" fontId="10" fillId="38" borderId="59" xfId="0" applyNumberFormat="1" applyFont="1" applyFill="1" applyBorder="1" applyAlignment="1">
      <alignment horizontal="left" vertical="center"/>
    </xf>
    <xf numFmtId="0" fontId="7" fillId="38" borderId="18" xfId="0" applyFont="1" applyFill="1" applyBorder="1" applyAlignment="1">
      <alignment horizontal="center" vertical="center" wrapText="1"/>
    </xf>
    <xf numFmtId="0" fontId="7" fillId="33" borderId="50" xfId="0" applyFont="1" applyFill="1" applyBorder="1" applyAlignment="1">
      <alignment horizontal="left" vertical="center" wrapText="1" indent="1"/>
    </xf>
    <xf numFmtId="0" fontId="7" fillId="14" borderId="0" xfId="0" applyFont="1" applyFill="1" applyBorder="1" applyAlignment="1">
      <alignment vertical="top" wrapText="1"/>
    </xf>
    <xf numFmtId="0" fontId="0" fillId="14" borderId="0" xfId="0" applyFill="1" applyAlignment="1">
      <alignment wrapText="1"/>
    </xf>
    <xf numFmtId="0" fontId="77" fillId="33" borderId="0" xfId="0" applyFont="1" applyFill="1" applyBorder="1" applyAlignment="1">
      <alignment vertical="top"/>
    </xf>
    <xf numFmtId="0" fontId="0" fillId="0" borderId="0" xfId="0" applyFill="1" applyAlignment="1">
      <alignment vertical="top"/>
    </xf>
    <xf numFmtId="0" fontId="15" fillId="29" borderId="36" xfId="0" applyFont="1" applyFill="1" applyBorder="1" applyAlignment="1">
      <alignment vertical="center"/>
    </xf>
    <xf numFmtId="0" fontId="15" fillId="29" borderId="35" xfId="0" applyFont="1" applyFill="1" applyBorder="1" applyAlignment="1">
      <alignment vertical="center"/>
    </xf>
    <xf numFmtId="0" fontId="15" fillId="29" borderId="34" xfId="0" applyFont="1" applyFill="1" applyBorder="1" applyAlignment="1">
      <alignment vertical="center"/>
    </xf>
    <xf numFmtId="0" fontId="79" fillId="29" borderId="35" xfId="0" applyFont="1" applyFill="1" applyBorder="1" applyAlignment="1">
      <alignment vertical="center"/>
    </xf>
    <xf numFmtId="0" fontId="79" fillId="29" borderId="34" xfId="0" applyFont="1" applyFill="1" applyBorder="1" applyAlignment="1">
      <alignment vertical="center"/>
    </xf>
    <xf numFmtId="0" fontId="15" fillId="30" borderId="36" xfId="0" applyFont="1" applyFill="1" applyBorder="1" applyAlignment="1">
      <alignment vertical="center"/>
    </xf>
    <xf numFmtId="0" fontId="15" fillId="30" borderId="35" xfId="0" applyFont="1" applyFill="1" applyBorder="1" applyAlignment="1">
      <alignment vertical="center"/>
    </xf>
    <xf numFmtId="0" fontId="15" fillId="30" borderId="34" xfId="0" applyFont="1" applyFill="1" applyBorder="1" applyAlignment="1">
      <alignment vertical="center"/>
    </xf>
    <xf numFmtId="0" fontId="79" fillId="30" borderId="35" xfId="0" applyFont="1" applyFill="1" applyBorder="1" applyAlignment="1">
      <alignment vertical="center"/>
    </xf>
    <xf numFmtId="0" fontId="79" fillId="30" borderId="34" xfId="0" applyFont="1" applyFill="1" applyBorder="1" applyAlignment="1">
      <alignment vertical="center"/>
    </xf>
    <xf numFmtId="0" fontId="10" fillId="33" borderId="68" xfId="0" applyFont="1" applyFill="1" applyBorder="1" applyAlignment="1">
      <alignment horizontal="left" indent="1"/>
    </xf>
    <xf numFmtId="0" fontId="67" fillId="14" borderId="0" xfId="0" applyFont="1" applyFill="1" applyAlignment="1"/>
    <xf numFmtId="0" fontId="18" fillId="30" borderId="35" xfId="0" applyFont="1" applyFill="1" applyBorder="1" applyAlignment="1">
      <alignment vertical="center"/>
    </xf>
    <xf numFmtId="0" fontId="80" fillId="27" borderId="23" xfId="0" applyFont="1" applyFill="1" applyBorder="1" applyAlignment="1">
      <alignment vertical="center"/>
    </xf>
    <xf numFmtId="0" fontId="18" fillId="30" borderId="34" xfId="0" applyFont="1" applyFill="1" applyBorder="1" applyAlignment="1">
      <alignment vertical="center"/>
    </xf>
    <xf numFmtId="0" fontId="67" fillId="30" borderId="35" xfId="0" applyFont="1" applyFill="1" applyBorder="1" applyAlignment="1">
      <alignment vertical="center"/>
    </xf>
    <xf numFmtId="0" fontId="67" fillId="30" borderId="34" xfId="0" applyFont="1" applyFill="1" applyBorder="1" applyAlignment="1">
      <alignment vertical="center"/>
    </xf>
    <xf numFmtId="0" fontId="67" fillId="30" borderId="36" xfId="0" applyFont="1" applyFill="1" applyBorder="1" applyAlignment="1">
      <alignment vertical="center"/>
    </xf>
    <xf numFmtId="0" fontId="17" fillId="33" borderId="0" xfId="0" applyFont="1" applyFill="1" applyBorder="1" applyAlignment="1">
      <alignment horizontal="left" vertical="center" wrapText="1" shrinkToFit="1"/>
    </xf>
    <xf numFmtId="0" fontId="17" fillId="0" borderId="0" xfId="0" applyFont="1" applyFill="1" applyBorder="1" applyAlignment="1">
      <alignment horizontal="left" vertical="center" wrapText="1" shrinkToFit="1"/>
    </xf>
    <xf numFmtId="0" fontId="67" fillId="31" borderId="126" xfId="0" applyFont="1" applyFill="1" applyBorder="1" applyAlignment="1">
      <alignment vertical="center"/>
    </xf>
    <xf numFmtId="0" fontId="67" fillId="31" borderId="126" xfId="0" applyFont="1" applyFill="1" applyBorder="1" applyAlignment="1"/>
    <xf numFmtId="0" fontId="67" fillId="31" borderId="130" xfId="0" applyFont="1" applyFill="1" applyBorder="1" applyAlignment="1"/>
    <xf numFmtId="41" fontId="12" fillId="38" borderId="55" xfId="0" applyNumberFormat="1" applyFont="1" applyFill="1" applyBorder="1"/>
    <xf numFmtId="41" fontId="12" fillId="38" borderId="56" xfId="0" applyNumberFormat="1" applyFont="1" applyFill="1" applyBorder="1"/>
    <xf numFmtId="0" fontId="7" fillId="33" borderId="50" xfId="0" applyFont="1" applyFill="1" applyBorder="1" applyAlignment="1">
      <alignment horizontal="left" vertical="center" wrapText="1" indent="3"/>
    </xf>
    <xf numFmtId="41" fontId="12" fillId="38" borderId="46" xfId="0" applyNumberFormat="1" applyFont="1" applyFill="1" applyBorder="1"/>
    <xf numFmtId="0" fontId="7" fillId="33" borderId="70" xfId="0" applyFont="1" applyFill="1" applyBorder="1" applyAlignment="1">
      <alignment horizontal="left" vertical="center" wrapText="1" indent="2"/>
    </xf>
    <xf numFmtId="0" fontId="67" fillId="31" borderId="131" xfId="0" applyFont="1" applyFill="1" applyBorder="1" applyAlignment="1"/>
    <xf numFmtId="41" fontId="12" fillId="38" borderId="59" xfId="0" applyNumberFormat="1" applyFont="1" applyFill="1" applyBorder="1"/>
    <xf numFmtId="41" fontId="12" fillId="38" borderId="63" xfId="0" applyNumberFormat="1" applyFont="1" applyFill="1" applyBorder="1"/>
    <xf numFmtId="41" fontId="17" fillId="29" borderId="67" xfId="0" applyNumberFormat="1" applyFont="1" applyFill="1" applyBorder="1"/>
    <xf numFmtId="3" fontId="12" fillId="18" borderId="59" xfId="0" applyNumberFormat="1" applyFont="1" applyFill="1" applyBorder="1"/>
    <xf numFmtId="3" fontId="12" fillId="18" borderId="63" xfId="0" applyNumberFormat="1" applyFont="1" applyFill="1" applyBorder="1"/>
    <xf numFmtId="0" fontId="0" fillId="0" borderId="141" xfId="0" applyFill="1" applyBorder="1" applyAlignment="1">
      <alignment horizontal="left" indent="2"/>
    </xf>
    <xf numFmtId="3" fontId="12" fillId="18" borderId="80" xfId="0" applyNumberFormat="1" applyFont="1" applyFill="1" applyBorder="1"/>
    <xf numFmtId="3" fontId="12" fillId="18" borderId="78" xfId="0" applyNumberFormat="1" applyFont="1" applyFill="1" applyBorder="1"/>
    <xf numFmtId="0" fontId="0" fillId="0" borderId="215" xfId="0" applyFill="1" applyBorder="1" applyAlignment="1">
      <alignment horizontal="left" indent="2"/>
    </xf>
    <xf numFmtId="3" fontId="12" fillId="18" borderId="79" xfId="0" applyNumberFormat="1" applyFont="1" applyFill="1" applyBorder="1"/>
    <xf numFmtId="0" fontId="0" fillId="0" borderId="211" xfId="0" applyFill="1" applyBorder="1" applyAlignment="1">
      <alignment horizontal="left" indent="2"/>
    </xf>
    <xf numFmtId="43" fontId="10" fillId="31" borderId="64" xfId="30" applyFont="1" applyFill="1" applyBorder="1" applyAlignment="1">
      <alignment horizontal="left" vertical="center" wrapText="1"/>
    </xf>
    <xf numFmtId="43" fontId="10" fillId="31" borderId="67" xfId="30" applyFont="1" applyFill="1" applyBorder="1" applyAlignment="1">
      <alignment horizontal="left" vertical="center" wrapText="1"/>
    </xf>
    <xf numFmtId="0" fontId="17" fillId="38" borderId="46" xfId="0" applyFont="1" applyFill="1" applyBorder="1" applyAlignment="1">
      <alignment horizontal="right" vertical="center" wrapText="1"/>
    </xf>
    <xf numFmtId="0" fontId="17" fillId="38" borderId="60" xfId="0" applyFont="1" applyFill="1" applyBorder="1" applyAlignment="1">
      <alignment horizontal="right" vertical="center" wrapText="1"/>
    </xf>
    <xf numFmtId="0" fontId="17" fillId="38" borderId="63" xfId="0" applyFont="1" applyFill="1" applyBorder="1" applyAlignment="1">
      <alignment horizontal="right" vertical="center" wrapText="1"/>
    </xf>
    <xf numFmtId="168" fontId="10" fillId="30" borderId="51" xfId="0" applyNumberFormat="1" applyFont="1" applyFill="1" applyBorder="1" applyAlignment="1">
      <alignment horizontal="right" vertical="center" wrapText="1"/>
    </xf>
    <xf numFmtId="168" fontId="10" fillId="30" borderId="52" xfId="0" applyNumberFormat="1" applyFont="1" applyFill="1" applyBorder="1" applyAlignment="1">
      <alignment horizontal="right" vertical="center" wrapText="1"/>
    </xf>
    <xf numFmtId="168" fontId="10" fillId="30" borderId="53" xfId="0" applyNumberFormat="1" applyFont="1" applyFill="1" applyBorder="1" applyAlignment="1">
      <alignment horizontal="right" vertical="center" wrapText="1"/>
    </xf>
    <xf numFmtId="0" fontId="10" fillId="31" borderId="126" xfId="0" applyFont="1" applyFill="1" applyBorder="1" applyAlignment="1">
      <alignment horizontal="left" vertical="center" wrapText="1" indent="1"/>
    </xf>
    <xf numFmtId="0" fontId="15" fillId="31" borderId="130" xfId="0" applyFont="1" applyFill="1" applyBorder="1" applyAlignment="1">
      <alignment vertical="center"/>
    </xf>
    <xf numFmtId="0" fontId="15" fillId="31" borderId="131" xfId="0" applyFont="1" applyFill="1" applyBorder="1" applyAlignment="1">
      <alignment vertical="center"/>
    </xf>
    <xf numFmtId="0" fontId="49" fillId="25" borderId="70" xfId="0" applyFont="1" applyFill="1" applyBorder="1" applyAlignment="1">
      <alignment horizontal="left" vertical="center" wrapText="1" indent="3"/>
    </xf>
    <xf numFmtId="0" fontId="133" fillId="33" borderId="0" xfId="0" applyFont="1" applyFill="1" applyBorder="1" applyAlignment="1">
      <alignment vertical="center"/>
    </xf>
    <xf numFmtId="43" fontId="10" fillId="29" borderId="210" xfId="0" applyNumberFormat="1" applyFont="1" applyFill="1" applyBorder="1" applyAlignment="1">
      <alignment horizontal="right" vertical="center" wrapText="1"/>
    </xf>
    <xf numFmtId="43" fontId="10" fillId="29" borderId="208" xfId="0" applyNumberFormat="1" applyFont="1" applyFill="1" applyBorder="1" applyAlignment="1">
      <alignment horizontal="right" vertical="center" wrapText="1"/>
    </xf>
    <xf numFmtId="43" fontId="10" fillId="29" borderId="209" xfId="0" applyNumberFormat="1" applyFont="1" applyFill="1" applyBorder="1" applyAlignment="1">
      <alignment horizontal="right" vertical="center" wrapText="1"/>
    </xf>
    <xf numFmtId="0" fontId="7" fillId="29" borderId="152" xfId="0" applyFont="1" applyFill="1" applyBorder="1" applyAlignment="1">
      <alignment horizontal="left" vertical="center" wrapText="1"/>
    </xf>
    <xf numFmtId="43" fontId="10" fillId="29" borderId="220" xfId="0" applyNumberFormat="1" applyFont="1" applyFill="1" applyBorder="1" applyAlignment="1">
      <alignment horizontal="right" vertical="center" wrapText="1"/>
    </xf>
    <xf numFmtId="2" fontId="0" fillId="0" borderId="0" xfId="0" applyNumberFormat="1" applyAlignment="1">
      <alignment wrapText="1"/>
    </xf>
    <xf numFmtId="0" fontId="10" fillId="14" borderId="0" xfId="0" applyFont="1" applyFill="1" applyAlignment="1">
      <alignment vertical="center" wrapText="1"/>
    </xf>
    <xf numFmtId="0" fontId="67" fillId="31" borderId="36" xfId="0" applyFont="1" applyFill="1" applyBorder="1" applyAlignment="1"/>
    <xf numFmtId="0" fontId="7" fillId="0" borderId="0" xfId="0" applyFont="1" applyAlignment="1">
      <alignment horizontal="left" indent="1"/>
    </xf>
    <xf numFmtId="0" fontId="0" fillId="0" borderId="0" xfId="0" applyAlignment="1">
      <alignment horizontal="left" indent="1"/>
    </xf>
    <xf numFmtId="0" fontId="7" fillId="0" borderId="0" xfId="0" applyFont="1" applyFill="1" applyAlignment="1">
      <alignment horizontal="left" indent="1"/>
    </xf>
    <xf numFmtId="0" fontId="67" fillId="31" borderId="130" xfId="0" applyFont="1" applyFill="1" applyBorder="1" applyAlignment="1">
      <alignment vertical="center"/>
    </xf>
    <xf numFmtId="0" fontId="69" fillId="27" borderId="35" xfId="0" applyFont="1" applyFill="1" applyBorder="1" applyAlignment="1">
      <alignment vertical="center"/>
    </xf>
    <xf numFmtId="0" fontId="69" fillId="27" borderId="34" xfId="0" applyFont="1" applyFill="1" applyBorder="1" applyAlignment="1">
      <alignment vertical="center"/>
    </xf>
    <xf numFmtId="0" fontId="10" fillId="38" borderId="70" xfId="0" applyFont="1" applyFill="1" applyBorder="1" applyAlignment="1">
      <alignment horizontal="left" vertical="center" wrapText="1"/>
    </xf>
    <xf numFmtId="0" fontId="88" fillId="14" borderId="0" xfId="0" applyFont="1" applyFill="1" applyAlignment="1">
      <alignment vertical="center"/>
    </xf>
    <xf numFmtId="0" fontId="0" fillId="14" borderId="0" xfId="0" applyFill="1" applyAlignment="1">
      <alignment vertical="center" wrapText="1"/>
    </xf>
    <xf numFmtId="0" fontId="10" fillId="14" borderId="0" xfId="0" applyFont="1" applyFill="1" applyAlignment="1">
      <alignment vertical="center"/>
    </xf>
    <xf numFmtId="0" fontId="7" fillId="14" borderId="0" xfId="0" applyFont="1" applyFill="1" applyAlignment="1">
      <alignment vertical="center"/>
    </xf>
    <xf numFmtId="0" fontId="0" fillId="14" borderId="0" xfId="0" applyFill="1" applyAlignment="1">
      <alignment vertical="center"/>
    </xf>
    <xf numFmtId="0" fontId="7" fillId="33" borderId="50" xfId="0" applyFont="1" applyFill="1" applyBorder="1" applyAlignment="1">
      <alignment horizontal="left" vertical="center" wrapText="1" indent="1"/>
    </xf>
    <xf numFmtId="0" fontId="10" fillId="33" borderId="68" xfId="0" applyFont="1" applyFill="1" applyBorder="1" applyAlignment="1">
      <alignment vertical="center" wrapText="1"/>
    </xf>
    <xf numFmtId="0" fontId="10" fillId="43" borderId="70" xfId="0" applyFont="1" applyFill="1" applyBorder="1" applyAlignment="1">
      <alignment horizontal="left" vertical="center" wrapText="1"/>
    </xf>
    <xf numFmtId="0" fontId="10" fillId="43" borderId="93" xfId="0" applyFont="1" applyFill="1" applyBorder="1" applyAlignment="1">
      <alignment horizontal="left" vertical="center" wrapText="1"/>
    </xf>
    <xf numFmtId="0" fontId="7" fillId="43" borderId="93" xfId="0" applyFont="1" applyFill="1" applyBorder="1" applyAlignment="1">
      <alignment horizontal="left" vertical="center" wrapText="1" indent="2"/>
    </xf>
    <xf numFmtId="0" fontId="10" fillId="43" borderId="222" xfId="0" applyFont="1" applyFill="1" applyBorder="1" applyAlignment="1">
      <alignment horizontal="left" vertical="center" wrapText="1"/>
    </xf>
    <xf numFmtId="0" fontId="10" fillId="43" borderId="216" xfId="0" applyFont="1" applyFill="1" applyBorder="1" applyAlignment="1">
      <alignment horizontal="left" vertical="center" wrapText="1" indent="2"/>
    </xf>
    <xf numFmtId="0" fontId="7" fillId="33" borderId="70" xfId="0" applyFont="1" applyFill="1" applyBorder="1" applyAlignment="1">
      <alignment horizontal="left" wrapText="1"/>
    </xf>
    <xf numFmtId="0" fontId="10" fillId="38" borderId="222" xfId="0" applyFont="1" applyFill="1" applyBorder="1" applyAlignment="1">
      <alignment horizontal="left" vertical="center" wrapText="1"/>
    </xf>
    <xf numFmtId="0" fontId="7" fillId="38" borderId="93" xfId="0" applyFont="1" applyFill="1" applyBorder="1" applyAlignment="1">
      <alignment horizontal="left" vertical="center" wrapText="1" indent="2"/>
    </xf>
    <xf numFmtId="0" fontId="10" fillId="38" borderId="216" xfId="0" applyFont="1" applyFill="1" applyBorder="1" applyAlignment="1">
      <alignment horizontal="left" vertical="center" wrapText="1" indent="2"/>
    </xf>
    <xf numFmtId="0" fontId="7" fillId="38" borderId="50" xfId="0" applyFont="1" applyFill="1" applyBorder="1" applyAlignment="1">
      <alignment horizontal="left" vertical="center" wrapText="1" indent="4"/>
    </xf>
    <xf numFmtId="0" fontId="10" fillId="38" borderId="68" xfId="0" applyFont="1" applyFill="1" applyBorder="1" applyAlignment="1">
      <alignment horizontal="left" vertical="center" wrapText="1"/>
    </xf>
    <xf numFmtId="0" fontId="10" fillId="38" borderId="92" xfId="0" applyFont="1" applyFill="1" applyBorder="1" applyAlignment="1">
      <alignment horizontal="left" vertical="center" wrapText="1"/>
    </xf>
    <xf numFmtId="0" fontId="7" fillId="38" borderId="93" xfId="0" applyFont="1" applyFill="1" applyBorder="1" applyAlignment="1">
      <alignment horizontal="left" vertical="center" wrapText="1" indent="4"/>
    </xf>
    <xf numFmtId="0" fontId="10" fillId="38" borderId="93" xfId="0" applyFont="1" applyFill="1" applyBorder="1" applyAlignment="1">
      <alignment horizontal="left" vertical="center" wrapText="1"/>
    </xf>
    <xf numFmtId="0" fontId="10" fillId="38" borderId="94" xfId="0" applyFont="1" applyFill="1" applyBorder="1" applyAlignment="1">
      <alignment horizontal="left" vertical="center" wrapText="1"/>
    </xf>
    <xf numFmtId="168" fontId="7" fillId="18" borderId="206" xfId="30" applyNumberFormat="1" applyFont="1" applyFill="1" applyBorder="1"/>
    <xf numFmtId="168" fontId="7" fillId="29" borderId="207" xfId="30" applyNumberFormat="1" applyFont="1" applyFill="1" applyBorder="1"/>
    <xf numFmtId="0" fontId="7" fillId="33" borderId="36" xfId="0" applyFont="1" applyFill="1" applyBorder="1" applyAlignment="1" applyProtection="1">
      <alignment horizontal="right" vertical="center" wrapText="1"/>
      <protection locked="0"/>
    </xf>
    <xf numFmtId="0" fontId="7" fillId="33" borderId="34" xfId="0" applyFont="1" applyFill="1" applyBorder="1" applyAlignment="1" applyProtection="1">
      <alignment horizontal="right" vertical="center" wrapText="1"/>
      <protection locked="0"/>
    </xf>
    <xf numFmtId="0" fontId="7" fillId="22" borderId="36" xfId="0" applyFont="1" applyFill="1" applyBorder="1" applyAlignment="1" applyProtection="1">
      <alignment horizontal="left" vertical="center" wrapText="1"/>
      <protection locked="0"/>
    </xf>
    <xf numFmtId="0" fontId="7" fillId="22" borderId="34" xfId="0" applyFont="1" applyFill="1" applyBorder="1" applyAlignment="1" applyProtection="1">
      <alignment horizontal="left" vertical="center" wrapText="1"/>
      <protection locked="0"/>
    </xf>
    <xf numFmtId="0" fontId="49" fillId="33" borderId="121" xfId="0" applyFont="1" applyFill="1" applyBorder="1" applyAlignment="1">
      <alignment horizontal="left" indent="4"/>
    </xf>
    <xf numFmtId="0" fontId="54" fillId="33" borderId="224" xfId="0" applyFont="1" applyFill="1" applyBorder="1" applyAlignment="1">
      <alignment horizontal="left" indent="4"/>
    </xf>
    <xf numFmtId="0" fontId="54" fillId="33" borderId="225" xfId="0" applyFont="1" applyFill="1" applyBorder="1" applyAlignment="1">
      <alignment horizontal="left" vertical="center" wrapText="1"/>
    </xf>
    <xf numFmtId="0" fontId="54" fillId="33" borderId="224" xfId="0" applyFont="1" applyFill="1" applyBorder="1" applyAlignment="1">
      <alignment horizontal="left" vertical="center" wrapText="1" indent="4"/>
    </xf>
    <xf numFmtId="0" fontId="54" fillId="33" borderId="50" xfId="0" applyFont="1" applyFill="1" applyBorder="1" applyAlignment="1">
      <alignment horizontal="left" vertical="center" wrapText="1"/>
    </xf>
    <xf numFmtId="0" fontId="54" fillId="33" borderId="167" xfId="0" applyFont="1" applyFill="1" applyBorder="1" applyAlignment="1">
      <alignment horizontal="left" vertical="center" wrapText="1"/>
    </xf>
    <xf numFmtId="0" fontId="49" fillId="33" borderId="70" xfId="0" applyFont="1" applyFill="1" applyBorder="1" applyAlignment="1">
      <alignment horizontal="left" vertical="center" wrapText="1"/>
    </xf>
    <xf numFmtId="0" fontId="7" fillId="33" borderId="25" xfId="0" applyFont="1" applyFill="1" applyBorder="1" applyAlignment="1" applyProtection="1">
      <alignment horizontal="right" vertical="center" wrapText="1"/>
      <protection locked="0"/>
    </xf>
    <xf numFmtId="0" fontId="7" fillId="33" borderId="45" xfId="0" applyFont="1" applyFill="1" applyBorder="1" applyAlignment="1" applyProtection="1">
      <alignment horizontal="right" vertical="center" wrapText="1"/>
      <protection locked="0"/>
    </xf>
    <xf numFmtId="0" fontId="7" fillId="33" borderId="68" xfId="0" applyFont="1" applyFill="1" applyBorder="1" applyAlignment="1" applyProtection="1">
      <alignment horizontal="right" vertical="center" wrapText="1"/>
      <protection locked="0"/>
    </xf>
    <xf numFmtId="0" fontId="49" fillId="33" borderId="120" xfId="0" applyFont="1" applyFill="1" applyBorder="1" applyAlignment="1">
      <alignment horizontal="left" vertical="center" wrapText="1"/>
    </xf>
    <xf numFmtId="0" fontId="49" fillId="33" borderId="225" xfId="0" applyFont="1" applyFill="1" applyBorder="1" applyAlignment="1">
      <alignment horizontal="left" vertical="center" wrapText="1"/>
    </xf>
    <xf numFmtId="0" fontId="54" fillId="33" borderId="93" xfId="0" applyFont="1" applyFill="1" applyBorder="1" applyAlignment="1">
      <alignment horizontal="left" vertical="center" wrapText="1"/>
    </xf>
    <xf numFmtId="0" fontId="54" fillId="33" borderId="94" xfId="0" applyFont="1" applyFill="1" applyBorder="1" applyAlignment="1">
      <alignment horizontal="left" vertical="center" wrapText="1"/>
    </xf>
    <xf numFmtId="0" fontId="49" fillId="33" borderId="120" xfId="0" applyFont="1" applyFill="1" applyBorder="1" applyAlignment="1">
      <alignment horizontal="left" vertical="center" wrapText="1" indent="3"/>
    </xf>
    <xf numFmtId="0" fontId="49" fillId="33" borderId="70" xfId="0" applyFont="1" applyFill="1" applyBorder="1" applyAlignment="1">
      <alignment horizontal="left" vertical="center" wrapText="1" indent="3"/>
    </xf>
    <xf numFmtId="0" fontId="49" fillId="33" borderId="226" xfId="0" applyFont="1" applyFill="1" applyBorder="1" applyAlignment="1">
      <alignment horizontal="left" vertical="center" wrapText="1"/>
    </xf>
    <xf numFmtId="0" fontId="54" fillId="38" borderId="92" xfId="0" applyFont="1" applyFill="1" applyBorder="1" applyAlignment="1">
      <alignment horizontal="left"/>
    </xf>
    <xf numFmtId="0" fontId="7" fillId="38" borderId="73" xfId="0" applyFont="1" applyFill="1" applyBorder="1" applyAlignment="1">
      <alignment horizontal="left" indent="4"/>
    </xf>
    <xf numFmtId="0" fontId="10" fillId="38" borderId="205" xfId="0" applyFont="1" applyFill="1" applyBorder="1" applyAlignment="1">
      <alignment horizontal="left" indent="4"/>
    </xf>
    <xf numFmtId="0" fontId="0" fillId="38" borderId="73" xfId="0" applyFill="1" applyBorder="1"/>
    <xf numFmtId="0" fontId="49" fillId="38" borderId="70" xfId="0" applyFont="1" applyFill="1" applyBorder="1" applyAlignment="1">
      <alignment horizontal="left" vertical="center" wrapText="1"/>
    </xf>
    <xf numFmtId="0" fontId="54" fillId="38" borderId="93" xfId="0" applyFont="1" applyFill="1" applyBorder="1" applyAlignment="1">
      <alignment horizontal="left" vertical="center" wrapText="1"/>
    </xf>
    <xf numFmtId="0" fontId="54" fillId="38" borderId="94" xfId="0" applyFont="1" applyFill="1" applyBorder="1" applyAlignment="1">
      <alignment horizontal="left" vertical="center" wrapText="1"/>
    </xf>
    <xf numFmtId="0" fontId="49" fillId="38" borderId="120" xfId="0" applyFont="1" applyFill="1" applyBorder="1" applyAlignment="1">
      <alignment horizontal="left" vertical="center" wrapText="1" indent="3"/>
    </xf>
    <xf numFmtId="0" fontId="7" fillId="33" borderId="74" xfId="0" applyFont="1" applyFill="1" applyBorder="1" applyAlignment="1">
      <alignment horizontal="left" vertical="center" wrapText="1"/>
    </xf>
    <xf numFmtId="0" fontId="49" fillId="30" borderId="76" xfId="0" applyFont="1" applyFill="1" applyBorder="1" applyAlignment="1">
      <alignment horizontal="left" vertical="center" wrapText="1"/>
    </xf>
    <xf numFmtId="0" fontId="49" fillId="30" borderId="116" xfId="0" applyFont="1" applyFill="1" applyBorder="1" applyAlignment="1">
      <alignment horizontal="left" vertical="center" wrapText="1"/>
    </xf>
    <xf numFmtId="0" fontId="49" fillId="33" borderId="97" xfId="0" applyFont="1" applyFill="1" applyBorder="1" applyAlignment="1">
      <alignment horizontal="left" vertical="center" wrapText="1" indent="3"/>
    </xf>
    <xf numFmtId="0" fontId="54" fillId="38" borderId="74" xfId="0" applyFont="1" applyFill="1" applyBorder="1" applyAlignment="1">
      <alignment horizontal="left"/>
    </xf>
    <xf numFmtId="0" fontId="54" fillId="38" borderId="225" xfId="0" applyFont="1" applyFill="1" applyBorder="1" applyAlignment="1">
      <alignment horizontal="left" vertical="center" wrapText="1"/>
    </xf>
    <xf numFmtId="0" fontId="49" fillId="38" borderId="121" xfId="0" applyFont="1" applyFill="1" applyBorder="1" applyAlignment="1">
      <alignment horizontal="left" vertical="center" wrapText="1" indent="4"/>
    </xf>
    <xf numFmtId="0" fontId="54" fillId="38" borderId="224" xfId="0" applyFont="1" applyFill="1" applyBorder="1" applyAlignment="1">
      <alignment horizontal="left" vertical="center" wrapText="1" indent="4"/>
    </xf>
    <xf numFmtId="0" fontId="49" fillId="38" borderId="115" xfId="0" applyFont="1" applyFill="1" applyBorder="1" applyAlignment="1">
      <alignment horizontal="left" vertical="center" wrapText="1"/>
    </xf>
    <xf numFmtId="0" fontId="54" fillId="38" borderId="50" xfId="0" applyFont="1" applyFill="1" applyBorder="1" applyAlignment="1">
      <alignment horizontal="left" vertical="center" wrapText="1"/>
    </xf>
    <xf numFmtId="0" fontId="49" fillId="38" borderId="70" xfId="0" applyFont="1" applyFill="1" applyBorder="1" applyAlignment="1">
      <alignment horizontal="left" vertical="center" wrapText="1" indent="3"/>
    </xf>
    <xf numFmtId="0" fontId="54" fillId="38" borderId="167" xfId="0" applyFont="1" applyFill="1" applyBorder="1" applyAlignment="1">
      <alignment horizontal="left" vertical="center" wrapText="1"/>
    </xf>
    <xf numFmtId="168" fontId="7" fillId="29" borderId="50" xfId="30" applyNumberFormat="1" applyFont="1" applyFill="1" applyBorder="1" applyAlignment="1">
      <alignment horizontal="right"/>
    </xf>
    <xf numFmtId="0" fontId="10" fillId="33" borderId="116" xfId="0" applyFont="1" applyFill="1" applyBorder="1" applyAlignment="1">
      <alignment horizontal="left" vertical="center" wrapText="1"/>
    </xf>
    <xf numFmtId="0" fontId="0" fillId="0" borderId="0" xfId="0" applyAlignment="1">
      <alignment vertical="center" wrapText="1"/>
    </xf>
    <xf numFmtId="0" fontId="0" fillId="0" borderId="0" xfId="0" applyAlignment="1">
      <alignment wrapText="1"/>
    </xf>
    <xf numFmtId="0" fontId="7" fillId="18" borderId="35" xfId="0" applyFont="1" applyFill="1" applyBorder="1" applyAlignment="1" applyProtection="1">
      <alignment horizontal="left" vertical="center" wrapText="1"/>
      <protection locked="0"/>
    </xf>
    <xf numFmtId="0" fontId="7" fillId="18" borderId="34" xfId="0" applyFont="1" applyFill="1" applyBorder="1" applyAlignment="1" applyProtection="1">
      <alignment horizontal="left" vertical="center" wrapText="1"/>
      <protection locked="0"/>
    </xf>
    <xf numFmtId="0" fontId="10" fillId="38" borderId="50" xfId="0" applyFont="1" applyFill="1" applyBorder="1"/>
    <xf numFmtId="0" fontId="10" fillId="38" borderId="68" xfId="0" applyFont="1" applyFill="1" applyBorder="1"/>
    <xf numFmtId="168" fontId="7" fillId="38" borderId="55" xfId="30" applyNumberFormat="1" applyFont="1" applyFill="1" applyBorder="1" applyAlignment="1">
      <alignment horizontal="right"/>
    </xf>
    <xf numFmtId="168" fontId="7" fillId="38" borderId="56" xfId="30" applyNumberFormat="1" applyFont="1" applyFill="1" applyBorder="1" applyAlignment="1">
      <alignment horizontal="right"/>
    </xf>
    <xf numFmtId="168" fontId="7" fillId="38" borderId="59" xfId="30" applyNumberFormat="1" applyFont="1" applyFill="1" applyBorder="1" applyAlignment="1">
      <alignment horizontal="right"/>
    </xf>
    <xf numFmtId="0" fontId="7" fillId="33" borderId="141" xfId="0" applyFont="1" applyFill="1" applyBorder="1" applyAlignment="1">
      <alignment horizontal="left" vertical="center" wrapText="1" indent="4"/>
    </xf>
    <xf numFmtId="168" fontId="10" fillId="29" borderId="55" xfId="0" applyNumberFormat="1" applyFont="1" applyFill="1" applyBorder="1"/>
    <xf numFmtId="168" fontId="10" fillId="29" borderId="56" xfId="0" applyNumberFormat="1" applyFont="1" applyFill="1" applyBorder="1"/>
    <xf numFmtId="168" fontId="10" fillId="29" borderId="59" xfId="0" applyNumberFormat="1" applyFont="1" applyFill="1" applyBorder="1"/>
    <xf numFmtId="168" fontId="10" fillId="38" borderId="206" xfId="0" applyNumberFormat="1" applyFont="1" applyFill="1" applyBorder="1"/>
    <xf numFmtId="168" fontId="10" fillId="38" borderId="82" xfId="0" applyNumberFormat="1" applyFont="1" applyFill="1" applyBorder="1"/>
    <xf numFmtId="168" fontId="10" fillId="38" borderId="90" xfId="0" applyNumberFormat="1" applyFont="1" applyFill="1" applyBorder="1"/>
    <xf numFmtId="168" fontId="10" fillId="38" borderId="207" xfId="0" applyNumberFormat="1" applyFont="1" applyFill="1" applyBorder="1"/>
    <xf numFmtId="168" fontId="10" fillId="38" borderId="64" xfId="0" applyNumberFormat="1" applyFont="1" applyFill="1" applyBorder="1"/>
    <xf numFmtId="168" fontId="10" fillId="38" borderId="67" xfId="0" applyNumberFormat="1" applyFont="1" applyFill="1" applyBorder="1"/>
    <xf numFmtId="0" fontId="67" fillId="36" borderId="207" xfId="0" applyFont="1" applyFill="1" applyBorder="1" applyAlignment="1">
      <alignment horizontal="center" vertical="center" wrapText="1"/>
    </xf>
    <xf numFmtId="168" fontId="7" fillId="18" borderId="66" xfId="30" applyNumberFormat="1" applyFont="1" applyFill="1" applyBorder="1"/>
    <xf numFmtId="168" fontId="7" fillId="18" borderId="89" xfId="30" applyNumberFormat="1" applyFont="1" applyFill="1" applyBorder="1"/>
    <xf numFmtId="168" fontId="7" fillId="18" borderId="207" xfId="30" applyNumberFormat="1" applyFont="1" applyFill="1" applyBorder="1"/>
    <xf numFmtId="0" fontId="7" fillId="71" borderId="128" xfId="0" applyFont="1" applyFill="1" applyBorder="1" applyAlignment="1" applyProtection="1">
      <alignment vertical="center" wrapText="1"/>
      <protection locked="0"/>
    </xf>
    <xf numFmtId="0" fontId="7" fillId="71" borderId="35" xfId="0" applyFont="1" applyFill="1" applyBorder="1" applyAlignment="1" applyProtection="1">
      <alignment vertical="center" wrapText="1"/>
      <protection locked="0"/>
    </xf>
    <xf numFmtId="0" fontId="7" fillId="71" borderId="34" xfId="0" applyFont="1" applyFill="1" applyBorder="1" applyAlignment="1" applyProtection="1">
      <alignment vertical="center" wrapText="1"/>
      <protection locked="0"/>
    </xf>
    <xf numFmtId="0" fontId="10" fillId="33" borderId="141" xfId="0" applyFont="1" applyFill="1" applyBorder="1" applyAlignment="1">
      <alignment horizontal="left" vertical="center" wrapText="1"/>
    </xf>
    <xf numFmtId="0" fontId="10" fillId="33" borderId="140" xfId="0" applyFont="1" applyFill="1" applyBorder="1"/>
    <xf numFmtId="0" fontId="10" fillId="33" borderId="146" xfId="0" applyFont="1" applyFill="1" applyBorder="1" applyAlignment="1">
      <alignment horizontal="left" vertical="center" wrapText="1"/>
    </xf>
    <xf numFmtId="168" fontId="18" fillId="25" borderId="54" xfId="30" applyNumberFormat="1" applyFont="1" applyFill="1" applyBorder="1" applyAlignment="1">
      <alignment vertical="center" wrapText="1"/>
    </xf>
    <xf numFmtId="0" fontId="10" fillId="38" borderId="70" xfId="0" applyFont="1" applyFill="1" applyBorder="1" applyAlignment="1">
      <alignment horizontal="left" wrapText="1"/>
    </xf>
    <xf numFmtId="0" fontId="7" fillId="18" borderId="230" xfId="0" applyFont="1" applyFill="1" applyBorder="1" applyAlignment="1" applyProtection="1">
      <alignment vertical="center" wrapText="1"/>
      <protection locked="0"/>
    </xf>
    <xf numFmtId="168" fontId="10" fillId="38" borderId="206" xfId="0" applyNumberFormat="1" applyFont="1" applyFill="1" applyBorder="1" applyAlignment="1">
      <alignment horizontal="left" vertical="center" wrapText="1"/>
    </xf>
    <xf numFmtId="168" fontId="10" fillId="29" borderId="207" xfId="30" applyNumberFormat="1" applyFont="1" applyFill="1" applyBorder="1"/>
    <xf numFmtId="168" fontId="10" fillId="29" borderId="65" xfId="30" applyNumberFormat="1" applyFont="1" applyFill="1" applyBorder="1"/>
    <xf numFmtId="168" fontId="7" fillId="18" borderId="58" xfId="30" applyNumberFormat="1" applyFont="1" applyFill="1" applyBorder="1"/>
    <xf numFmtId="168" fontId="7" fillId="18" borderId="57" xfId="30" applyNumberFormat="1" applyFont="1" applyFill="1" applyBorder="1"/>
    <xf numFmtId="168" fontId="7" fillId="38" borderId="231" xfId="30" applyNumberFormat="1" applyFont="1" applyFill="1" applyBorder="1"/>
    <xf numFmtId="168" fontId="7" fillId="38" borderId="218" xfId="30" applyNumberFormat="1" applyFont="1" applyFill="1" applyBorder="1"/>
    <xf numFmtId="168" fontId="7" fillId="38" borderId="219" xfId="30" applyNumberFormat="1" applyFont="1" applyFill="1" applyBorder="1"/>
    <xf numFmtId="168" fontId="7" fillId="38" borderId="217" xfId="30" applyNumberFormat="1" applyFont="1" applyFill="1" applyBorder="1"/>
    <xf numFmtId="168" fontId="7" fillId="38" borderId="232" xfId="30" applyNumberFormat="1" applyFont="1" applyFill="1" applyBorder="1"/>
    <xf numFmtId="168" fontId="7" fillId="38" borderId="227" xfId="30" applyNumberFormat="1" applyFont="1" applyFill="1" applyBorder="1"/>
    <xf numFmtId="168" fontId="7" fillId="38" borderId="46" xfId="0" applyNumberFormat="1" applyFont="1" applyFill="1" applyBorder="1" applyAlignment="1">
      <alignment horizontal="left" vertical="center" wrapText="1"/>
    </xf>
    <xf numFmtId="168" fontId="7" fillId="38" borderId="60" xfId="0" applyNumberFormat="1" applyFont="1" applyFill="1" applyBorder="1" applyAlignment="1">
      <alignment horizontal="left" vertical="center" wrapText="1"/>
    </xf>
    <xf numFmtId="168" fontId="7" fillId="38" borderId="86" xfId="0" applyNumberFormat="1" applyFont="1" applyFill="1" applyBorder="1" applyAlignment="1">
      <alignment horizontal="left" vertical="center" wrapText="1"/>
    </xf>
    <xf numFmtId="168" fontId="7" fillId="38" borderId="61" xfId="0" applyNumberFormat="1" applyFont="1" applyFill="1" applyBorder="1" applyAlignment="1">
      <alignment horizontal="left" vertical="center" wrapText="1"/>
    </xf>
    <xf numFmtId="168" fontId="7" fillId="38" borderId="63" xfId="0" applyNumberFormat="1" applyFont="1" applyFill="1" applyBorder="1" applyAlignment="1">
      <alignment horizontal="left" vertical="center" wrapText="1"/>
    </xf>
    <xf numFmtId="168" fontId="7" fillId="38" borderId="46" xfId="0" applyNumberFormat="1" applyFont="1" applyFill="1" applyBorder="1" applyAlignment="1">
      <alignment horizontal="left" vertical="center"/>
    </xf>
    <xf numFmtId="168" fontId="7" fillId="38" borderId="60" xfId="0" applyNumberFormat="1" applyFont="1" applyFill="1" applyBorder="1" applyAlignment="1">
      <alignment horizontal="left" vertical="center"/>
    </xf>
    <xf numFmtId="168" fontId="7" fillId="38" borderId="86" xfId="0" applyNumberFormat="1" applyFont="1" applyFill="1" applyBorder="1" applyAlignment="1">
      <alignment horizontal="left" vertical="center"/>
    </xf>
    <xf numFmtId="168" fontId="7" fillId="38" borderId="63" xfId="0" applyNumberFormat="1" applyFont="1" applyFill="1" applyBorder="1" applyAlignment="1">
      <alignment horizontal="left" vertical="center"/>
    </xf>
    <xf numFmtId="168" fontId="18" fillId="25" borderId="36" xfId="30" applyNumberFormat="1" applyFont="1" applyFill="1" applyBorder="1" applyAlignment="1">
      <alignment vertical="center"/>
    </xf>
    <xf numFmtId="0" fontId="7" fillId="33" borderId="49" xfId="0" applyFont="1" applyFill="1" applyBorder="1" applyAlignment="1" applyProtection="1">
      <alignment horizontal="left" vertical="center" wrapText="1" indent="2"/>
      <protection locked="0"/>
    </xf>
    <xf numFmtId="0" fontId="7" fillId="33" borderId="50" xfId="0" applyFont="1" applyFill="1" applyBorder="1" applyAlignment="1" applyProtection="1">
      <alignment horizontal="left" vertical="center" wrapText="1" indent="2"/>
      <protection locked="0"/>
    </xf>
    <xf numFmtId="0" fontId="114" fillId="33" borderId="0" xfId="0" applyFont="1" applyFill="1"/>
    <xf numFmtId="0" fontId="114" fillId="0" borderId="0" xfId="0" applyFont="1"/>
    <xf numFmtId="164" fontId="10" fillId="33" borderId="0" xfId="44" applyNumberFormat="1" applyFont="1" applyFill="1" applyBorder="1"/>
    <xf numFmtId="0" fontId="10" fillId="33" borderId="36" xfId="0" applyFont="1" applyFill="1" applyBorder="1" applyAlignment="1" applyProtection="1">
      <alignment horizontal="right" vertical="center" wrapText="1"/>
      <protection locked="0"/>
    </xf>
    <xf numFmtId="0" fontId="10" fillId="33" borderId="48" xfId="0" applyFont="1" applyFill="1" applyBorder="1" applyAlignment="1">
      <alignment horizontal="left" vertical="center" wrapText="1"/>
    </xf>
    <xf numFmtId="41" fontId="114" fillId="29" borderId="64" xfId="0" applyNumberFormat="1" applyFont="1" applyFill="1" applyBorder="1"/>
    <xf numFmtId="0" fontId="7" fillId="33" borderId="51" xfId="0" applyFont="1" applyFill="1" applyBorder="1" applyAlignment="1" applyProtection="1">
      <alignment horizontal="right" vertical="center" wrapText="1"/>
      <protection locked="0"/>
    </xf>
    <xf numFmtId="0" fontId="83" fillId="33" borderId="0" xfId="0" applyFont="1" applyFill="1"/>
    <xf numFmtId="0" fontId="83" fillId="0" borderId="0" xfId="0" applyFont="1"/>
    <xf numFmtId="0" fontId="7" fillId="18" borderId="46" xfId="0" applyFont="1" applyFill="1" applyBorder="1" applyAlignment="1">
      <alignment horizontal="left" vertical="center" wrapText="1"/>
    </xf>
    <xf numFmtId="0" fontId="7" fillId="18" borderId="63" xfId="0" applyFont="1" applyFill="1" applyBorder="1" applyAlignment="1">
      <alignment horizontal="left" vertical="center" wrapText="1"/>
    </xf>
    <xf numFmtId="0" fontId="7" fillId="18" borderId="207" xfId="0" applyFont="1" applyFill="1" applyBorder="1" applyAlignment="1">
      <alignment horizontal="left" vertical="center" wrapText="1"/>
    </xf>
    <xf numFmtId="0" fontId="7" fillId="18" borderId="67" xfId="0" applyFont="1" applyFill="1" applyBorder="1" applyAlignment="1">
      <alignment horizontal="left" vertical="center" wrapText="1"/>
    </xf>
    <xf numFmtId="0" fontId="7" fillId="18" borderId="86" xfId="0" applyFont="1" applyFill="1" applyBorder="1" applyAlignment="1">
      <alignment horizontal="left" vertical="center" wrapText="1" indent="2"/>
    </xf>
    <xf numFmtId="0" fontId="7" fillId="18" borderId="88" xfId="0" applyFont="1" applyFill="1" applyBorder="1" applyAlignment="1">
      <alignment horizontal="left" vertical="center" wrapText="1" indent="2"/>
    </xf>
    <xf numFmtId="0" fontId="7" fillId="18" borderId="46" xfId="0" applyFont="1" applyFill="1" applyBorder="1" applyAlignment="1">
      <alignment horizontal="left" vertical="center"/>
    </xf>
    <xf numFmtId="0" fontId="7" fillId="18" borderId="63" xfId="0" applyFont="1" applyFill="1" applyBorder="1" applyAlignment="1">
      <alignment horizontal="left" vertical="center"/>
    </xf>
    <xf numFmtId="0" fontId="7" fillId="18" borderId="133" xfId="0" applyFont="1" applyFill="1" applyBorder="1" applyAlignment="1">
      <alignment horizontal="left" vertical="center" wrapText="1" indent="2"/>
    </xf>
    <xf numFmtId="0" fontId="7" fillId="18" borderId="55" xfId="0" applyFont="1" applyFill="1" applyBorder="1" applyAlignment="1">
      <alignment horizontal="left" vertical="center" wrapText="1"/>
    </xf>
    <xf numFmtId="0" fontId="7" fillId="18" borderId="59" xfId="0" applyFont="1" applyFill="1" applyBorder="1" applyAlignment="1">
      <alignment horizontal="left" vertical="center" wrapText="1"/>
    </xf>
    <xf numFmtId="0" fontId="7" fillId="18" borderId="56" xfId="0" applyFont="1" applyFill="1" applyBorder="1" applyAlignment="1" applyProtection="1">
      <alignment horizontal="right" vertical="center"/>
      <protection locked="0"/>
    </xf>
    <xf numFmtId="0" fontId="7" fillId="18" borderId="85" xfId="0" applyFont="1" applyFill="1" applyBorder="1" applyAlignment="1">
      <alignment horizontal="left" vertical="center" wrapText="1" indent="2"/>
    </xf>
    <xf numFmtId="0" fontId="7" fillId="18" borderId="206" xfId="0" applyFont="1" applyFill="1" applyBorder="1" applyAlignment="1">
      <alignment horizontal="left" vertical="center" wrapText="1"/>
    </xf>
    <xf numFmtId="0" fontId="7" fillId="18" borderId="90" xfId="0" applyFont="1" applyFill="1" applyBorder="1" applyAlignment="1">
      <alignment horizontal="left" vertical="center" wrapText="1"/>
    </xf>
    <xf numFmtId="0" fontId="7" fillId="18" borderId="82" xfId="0" applyFont="1" applyFill="1" applyBorder="1" applyAlignment="1" applyProtection="1">
      <alignment horizontal="right" vertical="center"/>
      <protection locked="0"/>
    </xf>
    <xf numFmtId="0" fontId="7" fillId="18" borderId="234" xfId="0" applyFont="1" applyFill="1" applyBorder="1" applyAlignment="1">
      <alignment horizontal="left" vertical="center" wrapText="1" indent="2"/>
    </xf>
    <xf numFmtId="0" fontId="7" fillId="18" borderId="217" xfId="0" applyFont="1" applyFill="1" applyBorder="1" applyAlignment="1">
      <alignment horizontal="left" vertical="center" wrapText="1"/>
    </xf>
    <xf numFmtId="0" fontId="7" fillId="18" borderId="219" xfId="0" applyFont="1" applyFill="1" applyBorder="1" applyAlignment="1">
      <alignment horizontal="left" vertical="center" wrapText="1"/>
    </xf>
    <xf numFmtId="0" fontId="7" fillId="18" borderId="218" xfId="0" applyFont="1" applyFill="1" applyBorder="1" applyAlignment="1" applyProtection="1">
      <alignment horizontal="right" vertical="center"/>
      <protection locked="0"/>
    </xf>
    <xf numFmtId="0" fontId="7" fillId="18" borderId="237" xfId="0" applyFont="1" applyFill="1" applyBorder="1" applyAlignment="1">
      <alignment horizontal="left" vertical="center" wrapText="1" indent="2"/>
    </xf>
    <xf numFmtId="0" fontId="7" fillId="18" borderId="238" xfId="0" applyFont="1" applyFill="1" applyBorder="1" applyAlignment="1">
      <alignment horizontal="left" vertical="center" wrapText="1"/>
    </xf>
    <xf numFmtId="0" fontId="7" fillId="18" borderId="239" xfId="0" applyFont="1" applyFill="1" applyBorder="1" applyAlignment="1">
      <alignment horizontal="left" vertical="center" wrapText="1"/>
    </xf>
    <xf numFmtId="0" fontId="7" fillId="18" borderId="240" xfId="0" applyFont="1" applyFill="1" applyBorder="1" applyAlignment="1" applyProtection="1">
      <alignment horizontal="right" vertical="center"/>
      <protection locked="0"/>
    </xf>
    <xf numFmtId="0" fontId="7" fillId="18" borderId="206" xfId="0" applyFont="1" applyFill="1" applyBorder="1" applyAlignment="1">
      <alignment horizontal="left" vertical="center"/>
    </xf>
    <xf numFmtId="0" fontId="7" fillId="18" borderId="90" xfId="0" applyFont="1" applyFill="1" applyBorder="1" applyAlignment="1">
      <alignment horizontal="left" vertical="center"/>
    </xf>
    <xf numFmtId="0" fontId="10" fillId="29" borderId="51" xfId="0" applyFont="1" applyFill="1" applyBorder="1" applyAlignment="1">
      <alignment horizontal="left" vertical="center"/>
    </xf>
    <xf numFmtId="0" fontId="10" fillId="29" borderId="53" xfId="0" applyFont="1" applyFill="1" applyBorder="1" applyAlignment="1">
      <alignment horizontal="left" vertical="center"/>
    </xf>
    <xf numFmtId="0" fontId="7" fillId="18" borderId="206" xfId="0" applyFont="1" applyFill="1" applyBorder="1"/>
    <xf numFmtId="168" fontId="7" fillId="38" borderId="206" xfId="30" applyNumberFormat="1" applyFont="1" applyFill="1" applyBorder="1"/>
    <xf numFmtId="0" fontId="7" fillId="33" borderId="233" xfId="0" applyFont="1" applyFill="1" applyBorder="1" applyAlignment="1">
      <alignment horizontal="left" vertical="center" wrapText="1" indent="2"/>
    </xf>
    <xf numFmtId="0" fontId="7" fillId="18" borderId="217" xfId="0" applyFont="1" applyFill="1" applyBorder="1"/>
    <xf numFmtId="0" fontId="7" fillId="18" borderId="218" xfId="0" applyFont="1" applyFill="1" applyBorder="1"/>
    <xf numFmtId="0" fontId="7" fillId="18" borderId="219" xfId="0" applyFont="1" applyFill="1" applyBorder="1"/>
    <xf numFmtId="0" fontId="7" fillId="18" borderId="232" xfId="0" applyFont="1" applyFill="1" applyBorder="1"/>
    <xf numFmtId="0" fontId="7" fillId="18" borderId="207" xfId="0" applyFont="1" applyFill="1" applyBorder="1"/>
    <xf numFmtId="168" fontId="7" fillId="25" borderId="206" xfId="30" applyNumberFormat="1" applyFont="1" applyFill="1" applyBorder="1"/>
    <xf numFmtId="168" fontId="7" fillId="25" borderId="61" xfId="30" applyNumberFormat="1" applyFont="1" applyFill="1" applyBorder="1"/>
    <xf numFmtId="168" fontId="7" fillId="25" borderId="207" xfId="30" applyNumberFormat="1" applyFont="1" applyFill="1" applyBorder="1"/>
    <xf numFmtId="168" fontId="7" fillId="25" borderId="64" xfId="30" applyNumberFormat="1" applyFont="1" applyFill="1" applyBorder="1"/>
    <xf numFmtId="168" fontId="7" fillId="25" borderId="65" xfId="30" applyNumberFormat="1" applyFont="1" applyFill="1" applyBorder="1"/>
    <xf numFmtId="168" fontId="7" fillId="38" borderId="207" xfId="30" applyNumberFormat="1" applyFont="1" applyFill="1" applyBorder="1"/>
    <xf numFmtId="168" fontId="7" fillId="38" borderId="85" xfId="30" applyNumberFormat="1" applyFont="1" applyFill="1" applyBorder="1"/>
    <xf numFmtId="168" fontId="7" fillId="38" borderId="60" xfId="0" applyNumberFormat="1" applyFont="1" applyFill="1" applyBorder="1" applyAlignment="1">
      <alignment horizontal="center"/>
    </xf>
    <xf numFmtId="0" fontId="10" fillId="39" borderId="66" xfId="0" applyFont="1" applyFill="1" applyBorder="1" applyAlignment="1">
      <alignment horizontal="center" vertical="center" wrapText="1"/>
    </xf>
    <xf numFmtId="0" fontId="7" fillId="18" borderId="58" xfId="0" applyFont="1" applyFill="1" applyBorder="1"/>
    <xf numFmtId="0" fontId="7" fillId="33" borderId="215" xfId="0" applyFont="1" applyFill="1" applyBorder="1" applyAlignment="1">
      <alignment horizontal="left" indent="1"/>
    </xf>
    <xf numFmtId="0" fontId="7" fillId="18" borderId="245" xfId="0" applyFont="1" applyFill="1" applyBorder="1"/>
    <xf numFmtId="0" fontId="7" fillId="18" borderId="240" xfId="0" applyFont="1" applyFill="1" applyBorder="1"/>
    <xf numFmtId="0" fontId="7" fillId="18" borderId="238" xfId="0" applyFont="1" applyFill="1" applyBorder="1"/>
    <xf numFmtId="0" fontId="7" fillId="18" borderId="239" xfId="0" applyFont="1" applyFill="1" applyBorder="1"/>
    <xf numFmtId="0" fontId="7" fillId="33" borderId="238" xfId="0" applyFont="1" applyFill="1" applyBorder="1" applyAlignment="1">
      <alignment horizontal="left" vertical="center" wrapText="1" indent="2"/>
    </xf>
    <xf numFmtId="168" fontId="7" fillId="38" borderId="240" xfId="30" applyNumberFormat="1" applyFont="1" applyFill="1" applyBorder="1"/>
    <xf numFmtId="168" fontId="7" fillId="38" borderId="239" xfId="30" applyNumberFormat="1" applyFont="1" applyFill="1" applyBorder="1"/>
    <xf numFmtId="0" fontId="7" fillId="33" borderId="207" xfId="0" applyFont="1" applyFill="1" applyBorder="1" applyAlignment="1">
      <alignment horizontal="left" vertical="center" wrapText="1" indent="2"/>
    </xf>
    <xf numFmtId="0" fontId="7" fillId="33" borderId="206" xfId="0" applyFont="1" applyFill="1" applyBorder="1" applyAlignment="1">
      <alignment horizontal="left" vertical="center" wrapText="1" indent="2"/>
    </xf>
    <xf numFmtId="0" fontId="7" fillId="33" borderId="0" xfId="0" applyFont="1" applyFill="1" applyAlignment="1">
      <alignment horizontal="left" vertical="center"/>
    </xf>
    <xf numFmtId="0" fontId="0" fillId="0" borderId="0" xfId="0" applyAlignment="1">
      <alignment horizontal="left" vertical="center"/>
    </xf>
    <xf numFmtId="0" fontId="7" fillId="20" borderId="0" xfId="0" applyFont="1" applyFill="1" applyAlignment="1">
      <alignment horizontal="left" vertical="center"/>
    </xf>
    <xf numFmtId="0" fontId="10" fillId="29" borderId="126" xfId="0" applyFont="1" applyFill="1" applyBorder="1" applyAlignment="1">
      <alignment horizontal="left" vertical="center"/>
    </xf>
    <xf numFmtId="0" fontId="67" fillId="29" borderId="130" xfId="0" applyFont="1" applyFill="1" applyBorder="1" applyAlignment="1">
      <alignment horizontal="left" vertical="center"/>
    </xf>
    <xf numFmtId="0" fontId="67" fillId="29" borderId="131" xfId="0" applyFont="1" applyFill="1" applyBorder="1" applyAlignment="1">
      <alignment horizontal="left" vertical="center"/>
    </xf>
    <xf numFmtId="0" fontId="7" fillId="31" borderId="50" xfId="0" applyFont="1" applyFill="1" applyBorder="1" applyAlignment="1">
      <alignment horizontal="left" vertical="center" wrapText="1" indent="1"/>
    </xf>
    <xf numFmtId="43" fontId="7" fillId="31" borderId="46" xfId="0" applyNumberFormat="1" applyFont="1" applyFill="1" applyBorder="1"/>
    <xf numFmtId="43" fontId="7" fillId="31" borderId="60" xfId="0" applyNumberFormat="1" applyFont="1" applyFill="1" applyBorder="1"/>
    <xf numFmtId="43" fontId="7" fillId="31" borderId="86" xfId="0" applyNumberFormat="1" applyFont="1" applyFill="1" applyBorder="1"/>
    <xf numFmtId="43" fontId="7" fillId="31" borderId="63" xfId="0" applyNumberFormat="1" applyFont="1" applyFill="1" applyBorder="1"/>
    <xf numFmtId="43" fontId="7" fillId="31" borderId="62" xfId="0" applyNumberFormat="1" applyFont="1" applyFill="1" applyBorder="1"/>
    <xf numFmtId="43" fontId="7" fillId="31" borderId="61" xfId="0" applyNumberFormat="1" applyFont="1" applyFill="1" applyBorder="1"/>
    <xf numFmtId="0" fontId="7" fillId="31" borderId="50" xfId="0" applyFont="1" applyFill="1" applyBorder="1" applyAlignment="1">
      <alignment horizontal="left" indent="1"/>
    </xf>
    <xf numFmtId="168" fontId="7" fillId="31" borderId="61" xfId="30" applyNumberFormat="1" applyFont="1" applyFill="1" applyBorder="1"/>
    <xf numFmtId="0" fontId="7" fillId="31" borderId="68" xfId="0" applyFont="1" applyFill="1" applyBorder="1" applyAlignment="1">
      <alignment horizontal="left" indent="1"/>
    </xf>
    <xf numFmtId="168" fontId="7" fillId="31" borderId="48" xfId="30" applyNumberFormat="1" applyFont="1" applyFill="1" applyBorder="1"/>
    <xf numFmtId="168" fontId="7" fillId="31" borderId="64" xfId="30" applyNumberFormat="1" applyFont="1" applyFill="1" applyBorder="1"/>
    <xf numFmtId="168" fontId="7" fillId="31" borderId="88" xfId="30" applyNumberFormat="1" applyFont="1" applyFill="1" applyBorder="1"/>
    <xf numFmtId="168" fontId="7" fillId="31" borderId="67" xfId="30" applyNumberFormat="1" applyFont="1" applyFill="1" applyBorder="1"/>
    <xf numFmtId="168" fontId="7" fillId="31" borderId="66" xfId="30" applyNumberFormat="1" applyFont="1" applyFill="1" applyBorder="1"/>
    <xf numFmtId="168" fontId="7" fillId="31" borderId="65" xfId="30" applyNumberFormat="1" applyFont="1" applyFill="1" applyBorder="1"/>
    <xf numFmtId="0" fontId="7" fillId="33" borderId="94" xfId="0" applyFont="1" applyFill="1" applyBorder="1" applyAlignment="1">
      <alignment horizontal="left" vertical="center" wrapText="1" indent="2"/>
    </xf>
    <xf numFmtId="0" fontId="10" fillId="29" borderId="130" xfId="0" applyFont="1" applyFill="1" applyBorder="1" applyAlignment="1">
      <alignment horizontal="left" vertical="center"/>
    </xf>
    <xf numFmtId="0" fontId="79" fillId="27" borderId="35" xfId="0" applyFont="1" applyFill="1" applyBorder="1" applyAlignment="1">
      <alignment vertical="center"/>
    </xf>
    <xf numFmtId="168" fontId="7" fillId="38" borderId="86" xfId="0" applyNumberFormat="1" applyFont="1" applyFill="1" applyBorder="1" applyAlignment="1">
      <alignment horizontal="center"/>
    </xf>
    <xf numFmtId="0" fontId="10" fillId="18" borderId="86" xfId="0" applyFont="1" applyFill="1" applyBorder="1"/>
    <xf numFmtId="168" fontId="7" fillId="38" borderId="62" xfId="0" applyNumberFormat="1" applyFont="1" applyFill="1" applyBorder="1" applyAlignment="1">
      <alignment horizontal="center"/>
    </xf>
    <xf numFmtId="168" fontId="7" fillId="38" borderId="206" xfId="0" applyNumberFormat="1" applyFont="1" applyFill="1" applyBorder="1" applyAlignment="1">
      <alignment horizontal="center"/>
    </xf>
    <xf numFmtId="168" fontId="7" fillId="38" borderId="82" xfId="0" applyNumberFormat="1" applyFont="1" applyFill="1" applyBorder="1" applyAlignment="1">
      <alignment horizontal="center"/>
    </xf>
    <xf numFmtId="168" fontId="7" fillId="38" borderId="90" xfId="0" applyNumberFormat="1" applyFont="1" applyFill="1" applyBorder="1" applyAlignment="1">
      <alignment horizontal="center"/>
    </xf>
    <xf numFmtId="0" fontId="7" fillId="29" borderId="207" xfId="0" applyFont="1" applyFill="1" applyBorder="1"/>
    <xf numFmtId="0" fontId="10" fillId="18" borderId="62" xfId="0" applyFont="1" applyFill="1" applyBorder="1"/>
    <xf numFmtId="0" fontId="10" fillId="29" borderId="207" xfId="0" applyFont="1" applyFill="1" applyBorder="1" applyAlignment="1">
      <alignment wrapText="1"/>
    </xf>
    <xf numFmtId="0" fontId="10" fillId="29" borderId="158" xfId="0" applyFont="1" applyFill="1" applyBorder="1" applyAlignment="1">
      <alignment wrapText="1"/>
    </xf>
    <xf numFmtId="0" fontId="10" fillId="29" borderId="130" xfId="0" applyFont="1" applyFill="1" applyBorder="1" applyAlignment="1">
      <alignment wrapText="1"/>
    </xf>
    <xf numFmtId="0" fontId="7" fillId="29" borderId="159" xfId="0" applyFont="1" applyFill="1" applyBorder="1"/>
    <xf numFmtId="0" fontId="7" fillId="29" borderId="160" xfId="0" applyFont="1" applyFill="1" applyBorder="1"/>
    <xf numFmtId="0" fontId="7" fillId="29" borderId="150" xfId="0" applyFont="1" applyFill="1" applyBorder="1"/>
    <xf numFmtId="0" fontId="7" fillId="29" borderId="151" xfId="0" applyFont="1" applyFill="1" applyBorder="1"/>
    <xf numFmtId="0" fontId="7" fillId="29" borderId="161" xfId="0" applyFont="1" applyFill="1" applyBorder="1"/>
    <xf numFmtId="0" fontId="7" fillId="29" borderId="54" xfId="0" applyNumberFormat="1" applyFont="1" applyFill="1" applyBorder="1"/>
    <xf numFmtId="43" fontId="10" fillId="38" borderId="206" xfId="0" applyNumberFormat="1" applyFont="1" applyFill="1" applyBorder="1" applyAlignment="1">
      <alignment horizontal="center"/>
    </xf>
    <xf numFmtId="0" fontId="7" fillId="29" borderId="206" xfId="0" applyFont="1" applyFill="1" applyBorder="1"/>
    <xf numFmtId="0" fontId="7" fillId="29" borderId="207" xfId="0" applyNumberFormat="1" applyFont="1" applyFill="1" applyBorder="1"/>
    <xf numFmtId="0" fontId="89" fillId="29" borderId="23" xfId="0" applyFont="1" applyFill="1" applyBorder="1" applyAlignment="1">
      <alignment vertical="center"/>
    </xf>
    <xf numFmtId="0" fontId="7" fillId="25" borderId="207" xfId="0" applyFont="1" applyFill="1" applyBorder="1" applyAlignment="1">
      <alignment horizontal="left" vertical="center" wrapText="1" indent="2"/>
    </xf>
    <xf numFmtId="43" fontId="7" fillId="38" borderId="206" xfId="0" applyNumberFormat="1" applyFont="1" applyFill="1" applyBorder="1" applyAlignment="1">
      <alignment horizontal="center"/>
    </xf>
    <xf numFmtId="43" fontId="7" fillId="38" borderId="82" xfId="0" applyNumberFormat="1" applyFont="1" applyFill="1" applyBorder="1" applyAlignment="1">
      <alignment horizontal="center"/>
    </xf>
    <xf numFmtId="43" fontId="7" fillId="38" borderId="89" xfId="0" applyNumberFormat="1" applyFont="1" applyFill="1" applyBorder="1" applyAlignment="1">
      <alignment horizontal="center"/>
    </xf>
    <xf numFmtId="43" fontId="7" fillId="38" borderId="90" xfId="0" applyNumberFormat="1" applyFont="1" applyFill="1" applyBorder="1" applyAlignment="1">
      <alignment horizontal="center"/>
    </xf>
    <xf numFmtId="0" fontId="0" fillId="33" borderId="0" xfId="0" applyFill="1" applyAlignment="1">
      <alignment vertical="center" wrapText="1"/>
    </xf>
    <xf numFmtId="0" fontId="10" fillId="29" borderId="127" xfId="0" applyFont="1" applyFill="1" applyBorder="1" applyAlignment="1">
      <alignment horizontal="left" vertical="center" wrapText="1" indent="1"/>
    </xf>
    <xf numFmtId="0" fontId="7" fillId="29" borderId="49" xfId="0" applyFont="1" applyFill="1" applyBorder="1" applyAlignment="1">
      <alignment wrapText="1"/>
    </xf>
    <xf numFmtId="0" fontId="7" fillId="29" borderId="74" xfId="0" applyFont="1" applyFill="1" applyBorder="1" applyAlignment="1">
      <alignment wrapText="1"/>
    </xf>
    <xf numFmtId="0" fontId="7" fillId="29" borderId="75" xfId="0" applyFont="1" applyFill="1" applyBorder="1" applyAlignment="1">
      <alignment wrapText="1"/>
    </xf>
    <xf numFmtId="0" fontId="67" fillId="31" borderId="22" xfId="0" applyFont="1" applyFill="1" applyBorder="1" applyAlignment="1">
      <alignment vertical="center"/>
    </xf>
    <xf numFmtId="168" fontId="7" fillId="38" borderId="55" xfId="0" applyNumberFormat="1" applyFont="1" applyFill="1" applyBorder="1" applyAlignment="1">
      <alignment horizontal="center"/>
    </xf>
    <xf numFmtId="168" fontId="7" fillId="38" borderId="56" xfId="0" applyNumberFormat="1" applyFont="1" applyFill="1" applyBorder="1" applyAlignment="1">
      <alignment horizontal="center"/>
    </xf>
    <xf numFmtId="168" fontId="7" fillId="29" borderId="207" xfId="0" applyNumberFormat="1" applyFont="1" applyFill="1" applyBorder="1" applyAlignment="1">
      <alignment horizontal="center"/>
    </xf>
    <xf numFmtId="168" fontId="7" fillId="29" borderId="64" xfId="0" applyNumberFormat="1" applyFont="1" applyFill="1" applyBorder="1" applyAlignment="1">
      <alignment horizontal="center"/>
    </xf>
    <xf numFmtId="168" fontId="7" fillId="38" borderId="85" xfId="0" applyNumberFormat="1" applyFont="1" applyFill="1" applyBorder="1" applyAlignment="1">
      <alignment horizontal="center"/>
    </xf>
    <xf numFmtId="168" fontId="7" fillId="29" borderId="88" xfId="0" applyNumberFormat="1" applyFont="1" applyFill="1" applyBorder="1" applyAlignment="1">
      <alignment horizontal="center"/>
    </xf>
    <xf numFmtId="0" fontId="67" fillId="31" borderId="23" xfId="0" applyFont="1" applyFill="1" applyBorder="1" applyAlignment="1">
      <alignment vertical="center"/>
    </xf>
    <xf numFmtId="168" fontId="7" fillId="30" borderId="207" xfId="0" applyNumberFormat="1" applyFont="1" applyFill="1" applyBorder="1" applyAlignment="1">
      <alignment horizontal="center"/>
    </xf>
    <xf numFmtId="168" fontId="7" fillId="30" borderId="64" xfId="0" applyNumberFormat="1" applyFont="1" applyFill="1" applyBorder="1" applyAlignment="1">
      <alignment horizontal="center"/>
    </xf>
    <xf numFmtId="168" fontId="7" fillId="30" borderId="88" xfId="0" applyNumberFormat="1" applyFont="1" applyFill="1" applyBorder="1" applyAlignment="1">
      <alignment horizontal="center"/>
    </xf>
    <xf numFmtId="168" fontId="7" fillId="30" borderId="65" xfId="0" applyNumberFormat="1" applyFont="1" applyFill="1" applyBorder="1" applyAlignment="1">
      <alignment horizontal="center"/>
    </xf>
    <xf numFmtId="43" fontId="7" fillId="31" borderId="207" xfId="0" applyNumberFormat="1" applyFont="1" applyFill="1" applyBorder="1"/>
    <xf numFmtId="168" fontId="7" fillId="38" borderId="58" xfId="0" applyNumberFormat="1" applyFont="1" applyFill="1" applyBorder="1" applyAlignment="1">
      <alignment horizontal="center"/>
    </xf>
    <xf numFmtId="168" fontId="7" fillId="38" borderId="133" xfId="0" applyNumberFormat="1" applyFont="1" applyFill="1" applyBorder="1" applyAlignment="1">
      <alignment horizontal="center"/>
    </xf>
    <xf numFmtId="168" fontId="7" fillId="29" borderId="206" xfId="30" applyNumberFormat="1" applyFont="1" applyFill="1" applyBorder="1" applyAlignment="1">
      <alignment horizontal="right"/>
    </xf>
    <xf numFmtId="168" fontId="10" fillId="30" borderId="207" xfId="0" applyNumberFormat="1" applyFont="1" applyFill="1" applyBorder="1" applyAlignment="1">
      <alignment horizontal="right" vertical="center"/>
    </xf>
    <xf numFmtId="168" fontId="49" fillId="18" borderId="106" xfId="30" applyNumberFormat="1" applyFont="1" applyFill="1" applyBorder="1" applyAlignment="1">
      <alignment horizontal="right"/>
    </xf>
    <xf numFmtId="168" fontId="7" fillId="29" borderId="89" xfId="30" applyNumberFormat="1" applyFont="1" applyFill="1" applyBorder="1"/>
    <xf numFmtId="168" fontId="7" fillId="29" borderId="206" xfId="30" applyNumberFormat="1" applyFont="1" applyFill="1" applyBorder="1"/>
    <xf numFmtId="168" fontId="7" fillId="30" borderId="207" xfId="30" applyNumberFormat="1" applyFont="1" applyFill="1" applyBorder="1"/>
    <xf numFmtId="168" fontId="7" fillId="43" borderId="21" xfId="30" applyNumberFormat="1" applyFont="1" applyFill="1" applyBorder="1"/>
    <xf numFmtId="168" fontId="7" fillId="43" borderId="22" xfId="30" applyNumberFormat="1" applyFont="1" applyFill="1" applyBorder="1"/>
    <xf numFmtId="168" fontId="7" fillId="43" borderId="19" xfId="30" applyNumberFormat="1" applyFont="1" applyFill="1" applyBorder="1"/>
    <xf numFmtId="168" fontId="7" fillId="43" borderId="0" xfId="30" applyNumberFormat="1" applyFont="1" applyFill="1" applyBorder="1"/>
    <xf numFmtId="168" fontId="7" fillId="43" borderId="49" xfId="30" applyNumberFormat="1" applyFont="1" applyFill="1" applyBorder="1"/>
    <xf numFmtId="168" fontId="7" fillId="43" borderId="74" xfId="30" applyNumberFormat="1" applyFont="1" applyFill="1" applyBorder="1"/>
    <xf numFmtId="168" fontId="7" fillId="43" borderId="75" xfId="30" applyNumberFormat="1" applyFont="1" applyFill="1" applyBorder="1"/>
    <xf numFmtId="0" fontId="7" fillId="43" borderId="203" xfId="0" applyFont="1" applyFill="1" applyBorder="1" applyAlignment="1" applyProtection="1">
      <alignment vertical="center" wrapText="1"/>
      <protection locked="0"/>
    </xf>
    <xf numFmtId="0" fontId="7" fillId="43" borderId="128" xfId="0" applyFont="1" applyFill="1" applyBorder="1" applyAlignment="1" applyProtection="1">
      <alignment vertical="center" wrapText="1"/>
      <protection locked="0"/>
    </xf>
    <xf numFmtId="0" fontId="7" fillId="43" borderId="35" xfId="0" applyFont="1" applyFill="1" applyBorder="1" applyAlignment="1" applyProtection="1">
      <alignment vertical="center" wrapText="1"/>
      <protection locked="0"/>
    </xf>
    <xf numFmtId="0" fontId="7" fillId="43" borderId="34" xfId="0" applyFont="1" applyFill="1" applyBorder="1" applyAlignment="1" applyProtection="1">
      <alignment vertical="center" wrapText="1"/>
      <protection locked="0"/>
    </xf>
    <xf numFmtId="168" fontId="7" fillId="43" borderId="23" xfId="30" applyNumberFormat="1" applyFont="1" applyFill="1" applyBorder="1"/>
    <xf numFmtId="168" fontId="7" fillId="43" borderId="24" xfId="30" applyNumberFormat="1" applyFont="1" applyFill="1" applyBorder="1"/>
    <xf numFmtId="0" fontId="18" fillId="43" borderId="72" xfId="0" applyFont="1" applyFill="1" applyBorder="1" applyAlignment="1">
      <alignment horizontal="left" vertical="center" wrapText="1"/>
    </xf>
    <xf numFmtId="0" fontId="10" fillId="43" borderId="76" xfId="0" applyFont="1" applyFill="1" applyBorder="1" applyAlignment="1">
      <alignment horizontal="left" vertical="center" wrapText="1"/>
    </xf>
    <xf numFmtId="0" fontId="16" fillId="43" borderId="73" xfId="0" applyFont="1" applyFill="1" applyBorder="1" applyAlignment="1">
      <alignment horizontal="left" vertical="center" wrapText="1"/>
    </xf>
    <xf numFmtId="0" fontId="7" fillId="43" borderId="76" xfId="0" applyFont="1" applyFill="1" applyBorder="1" applyAlignment="1">
      <alignment horizontal="left" vertical="center" wrapText="1" indent="2"/>
    </xf>
    <xf numFmtId="0" fontId="0" fillId="43" borderId="73" xfId="0" applyFill="1" applyBorder="1"/>
    <xf numFmtId="0" fontId="10" fillId="43" borderId="76" xfId="0" applyFont="1" applyFill="1" applyBorder="1" applyAlignment="1">
      <alignment wrapText="1"/>
    </xf>
    <xf numFmtId="0" fontId="0" fillId="43" borderId="91" xfId="0" applyFill="1" applyBorder="1"/>
    <xf numFmtId="0" fontId="10" fillId="43" borderId="116" xfId="0" applyFont="1" applyFill="1" applyBorder="1" applyAlignment="1">
      <alignment wrapText="1"/>
    </xf>
    <xf numFmtId="0" fontId="15" fillId="43" borderId="72" xfId="0" applyFont="1" applyFill="1" applyBorder="1"/>
    <xf numFmtId="0" fontId="10" fillId="43" borderId="50" xfId="0" applyFont="1" applyFill="1" applyBorder="1" applyAlignment="1">
      <alignment wrapText="1"/>
    </xf>
    <xf numFmtId="0" fontId="10" fillId="43" borderId="68" xfId="0" applyFont="1" applyFill="1" applyBorder="1" applyAlignment="1">
      <alignment wrapText="1"/>
    </xf>
    <xf numFmtId="0" fontId="10" fillId="43" borderId="49" xfId="0" applyFont="1" applyFill="1" applyBorder="1" applyAlignment="1">
      <alignment horizontal="left" vertical="center" wrapText="1"/>
    </xf>
    <xf numFmtId="0" fontId="7" fillId="43" borderId="76" xfId="0" applyFont="1" applyFill="1" applyBorder="1" applyAlignment="1">
      <alignment horizontal="left" vertical="center" wrapText="1" indent="4"/>
    </xf>
    <xf numFmtId="0" fontId="10" fillId="43" borderId="49" xfId="0" applyFont="1" applyFill="1" applyBorder="1" applyAlignment="1">
      <alignment horizontal="left" wrapText="1"/>
    </xf>
    <xf numFmtId="168" fontId="7" fillId="25" borderId="46" xfId="30" applyNumberFormat="1" applyFont="1" applyFill="1" applyBorder="1" applyAlignment="1">
      <alignment horizontal="right"/>
    </xf>
    <xf numFmtId="168" fontId="7" fillId="25" borderId="60" xfId="30" applyNumberFormat="1" applyFont="1" applyFill="1" applyBorder="1" applyAlignment="1">
      <alignment horizontal="right"/>
    </xf>
    <xf numFmtId="168" fontId="7" fillId="25" borderId="63" xfId="30" applyNumberFormat="1" applyFont="1" applyFill="1" applyBorder="1" applyAlignment="1">
      <alignment horizontal="right"/>
    </xf>
    <xf numFmtId="168" fontId="7" fillId="25" borderId="62" xfId="30" applyNumberFormat="1" applyFont="1" applyFill="1" applyBorder="1" applyAlignment="1">
      <alignment horizontal="right"/>
    </xf>
    <xf numFmtId="168" fontId="7" fillId="31" borderId="78" xfId="30" applyNumberFormat="1" applyFont="1" applyFill="1" applyBorder="1" applyAlignment="1">
      <alignment horizontal="right"/>
    </xf>
    <xf numFmtId="168" fontId="7" fillId="18" borderId="79" xfId="30" applyNumberFormat="1" applyFont="1" applyFill="1" applyBorder="1" applyAlignment="1">
      <alignment horizontal="right"/>
    </xf>
    <xf numFmtId="168" fontId="7" fillId="18" borderId="80" xfId="30" applyNumberFormat="1" applyFont="1" applyFill="1" applyBorder="1" applyAlignment="1">
      <alignment horizontal="right"/>
    </xf>
    <xf numFmtId="168" fontId="7" fillId="31" borderId="134" xfId="30" applyNumberFormat="1" applyFont="1" applyFill="1" applyBorder="1" applyAlignment="1">
      <alignment horizontal="right"/>
    </xf>
    <xf numFmtId="168" fontId="7" fillId="31" borderId="79" xfId="30" applyNumberFormat="1" applyFont="1" applyFill="1" applyBorder="1" applyAlignment="1">
      <alignment horizontal="right"/>
    </xf>
    <xf numFmtId="168" fontId="7" fillId="31" borderId="136" xfId="30" applyNumberFormat="1" applyFont="1" applyFill="1" applyBorder="1" applyAlignment="1">
      <alignment horizontal="right"/>
    </xf>
    <xf numFmtId="168" fontId="7" fillId="30" borderId="55" xfId="30" applyNumberFormat="1" applyFont="1" applyFill="1" applyBorder="1" applyAlignment="1">
      <alignment horizontal="right"/>
    </xf>
    <xf numFmtId="168" fontId="7" fillId="30" borderId="56" xfId="30" applyNumberFormat="1" applyFont="1" applyFill="1" applyBorder="1" applyAlignment="1">
      <alignment horizontal="right"/>
    </xf>
    <xf numFmtId="168" fontId="7" fillId="30" borderId="59" xfId="30" applyNumberFormat="1" applyFont="1" applyFill="1" applyBorder="1" applyAlignment="1">
      <alignment horizontal="right"/>
    </xf>
    <xf numFmtId="168" fontId="7" fillId="30" borderId="97" xfId="30" applyNumberFormat="1" applyFont="1" applyFill="1" applyBorder="1" applyAlignment="1">
      <alignment horizontal="right"/>
    </xf>
    <xf numFmtId="168" fontId="7" fillId="30" borderId="138" xfId="30" applyNumberFormat="1" applyFont="1" applyFill="1" applyBorder="1" applyAlignment="1">
      <alignment horizontal="right"/>
    </xf>
    <xf numFmtId="168" fontId="7" fillId="25" borderId="36" xfId="30" applyNumberFormat="1" applyFont="1" applyFill="1" applyBorder="1" applyAlignment="1">
      <alignment horizontal="right"/>
    </xf>
    <xf numFmtId="168" fontId="7" fillId="25" borderId="35" xfId="30" applyNumberFormat="1" applyFont="1" applyFill="1" applyBorder="1" applyAlignment="1">
      <alignment horizontal="right"/>
    </xf>
    <xf numFmtId="168" fontId="7" fillId="25" borderId="149" xfId="30" applyNumberFormat="1" applyFont="1" applyFill="1" applyBorder="1" applyAlignment="1">
      <alignment horizontal="right"/>
    </xf>
    <xf numFmtId="0" fontId="79" fillId="29" borderId="36" xfId="0" applyFont="1" applyFill="1" applyBorder="1" applyAlignment="1">
      <alignment vertical="center"/>
    </xf>
    <xf numFmtId="168" fontId="7" fillId="29" borderId="206" xfId="0" applyNumberFormat="1" applyFont="1" applyFill="1" applyBorder="1"/>
    <xf numFmtId="168" fontId="7" fillId="29" borderId="75" xfId="0" applyNumberFormat="1" applyFont="1" applyFill="1" applyBorder="1"/>
    <xf numFmtId="168" fontId="7" fillId="38" borderId="77" xfId="0" applyNumberFormat="1" applyFont="1" applyFill="1" applyBorder="1"/>
    <xf numFmtId="168" fontId="7" fillId="30" borderId="77" xfId="0" applyNumberFormat="1" applyFont="1" applyFill="1" applyBorder="1"/>
    <xf numFmtId="168" fontId="7" fillId="30" borderId="207" xfId="0" applyNumberFormat="1" applyFont="1" applyFill="1" applyBorder="1"/>
    <xf numFmtId="43" fontId="7" fillId="30" borderId="250" xfId="0" applyNumberFormat="1" applyFont="1" applyFill="1" applyBorder="1"/>
    <xf numFmtId="43" fontId="7" fillId="30" borderId="251" xfId="0" applyNumberFormat="1" applyFont="1" applyFill="1" applyBorder="1"/>
    <xf numFmtId="43" fontId="7" fillId="30" borderId="252" xfId="0" applyNumberFormat="1" applyFont="1" applyFill="1" applyBorder="1"/>
    <xf numFmtId="168" fontId="7" fillId="38" borderId="246" xfId="30" applyNumberFormat="1" applyFont="1" applyFill="1" applyBorder="1"/>
    <xf numFmtId="168" fontId="7" fillId="38" borderId="201" xfId="30" applyNumberFormat="1" applyFont="1" applyFill="1" applyBorder="1"/>
    <xf numFmtId="168" fontId="7" fillId="38" borderId="202" xfId="30" applyNumberFormat="1" applyFont="1" applyFill="1" applyBorder="1"/>
    <xf numFmtId="168" fontId="7" fillId="31" borderId="206" xfId="0" applyNumberFormat="1" applyFont="1" applyFill="1" applyBorder="1" applyAlignment="1">
      <alignment horizontal="right" wrapText="1"/>
    </xf>
    <xf numFmtId="168" fontId="10" fillId="30" borderId="207" xfId="0" applyNumberFormat="1" applyFont="1" applyFill="1" applyBorder="1" applyAlignment="1">
      <alignment horizontal="right"/>
    </xf>
    <xf numFmtId="0" fontId="16" fillId="29" borderId="206" xfId="0" applyFont="1" applyFill="1" applyBorder="1" applyAlignment="1">
      <alignment horizontal="left" vertical="center" wrapText="1"/>
    </xf>
    <xf numFmtId="0" fontId="67" fillId="36" borderId="46" xfId="0" applyFont="1" applyFill="1" applyBorder="1" applyAlignment="1">
      <alignment horizontal="center" vertical="center" wrapText="1"/>
    </xf>
    <xf numFmtId="0" fontId="67" fillId="36" borderId="60" xfId="0" applyFont="1" applyFill="1" applyBorder="1" applyAlignment="1">
      <alignment horizontal="center" vertical="center" wrapText="1"/>
    </xf>
    <xf numFmtId="0" fontId="67" fillId="41" borderId="60" xfId="0" applyFont="1" applyFill="1" applyBorder="1" applyAlignment="1">
      <alignment horizontal="center" vertical="center" wrapText="1"/>
    </xf>
    <xf numFmtId="0" fontId="7" fillId="38" borderId="36" xfId="0" applyFont="1" applyFill="1" applyBorder="1" applyAlignment="1" applyProtection="1">
      <alignment vertical="center"/>
      <protection locked="0"/>
    </xf>
    <xf numFmtId="0" fontId="7" fillId="38" borderId="35" xfId="0" applyFont="1" applyFill="1" applyBorder="1" applyAlignment="1" applyProtection="1">
      <alignment vertical="center"/>
      <protection locked="0"/>
    </xf>
    <xf numFmtId="0" fontId="7" fillId="38" borderId="34" xfId="0" applyFont="1" applyFill="1" applyBorder="1" applyAlignment="1" applyProtection="1">
      <alignment vertical="center"/>
      <protection locked="0"/>
    </xf>
    <xf numFmtId="168" fontId="7" fillId="38" borderId="101" xfId="0" applyNumberFormat="1" applyFont="1" applyFill="1" applyBorder="1" applyAlignment="1">
      <alignment horizontal="right"/>
    </xf>
    <xf numFmtId="168" fontId="7" fillId="38" borderId="100" xfId="0" applyNumberFormat="1" applyFont="1" applyFill="1" applyBorder="1" applyAlignment="1">
      <alignment horizontal="right"/>
    </xf>
    <xf numFmtId="168" fontId="7" fillId="38" borderId="165" xfId="0" applyNumberFormat="1" applyFont="1" applyFill="1" applyBorder="1" applyAlignment="1">
      <alignment horizontal="right"/>
    </xf>
    <xf numFmtId="168" fontId="10" fillId="38" borderId="46" xfId="0" applyNumberFormat="1" applyFont="1" applyFill="1" applyBorder="1" applyAlignment="1">
      <alignment horizontal="right"/>
    </xf>
    <xf numFmtId="168" fontId="10" fillId="38" borderId="60" xfId="0" applyNumberFormat="1" applyFont="1" applyFill="1" applyBorder="1" applyAlignment="1">
      <alignment horizontal="right"/>
    </xf>
    <xf numFmtId="168" fontId="10" fillId="38" borderId="63" xfId="0" applyNumberFormat="1" applyFont="1" applyFill="1" applyBorder="1" applyAlignment="1">
      <alignment horizontal="right"/>
    </xf>
    <xf numFmtId="0" fontId="7" fillId="38" borderId="35" xfId="0" applyFont="1" applyFill="1" applyBorder="1" applyAlignment="1" applyProtection="1">
      <alignment vertical="center" wrapText="1"/>
      <protection locked="0"/>
    </xf>
    <xf numFmtId="0" fontId="67" fillId="41" borderId="80" xfId="0" applyFont="1" applyFill="1" applyBorder="1" applyAlignment="1">
      <alignment horizontal="center" vertical="center" wrapText="1"/>
    </xf>
    <xf numFmtId="168" fontId="10" fillId="34" borderId="207" xfId="30" applyNumberFormat="1" applyFont="1" applyFill="1" applyBorder="1"/>
    <xf numFmtId="0" fontId="7" fillId="38" borderId="34" xfId="0" applyFont="1" applyFill="1" applyBorder="1" applyAlignment="1" applyProtection="1">
      <alignment vertical="center" wrapText="1"/>
      <protection locked="0"/>
    </xf>
    <xf numFmtId="168" fontId="10" fillId="29" borderId="206" xfId="0" applyNumberFormat="1" applyFont="1" applyFill="1" applyBorder="1" applyAlignment="1">
      <alignment horizontal="left" vertical="center" wrapText="1"/>
    </xf>
    <xf numFmtId="168" fontId="16" fillId="34" borderId="207" xfId="30" applyNumberFormat="1" applyFont="1" applyFill="1" applyBorder="1"/>
    <xf numFmtId="168" fontId="49" fillId="38" borderId="109" xfId="30" applyNumberFormat="1" applyFont="1" applyFill="1" applyBorder="1"/>
    <xf numFmtId="168" fontId="49" fillId="38" borderId="43" xfId="30" applyNumberFormat="1" applyFont="1" applyFill="1" applyBorder="1"/>
    <xf numFmtId="168" fontId="49" fillId="38" borderId="103" xfId="30" applyNumberFormat="1" applyFont="1" applyFill="1" applyBorder="1"/>
    <xf numFmtId="168" fontId="49" fillId="38" borderId="106" xfId="30" applyNumberFormat="1" applyFont="1" applyFill="1" applyBorder="1"/>
    <xf numFmtId="168" fontId="49" fillId="38" borderId="110" xfId="30" applyNumberFormat="1" applyFont="1" applyFill="1" applyBorder="1"/>
    <xf numFmtId="168" fontId="49" fillId="38" borderId="104" xfId="30" applyNumberFormat="1" applyFont="1" applyFill="1" applyBorder="1"/>
    <xf numFmtId="168" fontId="49" fillId="38" borderId="105" xfId="30" applyNumberFormat="1" applyFont="1" applyFill="1" applyBorder="1"/>
    <xf numFmtId="168" fontId="49" fillId="38" borderId="107" xfId="30" applyNumberFormat="1" applyFont="1" applyFill="1" applyBorder="1"/>
    <xf numFmtId="0" fontId="0" fillId="38" borderId="201" xfId="0" applyFill="1" applyBorder="1" applyAlignment="1">
      <alignment vertical="center" wrapText="1"/>
    </xf>
    <xf numFmtId="0" fontId="0" fillId="38" borderId="202" xfId="0" applyFill="1" applyBorder="1" applyAlignment="1">
      <alignment vertical="center" wrapText="1"/>
    </xf>
    <xf numFmtId="0" fontId="79" fillId="30" borderId="36" xfId="0" applyFont="1" applyFill="1" applyBorder="1" applyAlignment="1">
      <alignment vertical="center"/>
    </xf>
    <xf numFmtId="0" fontId="15" fillId="31" borderId="36" xfId="0" applyFont="1" applyFill="1" applyBorder="1" applyAlignment="1">
      <alignment horizontal="right" vertical="center"/>
    </xf>
    <xf numFmtId="0" fontId="15" fillId="31" borderId="21" xfId="0" applyFont="1" applyFill="1" applyBorder="1" applyAlignment="1">
      <alignment vertical="center"/>
    </xf>
    <xf numFmtId="0" fontId="7" fillId="38" borderId="36" xfId="0" applyFont="1" applyFill="1" applyBorder="1" applyAlignment="1" applyProtection="1">
      <alignment vertical="center" wrapText="1"/>
      <protection locked="0"/>
    </xf>
    <xf numFmtId="168" fontId="49" fillId="38" borderId="163" xfId="30" applyNumberFormat="1" applyFont="1" applyFill="1" applyBorder="1" applyAlignment="1">
      <alignment horizontal="right"/>
    </xf>
    <xf numFmtId="168" fontId="49" fillId="38" borderId="119" xfId="30" applyNumberFormat="1" applyFont="1" applyFill="1" applyBorder="1" applyAlignment="1">
      <alignment horizontal="right"/>
    </xf>
    <xf numFmtId="168" fontId="49" fillId="38" borderId="164" xfId="30" applyNumberFormat="1" applyFont="1" applyFill="1" applyBorder="1" applyAlignment="1">
      <alignment horizontal="right"/>
    </xf>
    <xf numFmtId="168" fontId="7" fillId="38" borderId="163" xfId="30" applyNumberFormat="1" applyFont="1" applyFill="1" applyBorder="1" applyAlignment="1">
      <alignment horizontal="right"/>
    </xf>
    <xf numFmtId="168" fontId="7" fillId="38" borderId="119" xfId="30" applyNumberFormat="1" applyFont="1" applyFill="1" applyBorder="1" applyAlignment="1">
      <alignment horizontal="right"/>
    </xf>
    <xf numFmtId="168" fontId="7" fillId="38" borderId="164" xfId="30" applyNumberFormat="1" applyFont="1" applyFill="1" applyBorder="1" applyAlignment="1">
      <alignment horizontal="right"/>
    </xf>
    <xf numFmtId="168" fontId="7" fillId="38" borderId="109" xfId="30" applyNumberFormat="1" applyFont="1" applyFill="1" applyBorder="1"/>
    <xf numFmtId="168" fontId="7" fillId="38" borderId="43" xfId="30" applyNumberFormat="1" applyFont="1" applyFill="1" applyBorder="1"/>
    <xf numFmtId="168" fontId="7" fillId="38" borderId="103" xfId="30" applyNumberFormat="1" applyFont="1" applyFill="1" applyBorder="1"/>
    <xf numFmtId="168" fontId="49" fillId="38" borderId="109" xfId="30" applyNumberFormat="1" applyFont="1" applyFill="1" applyBorder="1" applyAlignment="1">
      <alignment horizontal="right"/>
    </xf>
    <xf numFmtId="168" fontId="49" fillId="38" borderId="43" xfId="30" applyNumberFormat="1" applyFont="1" applyFill="1" applyBorder="1" applyAlignment="1">
      <alignment horizontal="right"/>
    </xf>
    <xf numFmtId="168" fontId="49" fillId="38" borderId="103" xfId="30" applyNumberFormat="1" applyFont="1" applyFill="1" applyBorder="1" applyAlignment="1">
      <alignment horizontal="right"/>
    </xf>
    <xf numFmtId="168" fontId="7" fillId="38" borderId="109" xfId="30" applyNumberFormat="1" applyFont="1" applyFill="1" applyBorder="1" applyAlignment="1">
      <alignment horizontal="right"/>
    </xf>
    <xf numFmtId="168" fontId="7" fillId="38" borderId="43" xfId="30" applyNumberFormat="1" applyFont="1" applyFill="1" applyBorder="1" applyAlignment="1">
      <alignment horizontal="right"/>
    </xf>
    <xf numFmtId="168" fontId="7" fillId="38" borderId="103" xfId="30" applyNumberFormat="1" applyFont="1" applyFill="1" applyBorder="1" applyAlignment="1">
      <alignment horizontal="right"/>
    </xf>
    <xf numFmtId="168" fontId="49" fillId="38" borderId="124" xfId="30" applyNumberFormat="1" applyFont="1" applyFill="1" applyBorder="1" applyAlignment="1">
      <alignment horizontal="right"/>
    </xf>
    <xf numFmtId="168" fontId="49" fillId="38" borderId="117" xfId="30" applyNumberFormat="1" applyFont="1" applyFill="1" applyBorder="1" applyAlignment="1">
      <alignment horizontal="right"/>
    </xf>
    <xf numFmtId="168" fontId="49" fillId="38" borderId="122" xfId="30" applyNumberFormat="1" applyFont="1" applyFill="1" applyBorder="1" applyAlignment="1">
      <alignment horizontal="right"/>
    </xf>
    <xf numFmtId="168" fontId="7" fillId="38" borderId="124" xfId="30" applyNumberFormat="1" applyFont="1" applyFill="1" applyBorder="1" applyAlignment="1">
      <alignment horizontal="right"/>
    </xf>
    <xf numFmtId="168" fontId="7" fillId="38" borderId="117" xfId="30" applyNumberFormat="1" applyFont="1" applyFill="1" applyBorder="1" applyAlignment="1">
      <alignment horizontal="right"/>
    </xf>
    <xf numFmtId="168" fontId="7" fillId="38" borderId="122" xfId="30" applyNumberFormat="1" applyFont="1" applyFill="1" applyBorder="1" applyAlignment="1">
      <alignment horizontal="right"/>
    </xf>
    <xf numFmtId="0" fontId="7" fillId="38" borderId="246" xfId="0" applyFont="1" applyFill="1" applyBorder="1" applyAlignment="1" applyProtection="1">
      <alignment vertical="center" wrapText="1"/>
      <protection locked="0"/>
    </xf>
    <xf numFmtId="0" fontId="7" fillId="38" borderId="201" xfId="0" applyFont="1" applyFill="1" applyBorder="1" applyAlignment="1" applyProtection="1">
      <alignment vertical="center" wrapText="1"/>
      <protection locked="0"/>
    </xf>
    <xf numFmtId="0" fontId="7" fillId="38" borderId="202" xfId="0" applyFont="1" applyFill="1" applyBorder="1" applyAlignment="1" applyProtection="1">
      <alignment vertical="center" wrapText="1"/>
      <protection locked="0"/>
    </xf>
    <xf numFmtId="0" fontId="7" fillId="33" borderId="36" xfId="0" applyFont="1" applyFill="1" applyBorder="1" applyAlignment="1" applyProtection="1">
      <alignment horizontal="right" vertical="center" wrapText="1"/>
      <protection locked="0"/>
    </xf>
    <xf numFmtId="0" fontId="7" fillId="33" borderId="50" xfId="0" applyFont="1" applyFill="1" applyBorder="1" applyAlignment="1">
      <alignment horizontal="left" vertical="center" wrapText="1" indent="1"/>
    </xf>
    <xf numFmtId="0" fontId="53" fillId="33" borderId="78" xfId="0" applyFont="1" applyFill="1" applyBorder="1" applyAlignment="1">
      <alignment horizontal="center" vertical="center" wrapText="1"/>
    </xf>
    <xf numFmtId="0" fontId="7" fillId="22" borderId="152" xfId="0" applyFont="1" applyFill="1" applyBorder="1" applyAlignment="1" applyProtection="1">
      <alignment vertical="center" wrapText="1"/>
      <protection locked="0"/>
    </xf>
    <xf numFmtId="0" fontId="7" fillId="22" borderId="242" xfId="0" applyFont="1" applyFill="1" applyBorder="1" applyAlignment="1" applyProtection="1">
      <alignment vertical="center" wrapText="1"/>
      <protection locked="0"/>
    </xf>
    <xf numFmtId="0" fontId="7" fillId="43" borderId="36" xfId="0" applyFont="1" applyFill="1" applyBorder="1" applyAlignment="1" applyProtection="1">
      <alignment vertical="center" wrapText="1"/>
      <protection locked="0"/>
    </xf>
    <xf numFmtId="0" fontId="79" fillId="27" borderId="72" xfId="0" applyFont="1" applyFill="1" applyBorder="1" applyAlignment="1">
      <alignment vertical="center"/>
    </xf>
    <xf numFmtId="43" fontId="10" fillId="29" borderId="207" xfId="0" applyNumberFormat="1" applyFont="1" applyFill="1" applyBorder="1"/>
    <xf numFmtId="168" fontId="10" fillId="29" borderId="207" xfId="0" applyNumberFormat="1" applyFont="1" applyFill="1" applyBorder="1"/>
    <xf numFmtId="43" fontId="10" fillId="29" borderId="207" xfId="0" applyNumberFormat="1" applyFont="1" applyFill="1" applyBorder="1" applyAlignment="1">
      <alignment horizontal="right"/>
    </xf>
    <xf numFmtId="168" fontId="7" fillId="38" borderId="55" xfId="30" applyNumberFormat="1" applyFont="1" applyFill="1" applyBorder="1"/>
    <xf numFmtId="168" fontId="7" fillId="38" borderId="56" xfId="30" applyNumberFormat="1" applyFont="1" applyFill="1" applyBorder="1"/>
    <xf numFmtId="168" fontId="7" fillId="38" borderId="59" xfId="30" applyNumberFormat="1" applyFont="1" applyFill="1" applyBorder="1"/>
    <xf numFmtId="168" fontId="7" fillId="38" borderId="133" xfId="30" applyNumberFormat="1" applyFont="1" applyFill="1" applyBorder="1"/>
    <xf numFmtId="168" fontId="10" fillId="31" borderId="63" xfId="0" applyNumberFormat="1" applyFont="1" applyFill="1" applyBorder="1" applyAlignment="1">
      <alignment horizontal="left" vertical="center"/>
    </xf>
    <xf numFmtId="168" fontId="10" fillId="29" borderId="78" xfId="30" applyNumberFormat="1" applyFont="1" applyFill="1" applyBorder="1" applyAlignment="1"/>
    <xf numFmtId="168" fontId="10" fillId="29" borderId="207" xfId="30" applyNumberFormat="1" applyFont="1" applyFill="1" applyBorder="1" applyAlignment="1"/>
    <xf numFmtId="0" fontId="7" fillId="38" borderId="36" xfId="0" applyFont="1" applyFill="1" applyBorder="1" applyAlignment="1" applyProtection="1">
      <alignment horizontal="left" vertical="center" wrapText="1"/>
      <protection locked="0"/>
    </xf>
    <xf numFmtId="0" fontId="7" fillId="38" borderId="35" xfId="0" applyFont="1" applyFill="1" applyBorder="1" applyAlignment="1" applyProtection="1">
      <alignment horizontal="left" vertical="center" wrapText="1"/>
      <protection locked="0"/>
    </xf>
    <xf numFmtId="0" fontId="7" fillId="38" borderId="34" xfId="0" applyFont="1" applyFill="1" applyBorder="1" applyAlignment="1" applyProtection="1">
      <alignment horizontal="left" vertical="center" wrapText="1"/>
      <protection locked="0"/>
    </xf>
    <xf numFmtId="0" fontId="7" fillId="71" borderId="36" xfId="0" applyFont="1" applyFill="1" applyBorder="1" applyAlignment="1" applyProtection="1">
      <alignment vertical="center" wrapText="1"/>
      <protection locked="0"/>
    </xf>
    <xf numFmtId="0" fontId="67" fillId="41" borderId="63" xfId="0" applyFont="1" applyFill="1" applyBorder="1" applyAlignment="1">
      <alignment horizontal="center" vertical="center" wrapText="1"/>
    </xf>
    <xf numFmtId="174" fontId="7" fillId="38" borderId="206" xfId="30" applyNumberFormat="1" applyFont="1" applyFill="1" applyBorder="1"/>
    <xf numFmtId="174" fontId="7" fillId="38" borderId="82" xfId="30" applyNumberFormat="1" applyFont="1" applyFill="1" applyBorder="1"/>
    <xf numFmtId="174" fontId="7" fillId="38" borderId="90" xfId="30" applyNumberFormat="1" applyFont="1" applyFill="1" applyBorder="1"/>
    <xf numFmtId="174" fontId="7" fillId="38" borderId="46" xfId="30" applyNumberFormat="1" applyFont="1" applyFill="1" applyBorder="1"/>
    <xf numFmtId="174" fontId="7" fillId="38" borderId="60" xfId="30" applyNumberFormat="1" applyFont="1" applyFill="1" applyBorder="1"/>
    <xf numFmtId="174" fontId="7" fillId="38" borderId="63" xfId="30" applyNumberFormat="1" applyFont="1" applyFill="1" applyBorder="1"/>
    <xf numFmtId="168" fontId="7" fillId="38" borderId="78" xfId="30" applyNumberFormat="1" applyFont="1" applyFill="1" applyBorder="1"/>
    <xf numFmtId="168" fontId="7" fillId="38" borderId="79" xfId="30" applyNumberFormat="1" applyFont="1" applyFill="1" applyBorder="1"/>
    <xf numFmtId="168" fontId="7" fillId="38" borderId="80" xfId="30" applyNumberFormat="1" applyFont="1" applyFill="1" applyBorder="1"/>
    <xf numFmtId="174" fontId="7" fillId="38" borderId="78" xfId="30" applyNumberFormat="1" applyFont="1" applyFill="1" applyBorder="1"/>
    <xf numFmtId="174" fontId="7" fillId="38" borderId="79" xfId="30" applyNumberFormat="1" applyFont="1" applyFill="1" applyBorder="1"/>
    <xf numFmtId="174" fontId="7" fillId="38" borderId="80" xfId="30" applyNumberFormat="1" applyFont="1" applyFill="1" applyBorder="1"/>
    <xf numFmtId="0" fontId="15" fillId="38" borderId="51" xfId="0" applyFont="1" applyFill="1" applyBorder="1" applyAlignment="1">
      <alignment vertical="center"/>
    </xf>
    <xf numFmtId="0" fontId="15" fillId="38" borderId="52" xfId="0" applyFont="1" applyFill="1" applyBorder="1" applyAlignment="1">
      <alignment vertical="center"/>
    </xf>
    <xf numFmtId="0" fontId="15" fillId="38" borderId="53" xfId="0" applyFont="1" applyFill="1" applyBorder="1" applyAlignment="1">
      <alignment vertical="center"/>
    </xf>
    <xf numFmtId="174" fontId="7" fillId="38" borderId="55" xfId="30" applyNumberFormat="1" applyFont="1" applyFill="1" applyBorder="1"/>
    <xf numFmtId="174" fontId="7" fillId="38" borderId="56" xfId="30" applyNumberFormat="1" applyFont="1" applyFill="1" applyBorder="1"/>
    <xf numFmtId="174" fontId="7" fillId="38" borderId="59" xfId="30" applyNumberFormat="1" applyFont="1" applyFill="1" applyBorder="1"/>
    <xf numFmtId="0" fontId="7" fillId="38" borderId="206" xfId="0" applyFont="1" applyFill="1" applyBorder="1"/>
    <xf numFmtId="0" fontId="7" fillId="38" borderId="82" xfId="0" applyFont="1" applyFill="1" applyBorder="1"/>
    <xf numFmtId="0" fontId="7" fillId="38" borderId="90" xfId="0" applyFont="1" applyFill="1" applyBorder="1"/>
    <xf numFmtId="0" fontId="7" fillId="38" borderId="46" xfId="0" applyFont="1" applyFill="1" applyBorder="1"/>
    <xf numFmtId="0" fontId="7" fillId="38" borderId="60" xfId="0" applyFont="1" applyFill="1" applyBorder="1"/>
    <xf numFmtId="0" fontId="7" fillId="38" borderId="63" xfId="0" applyFont="1" applyFill="1" applyBorder="1"/>
    <xf numFmtId="0" fontId="7" fillId="38" borderId="207" xfId="0" applyFont="1" applyFill="1" applyBorder="1"/>
    <xf numFmtId="0" fontId="7" fillId="38" borderId="64" xfId="0" applyFont="1" applyFill="1" applyBorder="1"/>
    <xf numFmtId="0" fontId="7" fillId="38" borderId="67" xfId="0" applyFont="1" applyFill="1" applyBorder="1"/>
    <xf numFmtId="0" fontId="42" fillId="33" borderId="206" xfId="0" applyFont="1" applyFill="1" applyBorder="1" applyAlignment="1">
      <alignment horizontal="center" vertical="center" wrapText="1"/>
    </xf>
    <xf numFmtId="0" fontId="53" fillId="33" borderId="50" xfId="0" applyFont="1" applyFill="1" applyBorder="1" applyAlignment="1">
      <alignment horizontal="center" vertical="center" wrapText="1"/>
    </xf>
    <xf numFmtId="0" fontId="0" fillId="0" borderId="23" xfId="0" applyBorder="1"/>
    <xf numFmtId="0" fontId="0" fillId="0" borderId="24" xfId="0" applyBorder="1"/>
    <xf numFmtId="0" fontId="10" fillId="38" borderId="206" xfId="0" applyFont="1" applyFill="1" applyBorder="1" applyAlignment="1">
      <alignment vertical="center" wrapText="1"/>
    </xf>
    <xf numFmtId="0" fontId="10" fillId="38" borderId="82" xfId="0" applyFont="1" applyFill="1" applyBorder="1" applyAlignment="1">
      <alignment vertical="center" wrapText="1"/>
    </xf>
    <xf numFmtId="0" fontId="10" fillId="38" borderId="90" xfId="0" applyFont="1" applyFill="1" applyBorder="1" applyAlignment="1">
      <alignment vertical="center" wrapText="1"/>
    </xf>
    <xf numFmtId="0" fontId="10" fillId="38" borderId="46" xfId="0" applyFont="1" applyFill="1" applyBorder="1" applyAlignment="1">
      <alignment vertical="center" wrapText="1"/>
    </xf>
    <xf numFmtId="0" fontId="10" fillId="38" borderId="60" xfId="0" applyFont="1" applyFill="1" applyBorder="1" applyAlignment="1">
      <alignment vertical="center" wrapText="1"/>
    </xf>
    <xf numFmtId="0" fontId="10" fillId="38" borderId="63" xfId="0" applyFont="1" applyFill="1" applyBorder="1" applyAlignment="1">
      <alignment vertical="center" wrapText="1"/>
    </xf>
    <xf numFmtId="0" fontId="10" fillId="38" borderId="46" xfId="0" applyFont="1" applyFill="1" applyBorder="1" applyAlignment="1">
      <alignment vertical="center"/>
    </xf>
    <xf numFmtId="0" fontId="10" fillId="38" borderId="60" xfId="0" applyFont="1" applyFill="1" applyBorder="1" applyAlignment="1">
      <alignment vertical="center"/>
    </xf>
    <xf numFmtId="0" fontId="10" fillId="38" borderId="63" xfId="0" applyFont="1" applyFill="1" applyBorder="1" applyAlignment="1">
      <alignment vertical="center"/>
    </xf>
    <xf numFmtId="0" fontId="80" fillId="27" borderId="21" xfId="0" applyFont="1" applyFill="1" applyBorder="1" applyAlignment="1">
      <alignment vertical="center"/>
    </xf>
    <xf numFmtId="0" fontId="18" fillId="30" borderId="36" xfId="0" applyFont="1" applyFill="1" applyBorder="1" applyAlignment="1">
      <alignment vertical="center"/>
    </xf>
    <xf numFmtId="0" fontId="7" fillId="38" borderId="82" xfId="0" applyFont="1" applyFill="1" applyBorder="1" applyAlignment="1" applyProtection="1">
      <alignment horizontal="right" vertical="center" wrapText="1"/>
      <protection locked="0"/>
    </xf>
    <xf numFmtId="0" fontId="7" fillId="38" borderId="46" xfId="0" applyFont="1" applyFill="1" applyBorder="1" applyAlignment="1" applyProtection="1">
      <alignment horizontal="right" vertical="center" wrapText="1"/>
      <protection locked="0"/>
    </xf>
    <xf numFmtId="0" fontId="7" fillId="38" borderId="60" xfId="0" applyFont="1" applyFill="1" applyBorder="1" applyAlignment="1" applyProtection="1">
      <alignment horizontal="right" vertical="center" wrapText="1"/>
      <protection locked="0"/>
    </xf>
    <xf numFmtId="0" fontId="7" fillId="38" borderId="64" xfId="0" applyFont="1" applyFill="1" applyBorder="1" applyAlignment="1" applyProtection="1">
      <alignment horizontal="right" vertical="center" wrapText="1"/>
      <protection locked="0"/>
    </xf>
    <xf numFmtId="0" fontId="7" fillId="38" borderId="206" xfId="0" applyFont="1" applyFill="1" applyBorder="1" applyAlignment="1" applyProtection="1">
      <alignment horizontal="right" vertical="center" wrapText="1"/>
      <protection locked="0"/>
    </xf>
    <xf numFmtId="0" fontId="7" fillId="38" borderId="90" xfId="0" applyFont="1" applyFill="1" applyBorder="1" applyAlignment="1" applyProtection="1">
      <alignment horizontal="right" vertical="center" wrapText="1"/>
      <protection locked="0"/>
    </xf>
    <xf numFmtId="0" fontId="7" fillId="38" borderId="63" xfId="0" applyFont="1" applyFill="1" applyBorder="1" applyAlignment="1" applyProtection="1">
      <alignment horizontal="right" vertical="center" wrapText="1"/>
      <protection locked="0"/>
    </xf>
    <xf numFmtId="0" fontId="7" fillId="38" borderId="207" xfId="0" applyFont="1" applyFill="1" applyBorder="1" applyAlignment="1" applyProtection="1">
      <alignment horizontal="right" vertical="center" wrapText="1"/>
      <protection locked="0"/>
    </xf>
    <xf numFmtId="0" fontId="7" fillId="38" borderId="67" xfId="0" applyFont="1" applyFill="1" applyBorder="1" applyAlignment="1" applyProtection="1">
      <alignment horizontal="right" vertical="center" wrapText="1"/>
      <protection locked="0"/>
    </xf>
    <xf numFmtId="41" fontId="17" fillId="29" borderId="207" xfId="0" applyNumberFormat="1" applyFont="1" applyFill="1" applyBorder="1"/>
    <xf numFmtId="3" fontId="12" fillId="38" borderId="55" xfId="0" applyNumberFormat="1" applyFont="1" applyFill="1" applyBorder="1"/>
    <xf numFmtId="3" fontId="12" fillId="38" borderId="56" xfId="0" applyNumberFormat="1" applyFont="1" applyFill="1" applyBorder="1"/>
    <xf numFmtId="3" fontId="12" fillId="38" borderId="46" xfId="0" applyNumberFormat="1" applyFont="1" applyFill="1" applyBorder="1"/>
    <xf numFmtId="3" fontId="12" fillId="38" borderId="60" xfId="0" applyNumberFormat="1" applyFont="1" applyFill="1" applyBorder="1"/>
    <xf numFmtId="3" fontId="12" fillId="38" borderId="78" xfId="0" applyNumberFormat="1" applyFont="1" applyFill="1" applyBorder="1"/>
    <xf numFmtId="3" fontId="12" fillId="38" borderId="79" xfId="0" applyNumberFormat="1" applyFont="1" applyFill="1" applyBorder="1"/>
    <xf numFmtId="1" fontId="10" fillId="38" borderId="49" xfId="0" applyNumberFormat="1" applyFont="1" applyFill="1" applyBorder="1"/>
    <xf numFmtId="1" fontId="10" fillId="38" borderId="75" xfId="0" applyNumberFormat="1" applyFont="1" applyFill="1" applyBorder="1"/>
    <xf numFmtId="41" fontId="114" fillId="29" borderId="207" xfId="0" applyNumberFormat="1" applyFont="1" applyFill="1" applyBorder="1"/>
    <xf numFmtId="41" fontId="114" fillId="29" borderId="67" xfId="0" applyNumberFormat="1" applyFont="1" applyFill="1" applyBorder="1"/>
    <xf numFmtId="41" fontId="7" fillId="29" borderId="60" xfId="0" applyNumberFormat="1" applyFont="1" applyFill="1" applyBorder="1"/>
    <xf numFmtId="41" fontId="7" fillId="29" borderId="63" xfId="0" applyNumberFormat="1" applyFont="1" applyFill="1" applyBorder="1"/>
    <xf numFmtId="3" fontId="12" fillId="38" borderId="63" xfId="0" applyNumberFormat="1" applyFont="1" applyFill="1" applyBorder="1"/>
    <xf numFmtId="3" fontId="12" fillId="38" borderId="59" xfId="0" applyNumberFormat="1" applyFont="1" applyFill="1" applyBorder="1"/>
    <xf numFmtId="3" fontId="12" fillId="38" borderId="80" xfId="0" applyNumberFormat="1" applyFont="1" applyFill="1" applyBorder="1"/>
    <xf numFmtId="43" fontId="10" fillId="31" borderId="207" xfId="30" applyFont="1" applyFill="1" applyBorder="1" applyAlignment="1">
      <alignment horizontal="left" vertical="center" wrapText="1"/>
    </xf>
    <xf numFmtId="0" fontId="15" fillId="31" borderId="126" xfId="0" applyFont="1" applyFill="1" applyBorder="1" applyAlignment="1">
      <alignment vertical="center"/>
    </xf>
    <xf numFmtId="0" fontId="7" fillId="38" borderId="55" xfId="0" applyFont="1" applyFill="1" applyBorder="1" applyAlignment="1" applyProtection="1">
      <alignment horizontal="right" vertical="center" wrapText="1"/>
      <protection locked="0"/>
    </xf>
    <xf numFmtId="0" fontId="7" fillId="38" borderId="56" xfId="0" applyFont="1" applyFill="1" applyBorder="1" applyAlignment="1" applyProtection="1">
      <alignment horizontal="right" vertical="center" wrapText="1"/>
      <protection locked="0"/>
    </xf>
    <xf numFmtId="0" fontId="7" fillId="38" borderId="59" xfId="0" applyFont="1" applyFill="1" applyBorder="1" applyAlignment="1" applyProtection="1">
      <alignment horizontal="right" vertical="center" wrapText="1"/>
      <protection locked="0"/>
    </xf>
    <xf numFmtId="1" fontId="7" fillId="38" borderId="82" xfId="44" applyNumberFormat="1" applyFont="1" applyFill="1" applyBorder="1" applyProtection="1">
      <protection locked="0"/>
    </xf>
    <xf numFmtId="1" fontId="7" fillId="38" borderId="85" xfId="44" applyNumberFormat="1" applyFont="1" applyFill="1" applyBorder="1" applyProtection="1">
      <protection locked="0"/>
    </xf>
    <xf numFmtId="1" fontId="7" fillId="38" borderId="90" xfId="44" applyNumberFormat="1" applyFont="1" applyFill="1" applyBorder="1" applyProtection="1">
      <protection locked="0"/>
    </xf>
    <xf numFmtId="1" fontId="7" fillId="38" borderId="46" xfId="44" applyNumberFormat="1" applyFont="1" applyFill="1" applyBorder="1" applyProtection="1">
      <protection locked="0"/>
    </xf>
    <xf numFmtId="1" fontId="7" fillId="38" borderId="60" xfId="44" applyNumberFormat="1" applyFont="1" applyFill="1" applyBorder="1" applyProtection="1">
      <protection locked="0"/>
    </xf>
    <xf numFmtId="1" fontId="7" fillId="38" borderId="86" xfId="44" applyNumberFormat="1" applyFont="1" applyFill="1" applyBorder="1" applyProtection="1">
      <protection locked="0"/>
    </xf>
    <xf numFmtId="1" fontId="7" fillId="38" borderId="63" xfId="44" applyNumberFormat="1" applyFont="1" applyFill="1" applyBorder="1" applyProtection="1">
      <protection locked="0"/>
    </xf>
    <xf numFmtId="1" fontId="7" fillId="38" borderId="78" xfId="44" applyNumberFormat="1" applyFont="1" applyFill="1" applyBorder="1" applyProtection="1">
      <protection locked="0"/>
    </xf>
    <xf numFmtId="1" fontId="7" fillId="38" borderId="79" xfId="44" applyNumberFormat="1" applyFont="1" applyFill="1" applyBorder="1" applyProtection="1">
      <protection locked="0"/>
    </xf>
    <xf numFmtId="1" fontId="7" fillId="38" borderId="87" xfId="44" applyNumberFormat="1" applyFont="1" applyFill="1" applyBorder="1" applyProtection="1">
      <protection locked="0"/>
    </xf>
    <xf numFmtId="1" fontId="7" fillId="38" borderId="80" xfId="44" applyNumberFormat="1" applyFont="1" applyFill="1" applyBorder="1" applyProtection="1">
      <protection locked="0"/>
    </xf>
    <xf numFmtId="1" fontId="7" fillId="38" borderId="206" xfId="44" applyNumberFormat="1" applyFont="1" applyFill="1" applyBorder="1" applyProtection="1">
      <protection locked="0"/>
    </xf>
    <xf numFmtId="0" fontId="10" fillId="36" borderId="207" xfId="0" applyFont="1" applyFill="1" applyBorder="1" applyAlignment="1">
      <alignment horizontal="center" vertical="center" wrapText="1"/>
    </xf>
    <xf numFmtId="0" fontId="7" fillId="38" borderId="217" xfId="0" applyFont="1" applyFill="1" applyBorder="1"/>
    <xf numFmtId="0" fontId="7" fillId="38" borderId="218" xfId="0" applyFont="1" applyFill="1" applyBorder="1"/>
    <xf numFmtId="0" fontId="7" fillId="38" borderId="219" xfId="0" applyFont="1" applyFill="1" applyBorder="1"/>
    <xf numFmtId="0" fontId="7" fillId="38" borderId="238" xfId="0" applyFont="1" applyFill="1" applyBorder="1"/>
    <xf numFmtId="0" fontId="7" fillId="38" borderId="240" xfId="0" applyFont="1" applyFill="1" applyBorder="1"/>
    <xf numFmtId="0" fontId="7" fillId="38" borderId="239" xfId="0" applyFont="1" applyFill="1" applyBorder="1"/>
    <xf numFmtId="0" fontId="7" fillId="38" borderId="55" xfId="0" applyFont="1" applyFill="1" applyBorder="1"/>
    <xf numFmtId="0" fontId="7" fillId="38" borderId="56" xfId="0" applyFont="1" applyFill="1" applyBorder="1"/>
    <xf numFmtId="0" fontId="7" fillId="38" borderId="59" xfId="0" applyFont="1" applyFill="1" applyBorder="1"/>
    <xf numFmtId="0" fontId="0" fillId="38" borderId="207" xfId="0" applyFill="1" applyBorder="1"/>
    <xf numFmtId="0" fontId="0" fillId="38" borderId="64" xfId="0" applyFill="1" applyBorder="1"/>
    <xf numFmtId="0" fontId="0" fillId="38" borderId="67" xfId="0" applyFill="1" applyBorder="1"/>
    <xf numFmtId="43" fontId="7" fillId="29" borderId="207" xfId="0" applyNumberFormat="1" applyFont="1" applyFill="1" applyBorder="1"/>
    <xf numFmtId="0" fontId="0" fillId="38" borderId="206" xfId="0" applyFill="1" applyBorder="1"/>
    <xf numFmtId="0" fontId="0" fillId="38" borderId="82" xfId="0" applyFill="1" applyBorder="1"/>
    <xf numFmtId="0" fontId="0" fillId="38" borderId="90" xfId="0" applyFill="1" applyBorder="1"/>
    <xf numFmtId="0" fontId="10" fillId="41" borderId="67" xfId="0" applyFont="1" applyFill="1" applyBorder="1" applyAlignment="1">
      <alignment horizontal="center" vertical="center" wrapText="1"/>
    </xf>
    <xf numFmtId="0" fontId="7" fillId="38" borderId="78" xfId="0" applyFont="1" applyFill="1" applyBorder="1" applyAlignment="1" applyProtection="1">
      <alignment horizontal="right" vertical="center" wrapText="1"/>
      <protection locked="0"/>
    </xf>
    <xf numFmtId="0" fontId="7" fillId="38" borderId="79" xfId="0" applyFont="1" applyFill="1" applyBorder="1" applyAlignment="1" applyProtection="1">
      <alignment horizontal="right" vertical="center" wrapText="1"/>
      <protection locked="0"/>
    </xf>
    <xf numFmtId="0" fontId="7" fillId="38" borderId="80" xfId="0" applyFont="1" applyFill="1" applyBorder="1" applyAlignment="1" applyProtection="1">
      <alignment horizontal="right" vertical="center" wrapText="1"/>
      <protection locked="0"/>
    </xf>
    <xf numFmtId="0" fontId="67" fillId="45" borderId="64" xfId="0" applyFont="1" applyFill="1" applyBorder="1" applyAlignment="1">
      <alignment horizontal="center" vertical="center" wrapText="1"/>
    </xf>
    <xf numFmtId="0" fontId="15" fillId="29" borderId="21" xfId="0" applyFont="1" applyFill="1" applyBorder="1" applyAlignment="1">
      <alignment vertical="center"/>
    </xf>
    <xf numFmtId="0" fontId="79" fillId="29" borderId="22" xfId="0" applyFont="1" applyFill="1" applyBorder="1" applyAlignment="1">
      <alignment vertical="center"/>
    </xf>
    <xf numFmtId="0" fontId="67" fillId="44" borderId="207" xfId="0" applyFont="1" applyFill="1" applyBorder="1" applyAlignment="1">
      <alignment horizontal="center" vertical="center" wrapText="1"/>
    </xf>
    <xf numFmtId="0" fontId="67" fillId="45" borderId="67" xfId="0" applyFont="1" applyFill="1" applyBorder="1" applyAlignment="1">
      <alignment horizontal="center" vertical="center" wrapText="1"/>
    </xf>
    <xf numFmtId="0" fontId="9" fillId="0" borderId="21" xfId="0" applyFont="1" applyFill="1" applyBorder="1"/>
    <xf numFmtId="0" fontId="9" fillId="0" borderId="22" xfId="0" applyFont="1" applyFill="1" applyBorder="1"/>
    <xf numFmtId="0" fontId="9" fillId="0" borderId="23" xfId="0" applyFont="1" applyFill="1" applyBorder="1"/>
    <xf numFmtId="0" fontId="9" fillId="0" borderId="246" xfId="0" applyFont="1" applyFill="1" applyBorder="1"/>
    <xf numFmtId="0" fontId="9" fillId="0" borderId="201" xfId="0" applyFont="1" applyFill="1" applyBorder="1"/>
    <xf numFmtId="0" fontId="9" fillId="0" borderId="201" xfId="0" applyFont="1" applyFill="1" applyBorder="1" applyAlignment="1">
      <alignment wrapText="1"/>
    </xf>
    <xf numFmtId="0" fontId="9" fillId="0" borderId="202" xfId="0" applyFont="1" applyFill="1" applyBorder="1" applyAlignment="1">
      <alignment wrapText="1"/>
    </xf>
    <xf numFmtId="0" fontId="7" fillId="0" borderId="0" xfId="144"/>
    <xf numFmtId="0" fontId="19" fillId="19" borderId="0" xfId="144" applyFont="1" applyFill="1" applyBorder="1" applyAlignment="1" applyProtection="1">
      <alignment horizontal="left" vertical="center"/>
    </xf>
    <xf numFmtId="0" fontId="19" fillId="19" borderId="0" xfId="144" applyFont="1" applyFill="1" applyBorder="1" applyAlignment="1" applyProtection="1">
      <alignment vertical="center"/>
    </xf>
    <xf numFmtId="0" fontId="62" fillId="33" borderId="0" xfId="144" applyFont="1" applyFill="1" applyProtection="1"/>
    <xf numFmtId="0" fontId="7" fillId="0" borderId="0" xfId="212"/>
    <xf numFmtId="0" fontId="0" fillId="0" borderId="0" xfId="0" applyAlignment="1">
      <alignment wrapText="1"/>
    </xf>
    <xf numFmtId="0" fontId="0" fillId="0" borderId="0" xfId="0" applyAlignment="1">
      <alignment vertical="center" wrapText="1"/>
    </xf>
    <xf numFmtId="0" fontId="7" fillId="14" borderId="0" xfId="0" applyFont="1" applyFill="1" applyAlignment="1">
      <alignment vertical="center" wrapText="1"/>
    </xf>
    <xf numFmtId="0" fontId="0" fillId="0" borderId="0" xfId="0" applyAlignment="1">
      <alignment wrapText="1"/>
    </xf>
    <xf numFmtId="0" fontId="0" fillId="0" borderId="0" xfId="0" applyAlignment="1">
      <alignment vertical="center" wrapText="1"/>
    </xf>
    <xf numFmtId="0" fontId="10" fillId="33" borderId="50" xfId="0" applyFont="1" applyFill="1" applyBorder="1" applyAlignment="1">
      <alignment horizontal="left" vertical="center" wrapText="1"/>
    </xf>
    <xf numFmtId="0" fontId="0" fillId="0" borderId="0" xfId="0" applyAlignment="1">
      <alignment wrapText="1"/>
    </xf>
    <xf numFmtId="0" fontId="7" fillId="33" borderId="50" xfId="0" applyFont="1" applyFill="1" applyBorder="1" applyAlignment="1">
      <alignment horizontal="left" vertical="center" wrapText="1" indent="1"/>
    </xf>
    <xf numFmtId="0" fontId="10" fillId="29" borderId="49" xfId="0" applyFont="1" applyFill="1" applyBorder="1" applyAlignment="1">
      <alignment vertical="center" wrapText="1"/>
    </xf>
    <xf numFmtId="0" fontId="7" fillId="25" borderId="50" xfId="0" applyFont="1" applyFill="1" applyBorder="1" applyAlignment="1">
      <alignment horizontal="left" vertical="center" wrapText="1"/>
    </xf>
    <xf numFmtId="0" fontId="10" fillId="29" borderId="64" xfId="0" applyNumberFormat="1" applyFont="1" applyFill="1" applyBorder="1" applyAlignment="1">
      <alignment horizontal="right" vertical="center"/>
    </xf>
    <xf numFmtId="0" fontId="10" fillId="29" borderId="67" xfId="0" applyNumberFormat="1" applyFont="1" applyFill="1" applyBorder="1" applyAlignment="1">
      <alignment horizontal="right" vertical="center"/>
    </xf>
    <xf numFmtId="0" fontId="10" fillId="29" borderId="147" xfId="0" applyNumberFormat="1" applyFont="1" applyFill="1" applyBorder="1" applyAlignment="1">
      <alignment horizontal="right" vertical="center"/>
    </xf>
    <xf numFmtId="0" fontId="7" fillId="18" borderId="89" xfId="0" applyFont="1" applyFill="1" applyBorder="1" applyAlignment="1" applyProtection="1">
      <alignment horizontal="right" vertical="center"/>
      <protection locked="0"/>
    </xf>
    <xf numFmtId="0" fontId="7" fillId="18" borderId="62" xfId="0" applyFont="1" applyFill="1" applyBorder="1" applyAlignment="1" applyProtection="1">
      <alignment horizontal="right" vertical="center"/>
      <protection locked="0"/>
    </xf>
    <xf numFmtId="0" fontId="7" fillId="18" borderId="232" xfId="0" applyFont="1" applyFill="1" applyBorder="1" applyAlignment="1" applyProtection="1">
      <alignment horizontal="right" vertical="center"/>
      <protection locked="0"/>
    </xf>
    <xf numFmtId="0" fontId="7" fillId="18" borderId="245" xfId="0" applyFont="1" applyFill="1" applyBorder="1" applyAlignment="1" applyProtection="1">
      <alignment horizontal="right" vertical="center"/>
      <protection locked="0"/>
    </xf>
    <xf numFmtId="0" fontId="7" fillId="18" borderId="58" xfId="0" applyFont="1" applyFill="1" applyBorder="1" applyAlignment="1" applyProtection="1">
      <alignment horizontal="right" vertical="center"/>
      <protection locked="0"/>
    </xf>
    <xf numFmtId="0" fontId="7" fillId="18" borderId="66" xfId="0" applyFont="1" applyFill="1" applyBorder="1" applyAlignment="1" applyProtection="1">
      <alignment horizontal="right" vertical="center"/>
      <protection locked="0"/>
    </xf>
    <xf numFmtId="0" fontId="67" fillId="29" borderId="149" xfId="0" applyFont="1" applyFill="1" applyBorder="1" applyAlignment="1">
      <alignment vertical="center"/>
    </xf>
    <xf numFmtId="0" fontId="10" fillId="29" borderId="66" xfId="0" applyNumberFormat="1" applyFont="1" applyFill="1" applyBorder="1" applyAlignment="1">
      <alignment horizontal="right" vertical="center"/>
    </xf>
    <xf numFmtId="0" fontId="7" fillId="25" borderId="68" xfId="0" applyFont="1" applyFill="1" applyBorder="1" applyAlignment="1">
      <alignment horizontal="left" vertical="center" wrapText="1"/>
    </xf>
    <xf numFmtId="0" fontId="10" fillId="39" borderId="21" xfId="0" applyFont="1" applyFill="1" applyBorder="1" applyAlignment="1">
      <alignment horizontal="center" vertical="center" wrapText="1"/>
    </xf>
    <xf numFmtId="0" fontId="10" fillId="39" borderId="23" xfId="0" applyFont="1" applyFill="1" applyBorder="1" applyAlignment="1">
      <alignment horizontal="center" vertical="center" wrapText="1"/>
    </xf>
    <xf numFmtId="0" fontId="10" fillId="39" borderId="19" xfId="0" applyFont="1" applyFill="1" applyBorder="1" applyAlignment="1">
      <alignment horizontal="center" vertical="center" wrapText="1"/>
    </xf>
    <xf numFmtId="0" fontId="10" fillId="39" borderId="24" xfId="0" applyFont="1" applyFill="1" applyBorder="1" applyAlignment="1">
      <alignment horizontal="center" vertical="center" wrapText="1"/>
    </xf>
    <xf numFmtId="0" fontId="7" fillId="29" borderId="19" xfId="0" applyFont="1" applyFill="1" applyBorder="1" applyAlignment="1">
      <alignment wrapText="1"/>
    </xf>
    <xf numFmtId="0" fontId="7" fillId="29" borderId="24" xfId="0" applyFont="1" applyFill="1" applyBorder="1" applyAlignment="1">
      <alignment wrapText="1"/>
    </xf>
    <xf numFmtId="0" fontId="10" fillId="39" borderId="246" xfId="0" applyFont="1" applyFill="1" applyBorder="1" applyAlignment="1">
      <alignment horizontal="center" vertical="center" wrapText="1"/>
    </xf>
    <xf numFmtId="0" fontId="10" fillId="39" borderId="202" xfId="0" applyFont="1" applyFill="1" applyBorder="1" applyAlignment="1">
      <alignment horizontal="center" vertical="center" wrapText="1"/>
    </xf>
    <xf numFmtId="0" fontId="99" fillId="33" borderId="0" xfId="144" applyFont="1" applyFill="1" applyProtection="1"/>
    <xf numFmtId="0" fontId="90" fillId="33" borderId="0" xfId="144" applyFont="1" applyFill="1" applyProtection="1">
      <protection locked="0"/>
    </xf>
    <xf numFmtId="0" fontId="19" fillId="19" borderId="0" xfId="144" applyFont="1" applyFill="1" applyAlignment="1" applyProtection="1">
      <alignment vertical="center" wrapText="1"/>
    </xf>
    <xf numFmtId="0" fontId="19" fillId="0" borderId="0" xfId="144" applyFont="1" applyFill="1" applyAlignment="1" applyProtection="1">
      <alignment vertical="center"/>
    </xf>
    <xf numFmtId="0" fontId="7" fillId="33" borderId="0" xfId="144" applyFill="1" applyProtection="1"/>
    <xf numFmtId="0" fontId="85" fillId="30" borderId="0" xfId="144" applyFont="1" applyFill="1"/>
    <xf numFmtId="0" fontId="7" fillId="33" borderId="0" xfId="144" applyFill="1" applyProtection="1">
      <protection locked="0"/>
    </xf>
    <xf numFmtId="0" fontId="10" fillId="0" borderId="0" xfId="144" applyFont="1" applyAlignment="1" applyProtection="1">
      <alignment horizontal="left" wrapText="1"/>
      <protection locked="0"/>
    </xf>
    <xf numFmtId="0" fontId="10" fillId="0" borderId="0" xfId="144" applyFont="1" applyAlignment="1" applyProtection="1">
      <alignment horizontal="left" wrapText="1"/>
    </xf>
    <xf numFmtId="0" fontId="90" fillId="33" borderId="0" xfId="144" applyFont="1" applyFill="1" applyProtection="1"/>
    <xf numFmtId="0" fontId="10" fillId="14" borderId="0" xfId="144" applyFont="1" applyFill="1" applyAlignment="1" applyProtection="1">
      <alignment vertical="center" wrapText="1"/>
    </xf>
    <xf numFmtId="0" fontId="10" fillId="33" borderId="0" xfId="144" applyFont="1" applyFill="1" applyAlignment="1" applyProtection="1">
      <alignment vertical="center" wrapText="1"/>
    </xf>
    <xf numFmtId="0" fontId="10" fillId="0" borderId="0" xfId="144" applyFont="1" applyFill="1" applyAlignment="1" applyProtection="1">
      <alignment vertical="center" wrapText="1"/>
    </xf>
    <xf numFmtId="0" fontId="7" fillId="33" borderId="0" xfId="144" applyFill="1" applyAlignment="1" applyProtection="1">
      <alignment horizontal="left" vertical="top" wrapText="1"/>
      <protection locked="0"/>
    </xf>
    <xf numFmtId="0" fontId="7" fillId="33" borderId="0" xfId="144" applyFill="1" applyAlignment="1" applyProtection="1">
      <alignment horizontal="left" vertical="top" wrapText="1"/>
    </xf>
    <xf numFmtId="0" fontId="7" fillId="0" borderId="0" xfId="144" applyFill="1" applyAlignment="1" applyProtection="1">
      <alignment vertical="top" wrapText="1"/>
    </xf>
    <xf numFmtId="0" fontId="7" fillId="33" borderId="0" xfId="144" applyFill="1" applyAlignment="1" applyProtection="1">
      <alignment vertical="top" wrapText="1"/>
    </xf>
    <xf numFmtId="0" fontId="10" fillId="33" borderId="0" xfId="144" applyFont="1" applyFill="1" applyAlignment="1" applyProtection="1">
      <alignment horizontal="left" vertical="top" wrapText="1"/>
    </xf>
    <xf numFmtId="0" fontId="10" fillId="33" borderId="201" xfId="144" applyFont="1" applyFill="1" applyBorder="1" applyAlignment="1" applyProtection="1">
      <alignment horizontal="left" vertical="top" wrapText="1"/>
    </xf>
    <xf numFmtId="0" fontId="7" fillId="33" borderId="201" xfId="144" applyFill="1" applyBorder="1" applyAlignment="1" applyProtection="1">
      <alignment horizontal="left" vertical="top" wrapText="1"/>
    </xf>
    <xf numFmtId="0" fontId="99" fillId="33" borderId="0" xfId="144" applyFont="1" applyFill="1"/>
    <xf numFmtId="0" fontId="7" fillId="33" borderId="0" xfId="144" applyFill="1"/>
    <xf numFmtId="0" fontId="15" fillId="29" borderId="36" xfId="144" applyFont="1" applyFill="1" applyBorder="1" applyAlignment="1" applyProtection="1">
      <alignment horizontal="left" vertical="center"/>
    </xf>
    <xf numFmtId="0" fontId="15" fillId="29" borderId="22" xfId="144" applyFont="1" applyFill="1" applyBorder="1" applyAlignment="1" applyProtection="1">
      <alignment horizontal="left" vertical="center"/>
    </xf>
    <xf numFmtId="0" fontId="15" fillId="29" borderId="35" xfId="144" applyFont="1" applyFill="1" applyBorder="1" applyAlignment="1" applyProtection="1">
      <alignment horizontal="left" vertical="center"/>
    </xf>
    <xf numFmtId="0" fontId="15" fillId="29" borderId="34" xfId="144" applyFont="1" applyFill="1" applyBorder="1" applyAlignment="1" applyProtection="1">
      <alignment horizontal="left" vertical="center"/>
    </xf>
    <xf numFmtId="0" fontId="18" fillId="33" borderId="19" xfId="144" applyFont="1" applyFill="1" applyBorder="1" applyAlignment="1" applyProtection="1">
      <alignment vertical="center" wrapText="1"/>
      <protection locked="0"/>
    </xf>
    <xf numFmtId="0" fontId="7" fillId="0" borderId="21" xfId="144" applyBorder="1"/>
    <xf numFmtId="0" fontId="10" fillId="29" borderId="250" xfId="144" applyFont="1" applyFill="1" applyBorder="1" applyAlignment="1" applyProtection="1">
      <alignment horizontal="right" vertical="center"/>
    </xf>
    <xf numFmtId="0" fontId="10" fillId="55" borderId="69" xfId="144" applyFont="1" applyFill="1" applyBorder="1" applyAlignment="1" applyProtection="1">
      <alignment horizontal="right" vertical="center"/>
    </xf>
    <xf numFmtId="0" fontId="7" fillId="0" borderId="19" xfId="144" applyBorder="1"/>
    <xf numFmtId="0" fontId="10" fillId="55" borderId="36" xfId="144" applyFont="1" applyFill="1" applyBorder="1" applyAlignment="1" applyProtection="1">
      <alignment horizontal="right" vertical="center"/>
    </xf>
    <xf numFmtId="0" fontId="10" fillId="55" borderId="52" xfId="144" applyFont="1" applyFill="1" applyBorder="1" applyAlignment="1" applyProtection="1">
      <alignment horizontal="right" vertical="center"/>
    </xf>
    <xf numFmtId="0" fontId="10" fillId="55" borderId="53" xfId="144" applyFont="1" applyFill="1" applyBorder="1" applyAlignment="1" applyProtection="1">
      <alignment horizontal="right" vertical="center"/>
    </xf>
    <xf numFmtId="0" fontId="7" fillId="0" borderId="49" xfId="144" applyFont="1" applyFill="1" applyBorder="1" applyAlignment="1" applyProtection="1">
      <alignment horizontal="left" vertical="center" wrapText="1" indent="1"/>
    </xf>
    <xf numFmtId="167" fontId="7" fillId="0" borderId="256" xfId="144" applyNumberFormat="1" applyFont="1" applyFill="1" applyBorder="1" applyAlignment="1" applyProtection="1">
      <alignment vertical="center" wrapText="1"/>
    </xf>
    <xf numFmtId="167" fontId="7" fillId="29" borderId="257" xfId="144" applyNumberFormat="1" applyFont="1" applyFill="1" applyBorder="1" applyAlignment="1" applyProtection="1"/>
    <xf numFmtId="167" fontId="10" fillId="29" borderId="257" xfId="144" applyNumberFormat="1" applyFont="1" applyFill="1" applyBorder="1" applyAlignment="1" applyProtection="1"/>
    <xf numFmtId="167" fontId="10" fillId="29" borderId="131" xfId="144" applyNumberFormat="1" applyFont="1" applyFill="1" applyBorder="1" applyAlignment="1" applyProtection="1"/>
    <xf numFmtId="0" fontId="49" fillId="33" borderId="49" xfId="144" applyFont="1" applyFill="1" applyBorder="1" applyAlignment="1" applyProtection="1">
      <alignment vertical="center" wrapText="1"/>
    </xf>
    <xf numFmtId="0" fontId="49" fillId="33" borderId="140" xfId="144" applyFont="1" applyFill="1" applyBorder="1" applyAlignment="1" applyProtection="1">
      <alignment vertical="center" wrapText="1"/>
    </xf>
    <xf numFmtId="10" fontId="7" fillId="33" borderId="12" xfId="144" applyNumberFormat="1" applyFont="1" applyFill="1" applyBorder="1" applyAlignment="1" applyProtection="1">
      <alignment horizontal="right" vertical="center" wrapText="1"/>
    </xf>
    <xf numFmtId="10" fontId="7" fillId="33" borderId="177" xfId="144" applyNumberFormat="1" applyFont="1" applyFill="1" applyBorder="1" applyAlignment="1" applyProtection="1">
      <alignment horizontal="right" vertical="center" wrapText="1"/>
    </xf>
    <xf numFmtId="0" fontId="7" fillId="0" borderId="68" xfId="144" applyFont="1" applyFill="1" applyBorder="1" applyAlignment="1" applyProtection="1">
      <alignment horizontal="left" vertical="center" wrapText="1" indent="1"/>
    </xf>
    <xf numFmtId="167" fontId="7" fillId="0" borderId="186" xfId="144" applyNumberFormat="1" applyFont="1" applyFill="1" applyBorder="1" applyAlignment="1" applyProtection="1">
      <alignment vertical="center" wrapText="1"/>
    </xf>
    <xf numFmtId="167" fontId="7" fillId="0" borderId="179" xfId="144" applyNumberFormat="1" applyFont="1" applyFill="1" applyBorder="1" applyAlignment="1" applyProtection="1">
      <alignment vertical="center" wrapText="1"/>
    </xf>
    <xf numFmtId="167" fontId="7" fillId="0" borderId="40" xfId="144" applyNumberFormat="1" applyFont="1" applyFill="1" applyBorder="1" applyAlignment="1" applyProtection="1">
      <alignment vertical="center" wrapText="1"/>
    </xf>
    <xf numFmtId="0" fontId="49" fillId="33" borderId="68" xfId="144" applyFont="1" applyFill="1" applyBorder="1" applyAlignment="1" applyProtection="1">
      <alignment vertical="center" wrapText="1"/>
    </xf>
    <xf numFmtId="197" fontId="7" fillId="33" borderId="186" xfId="144" applyNumberFormat="1" applyFont="1" applyFill="1" applyBorder="1" applyAlignment="1" applyProtection="1">
      <alignment horizontal="right" vertical="center" wrapText="1"/>
    </xf>
    <xf numFmtId="197" fontId="7" fillId="33" borderId="178" xfId="144" applyNumberFormat="1" applyFont="1" applyFill="1" applyBorder="1" applyAlignment="1" applyProtection="1">
      <alignment horizontal="right" vertical="center" wrapText="1"/>
    </xf>
    <xf numFmtId="197" fontId="7" fillId="33" borderId="179" xfId="144" applyNumberFormat="1" applyFont="1" applyFill="1" applyBorder="1" applyAlignment="1" applyProtection="1">
      <alignment horizontal="right" vertical="center" wrapText="1"/>
    </xf>
    <xf numFmtId="197" fontId="7" fillId="33" borderId="180" xfId="144" applyNumberFormat="1" applyFont="1" applyFill="1" applyBorder="1" applyAlignment="1" applyProtection="1">
      <alignment horizontal="right" vertical="center" wrapText="1"/>
    </xf>
    <xf numFmtId="0" fontId="99" fillId="33" borderId="0" xfId="144" applyFont="1" applyFill="1" applyBorder="1" applyProtection="1"/>
    <xf numFmtId="0" fontId="90" fillId="33" borderId="0" xfId="144" applyFont="1" applyFill="1" applyBorder="1" applyProtection="1"/>
    <xf numFmtId="0" fontId="7" fillId="0" borderId="0" xfId="144" applyFont="1" applyFill="1" applyBorder="1" applyAlignment="1" applyProtection="1">
      <alignment horizontal="left" vertical="center" wrapText="1" indent="1"/>
    </xf>
    <xf numFmtId="0" fontId="7" fillId="0" borderId="22" xfId="144" applyFont="1" applyFill="1" applyBorder="1" applyAlignment="1" applyProtection="1">
      <alignment horizontal="left" vertical="center" wrapText="1" indent="1"/>
    </xf>
    <xf numFmtId="167" fontId="7" fillId="0" borderId="22" xfId="144" applyNumberFormat="1" applyFont="1" applyFill="1" applyBorder="1" applyAlignment="1" applyProtection="1">
      <alignment horizontal="right" vertical="center" wrapText="1"/>
    </xf>
    <xf numFmtId="0" fontId="7" fillId="33" borderId="0" xfId="144" applyFill="1" applyBorder="1" applyProtection="1"/>
    <xf numFmtId="182" fontId="7" fillId="33" borderId="0" xfId="144" applyNumberFormat="1" applyFill="1" applyBorder="1" applyProtection="1"/>
    <xf numFmtId="2" fontId="7" fillId="33" borderId="0" xfId="144" applyNumberFormat="1" applyFont="1" applyFill="1" applyBorder="1" applyAlignment="1" applyProtection="1">
      <alignment horizontal="right" vertical="center" wrapText="1"/>
    </xf>
    <xf numFmtId="0" fontId="99" fillId="0" borderId="0" xfId="144" applyFont="1"/>
    <xf numFmtId="0" fontId="99" fillId="33" borderId="0" xfId="144" applyFont="1" applyFill="1" applyBorder="1" applyProtection="1">
      <protection locked="0"/>
    </xf>
    <xf numFmtId="0" fontId="90" fillId="33" borderId="0" xfId="144" applyFont="1" applyFill="1" applyBorder="1" applyProtection="1">
      <protection locked="0"/>
    </xf>
    <xf numFmtId="0" fontId="80" fillId="27" borderId="0" xfId="144" applyFont="1" applyFill="1" applyBorder="1" applyAlignment="1">
      <alignment vertical="center"/>
    </xf>
    <xf numFmtId="0" fontId="80" fillId="33" borderId="0" xfId="144" applyFont="1" applyFill="1" applyBorder="1" applyProtection="1"/>
    <xf numFmtId="0" fontId="7" fillId="33" borderId="0" xfId="144" applyFill="1" applyAlignment="1">
      <alignment horizontal="left" vertical="top" wrapText="1"/>
    </xf>
    <xf numFmtId="0" fontId="102" fillId="33" borderId="0" xfId="144" applyFont="1" applyFill="1" applyBorder="1" applyProtection="1"/>
    <xf numFmtId="0" fontId="93" fillId="33" borderId="0" xfId="144" applyFont="1" applyFill="1" applyBorder="1" applyProtection="1"/>
    <xf numFmtId="0" fontId="94" fillId="31" borderId="36" xfId="144" applyFont="1" applyFill="1" applyBorder="1" applyAlignment="1" applyProtection="1">
      <alignment horizontal="left" vertical="center"/>
      <protection locked="0"/>
    </xf>
    <xf numFmtId="0" fontId="94" fillId="31" borderId="35" xfId="144" applyFont="1" applyFill="1" applyBorder="1" applyAlignment="1" applyProtection="1">
      <alignment horizontal="left" vertical="center"/>
      <protection locked="0"/>
    </xf>
    <xf numFmtId="0" fontId="68" fillId="33" borderId="21" xfId="144" applyFont="1" applyFill="1" applyBorder="1"/>
    <xf numFmtId="0" fontId="7" fillId="33" borderId="19" xfId="144" applyFill="1" applyBorder="1"/>
    <xf numFmtId="0" fontId="10" fillId="56" borderId="68" xfId="144" applyFont="1" applyFill="1" applyBorder="1" applyAlignment="1" applyProtection="1">
      <alignment horizontal="right" vertical="center"/>
    </xf>
    <xf numFmtId="0" fontId="10" fillId="56" borderId="116" xfId="144" applyFont="1" applyFill="1" applyBorder="1" applyAlignment="1" applyProtection="1">
      <alignment horizontal="right" vertical="center"/>
    </xf>
    <xf numFmtId="0" fontId="10" fillId="56" borderId="147" xfId="144" applyFont="1" applyFill="1" applyBorder="1" applyAlignment="1" applyProtection="1">
      <alignment horizontal="right" vertical="center"/>
    </xf>
    <xf numFmtId="0" fontId="10" fillId="29" borderId="68" xfId="144" applyFont="1" applyFill="1" applyBorder="1" applyAlignment="1" applyProtection="1">
      <alignment horizontal="right" vertical="center"/>
    </xf>
    <xf numFmtId="0" fontId="10" fillId="29" borderId="116" xfId="144" applyFont="1" applyFill="1" applyBorder="1" applyAlignment="1" applyProtection="1">
      <alignment horizontal="right" vertical="center"/>
    </xf>
    <xf numFmtId="0" fontId="10" fillId="36" borderId="51" xfId="144" applyFont="1" applyFill="1" applyBorder="1" applyAlignment="1" applyProtection="1">
      <alignment horizontal="right" vertical="center"/>
    </xf>
    <xf numFmtId="0" fontId="10" fillId="36" borderId="52" xfId="144" applyFont="1" applyFill="1" applyBorder="1" applyAlignment="1" applyProtection="1">
      <alignment horizontal="right" vertical="center"/>
    </xf>
    <xf numFmtId="0" fontId="10" fillId="36" borderId="53" xfId="144" applyFont="1" applyFill="1" applyBorder="1" applyAlignment="1" applyProtection="1">
      <alignment horizontal="right" vertical="center"/>
    </xf>
    <xf numFmtId="0" fontId="10" fillId="29" borderId="36" xfId="144" applyFont="1" applyFill="1" applyBorder="1" applyAlignment="1" applyProtection="1">
      <alignment horizontal="right" vertical="center"/>
      <protection locked="0"/>
    </xf>
    <xf numFmtId="0" fontId="10" fillId="29" borderId="35" xfId="144" applyFont="1" applyFill="1" applyBorder="1" applyAlignment="1" applyProtection="1">
      <alignment horizontal="right" vertical="center"/>
      <protection locked="0"/>
    </xf>
    <xf numFmtId="0" fontId="10" fillId="56" borderId="51" xfId="144" applyFont="1" applyFill="1" applyBorder="1" applyAlignment="1" applyProtection="1">
      <alignment horizontal="right" vertical="center"/>
    </xf>
    <xf numFmtId="0" fontId="10" fillId="56" borderId="52" xfId="144" applyFont="1" applyFill="1" applyBorder="1" applyAlignment="1" applyProtection="1">
      <alignment horizontal="right" vertical="center"/>
    </xf>
    <xf numFmtId="0" fontId="10" fillId="56" borderId="53" xfId="144" applyFont="1" applyFill="1" applyBorder="1" applyAlignment="1" applyProtection="1">
      <alignment horizontal="right" vertical="center"/>
    </xf>
    <xf numFmtId="0" fontId="7" fillId="0" borderId="49" xfId="144" applyFont="1" applyBorder="1" applyAlignment="1" applyProtection="1">
      <alignment horizontal="left" vertical="center" wrapText="1" indent="1"/>
    </xf>
    <xf numFmtId="167" fontId="10" fillId="25" borderId="206" xfId="144" applyNumberFormat="1" applyFont="1" applyFill="1" applyBorder="1" applyAlignment="1" applyProtection="1">
      <alignment vertical="center" wrapText="1"/>
      <protection locked="0"/>
    </xf>
    <xf numFmtId="167" fontId="10" fillId="25" borderId="82" xfId="144" applyNumberFormat="1" applyFont="1" applyFill="1" applyBorder="1" applyAlignment="1" applyProtection="1">
      <alignment vertical="center" wrapText="1"/>
      <protection locked="0"/>
    </xf>
    <xf numFmtId="167" fontId="7" fillId="33" borderId="206" xfId="144" applyNumberFormat="1" applyFont="1" applyFill="1" applyBorder="1" applyAlignment="1">
      <alignment horizontal="right" vertical="center" wrapText="1"/>
    </xf>
    <xf numFmtId="167" fontId="7" fillId="33" borderId="82" xfId="144" applyNumberFormat="1" applyFont="1" applyFill="1" applyBorder="1" applyAlignment="1">
      <alignment horizontal="right" vertical="center" wrapText="1"/>
    </xf>
    <xf numFmtId="167" fontId="7" fillId="33" borderId="90" xfId="144" applyNumberFormat="1" applyFont="1" applyFill="1" applyBorder="1" applyAlignment="1">
      <alignment horizontal="right" vertical="center" wrapText="1"/>
    </xf>
    <xf numFmtId="173" fontId="7" fillId="29" borderId="0" xfId="144" applyNumberFormat="1" applyFont="1" applyFill="1" applyBorder="1" applyAlignment="1" applyProtection="1">
      <alignment horizontal="left"/>
    </xf>
    <xf numFmtId="173" fontId="7" fillId="29" borderId="24" xfId="144" applyNumberFormat="1" applyFont="1" applyFill="1" applyBorder="1" applyAlignment="1" applyProtection="1">
      <alignment horizontal="left"/>
    </xf>
    <xf numFmtId="0" fontId="7" fillId="0" borderId="0" xfId="144" applyFill="1" applyProtection="1"/>
    <xf numFmtId="0" fontId="83" fillId="29" borderId="50" xfId="144" applyFont="1" applyFill="1" applyBorder="1" applyAlignment="1" applyProtection="1">
      <alignment horizontal="left" vertical="center" wrapText="1" indent="1"/>
    </xf>
    <xf numFmtId="0" fontId="10" fillId="29" borderId="46" xfId="144" applyFont="1" applyFill="1" applyBorder="1" applyAlignment="1" applyProtection="1">
      <alignment vertical="center"/>
    </xf>
    <xf numFmtId="0" fontId="10" fillId="29" borderId="60" xfId="144" applyFont="1" applyFill="1" applyBorder="1" applyAlignment="1" applyProtection="1">
      <alignment vertical="center"/>
    </xf>
    <xf numFmtId="0" fontId="10" fillId="29" borderId="63" xfId="144" applyFont="1" applyFill="1" applyBorder="1" applyAlignment="1" applyProtection="1">
      <alignment vertical="center"/>
    </xf>
    <xf numFmtId="173" fontId="10" fillId="31" borderId="46" xfId="144" applyNumberFormat="1" applyFont="1" applyFill="1" applyBorder="1" applyAlignment="1" applyProtection="1">
      <alignment horizontal="left"/>
      <protection locked="0"/>
    </xf>
    <xf numFmtId="173" fontId="10" fillId="31" borderId="60" xfId="144" applyNumberFormat="1" applyFont="1" applyFill="1" applyBorder="1" applyAlignment="1" applyProtection="1">
      <alignment horizontal="left"/>
      <protection locked="0"/>
    </xf>
    <xf numFmtId="173" fontId="10" fillId="31" borderId="63" xfId="144" applyNumberFormat="1" applyFont="1" applyFill="1" applyBorder="1" applyAlignment="1" applyProtection="1">
      <alignment horizontal="left"/>
      <protection locked="0"/>
    </xf>
    <xf numFmtId="0" fontId="7" fillId="0" borderId="50" xfId="144" applyFont="1" applyBorder="1" applyAlignment="1" applyProtection="1">
      <alignment horizontal="left" vertical="center" indent="3"/>
    </xf>
    <xf numFmtId="167" fontId="7" fillId="25" borderId="46" xfId="144" applyNumberFormat="1" applyFont="1" applyFill="1" applyBorder="1" applyAlignment="1" applyProtection="1">
      <alignment vertical="center" wrapText="1"/>
      <protection locked="0"/>
    </xf>
    <xf numFmtId="167" fontId="7" fillId="25" borderId="60" xfId="144" applyNumberFormat="1" applyFont="1" applyFill="1" applyBorder="1" applyAlignment="1" applyProtection="1">
      <alignment vertical="center" wrapText="1"/>
      <protection locked="0"/>
    </xf>
    <xf numFmtId="167" fontId="7" fillId="25" borderId="63" xfId="144" applyNumberFormat="1" applyFont="1" applyFill="1" applyBorder="1" applyAlignment="1" applyProtection="1">
      <alignment vertical="center" wrapText="1"/>
      <protection locked="0"/>
    </xf>
    <xf numFmtId="167" fontId="7" fillId="33" borderId="46" xfId="144" applyNumberFormat="1" applyFont="1" applyFill="1" applyBorder="1" applyAlignment="1">
      <alignment horizontal="right" wrapText="1"/>
    </xf>
    <xf numFmtId="167" fontId="7" fillId="33" borderId="60" xfId="144" applyNumberFormat="1" applyFont="1" applyFill="1" applyBorder="1" applyAlignment="1">
      <alignment horizontal="right" wrapText="1"/>
    </xf>
    <xf numFmtId="167" fontId="7" fillId="33" borderId="63" xfId="144" applyNumberFormat="1" applyFont="1" applyFill="1" applyBorder="1" applyAlignment="1">
      <alignment horizontal="right" wrapText="1"/>
    </xf>
    <xf numFmtId="0" fontId="7" fillId="0" borderId="0" xfId="144" applyFill="1" applyAlignment="1" applyProtection="1">
      <alignment horizontal="right"/>
    </xf>
    <xf numFmtId="0" fontId="7" fillId="0" borderId="50" xfId="144" applyFont="1" applyBorder="1" applyAlignment="1" applyProtection="1">
      <alignment horizontal="left" vertical="center" wrapText="1" indent="1"/>
    </xf>
    <xf numFmtId="0" fontId="7" fillId="0" borderId="68" xfId="144" applyFont="1" applyBorder="1" applyAlignment="1" applyProtection="1">
      <alignment horizontal="left" vertical="center" wrapText="1" indent="1"/>
    </xf>
    <xf numFmtId="167" fontId="7" fillId="25" borderId="207" xfId="144" applyNumberFormat="1" applyFont="1" applyFill="1" applyBorder="1" applyAlignment="1" applyProtection="1">
      <alignment vertical="center" wrapText="1"/>
      <protection locked="0"/>
    </xf>
    <xf numFmtId="167" fontId="7" fillId="25" borderId="64" xfId="144" applyNumberFormat="1" applyFont="1" applyFill="1" applyBorder="1" applyAlignment="1" applyProtection="1">
      <alignment vertical="center" wrapText="1"/>
      <protection locked="0"/>
    </xf>
    <xf numFmtId="167" fontId="7" fillId="25" borderId="67" xfId="144" applyNumberFormat="1" applyFont="1" applyFill="1" applyBorder="1" applyAlignment="1" applyProtection="1">
      <alignment vertical="center" wrapText="1"/>
      <protection locked="0"/>
    </xf>
    <xf numFmtId="0" fontId="7" fillId="29" borderId="246" xfId="144" applyFont="1" applyFill="1" applyBorder="1" applyAlignment="1" applyProtection="1">
      <alignment horizontal="left" vertical="center" wrapText="1" indent="1"/>
    </xf>
    <xf numFmtId="167" fontId="51" fillId="57" borderId="250" xfId="144" applyNumberFormat="1" applyFont="1" applyFill="1" applyBorder="1" applyAlignment="1" applyProtection="1">
      <alignment horizontal="right" wrapText="1"/>
    </xf>
    <xf numFmtId="167" fontId="51" fillId="57" borderId="251" xfId="144" applyNumberFormat="1" applyFont="1" applyFill="1" applyBorder="1" applyAlignment="1" applyProtection="1">
      <alignment horizontal="right" wrapText="1"/>
    </xf>
    <xf numFmtId="167" fontId="51" fillId="57" borderId="252" xfId="144" applyNumberFormat="1" applyFont="1" applyFill="1" applyBorder="1" applyAlignment="1" applyProtection="1">
      <alignment horizontal="right" wrapText="1"/>
    </xf>
    <xf numFmtId="167" fontId="51" fillId="57" borderId="51" xfId="144" applyNumberFormat="1" applyFont="1" applyFill="1" applyBorder="1" applyAlignment="1" applyProtection="1">
      <alignment horizontal="right" wrapText="1"/>
    </xf>
    <xf numFmtId="167" fontId="51" fillId="57" borderId="52" xfId="144" applyNumberFormat="1" applyFont="1" applyFill="1" applyBorder="1" applyAlignment="1" applyProtection="1">
      <alignment horizontal="right" wrapText="1"/>
    </xf>
    <xf numFmtId="167" fontId="51" fillId="57" borderId="54" xfId="144" applyNumberFormat="1" applyFont="1" applyFill="1" applyBorder="1" applyAlignment="1" applyProtection="1">
      <alignment horizontal="right" wrapText="1"/>
    </xf>
    <xf numFmtId="167" fontId="51" fillId="57" borderId="53" xfId="144" applyNumberFormat="1" applyFont="1" applyFill="1" applyBorder="1" applyAlignment="1" applyProtection="1">
      <alignment horizontal="right" wrapText="1"/>
    </xf>
    <xf numFmtId="173" fontId="7" fillId="29" borderId="201" xfId="144" applyNumberFormat="1" applyFont="1" applyFill="1" applyBorder="1" applyAlignment="1" applyProtection="1">
      <alignment horizontal="left"/>
    </xf>
    <xf numFmtId="173" fontId="7" fillId="29" borderId="202" xfId="144" applyNumberFormat="1" applyFont="1" applyFill="1" applyBorder="1" applyAlignment="1" applyProtection="1">
      <alignment horizontal="left"/>
    </xf>
    <xf numFmtId="0" fontId="83" fillId="0" borderId="35" xfId="144" applyFont="1" applyFill="1" applyBorder="1" applyAlignment="1" applyProtection="1">
      <alignment vertical="center"/>
    </xf>
    <xf numFmtId="0" fontId="83" fillId="0" borderId="0" xfId="144" applyFont="1" applyFill="1" applyBorder="1" applyAlignment="1" applyProtection="1">
      <alignment vertical="center"/>
    </xf>
    <xf numFmtId="167" fontId="95" fillId="0" borderId="0" xfId="144" applyNumberFormat="1" applyFont="1" applyBorder="1" applyProtection="1"/>
    <xf numFmtId="167" fontId="95" fillId="0" borderId="201" xfId="144" applyNumberFormat="1" applyFont="1" applyBorder="1" applyProtection="1"/>
    <xf numFmtId="0" fontId="7" fillId="0" borderId="201" xfId="144" applyBorder="1"/>
    <xf numFmtId="173" fontId="96" fillId="0" borderId="0" xfId="144" applyNumberFormat="1" applyFont="1" applyFill="1" applyBorder="1" applyAlignment="1" applyProtection="1">
      <alignment horizontal="left"/>
    </xf>
    <xf numFmtId="173" fontId="96" fillId="0" borderId="24" xfId="144" applyNumberFormat="1" applyFont="1" applyFill="1" applyBorder="1" applyAlignment="1" applyProtection="1">
      <alignment horizontal="left"/>
    </xf>
    <xf numFmtId="0" fontId="94" fillId="31" borderId="34" xfId="144" applyFont="1" applyFill="1" applyBorder="1" applyAlignment="1" applyProtection="1">
      <alignment horizontal="left" vertical="center"/>
      <protection locked="0"/>
    </xf>
    <xf numFmtId="0" fontId="7" fillId="0" borderId="98" xfId="144" applyBorder="1"/>
    <xf numFmtId="0" fontId="94" fillId="33" borderId="0" xfId="144" applyFont="1" applyFill="1" applyBorder="1" applyAlignment="1" applyProtection="1">
      <alignment horizontal="left" vertical="center"/>
      <protection locked="0"/>
    </xf>
    <xf numFmtId="173" fontId="7" fillId="14" borderId="21" xfId="144" applyNumberFormat="1" applyFont="1" applyFill="1" applyBorder="1" applyAlignment="1" applyProtection="1">
      <alignment horizontal="left"/>
      <protection locked="0"/>
    </xf>
    <xf numFmtId="173" fontId="7" fillId="14" borderId="22" xfId="144" applyNumberFormat="1" applyFont="1" applyFill="1" applyBorder="1" applyAlignment="1" applyProtection="1">
      <alignment horizontal="left"/>
      <protection locked="0"/>
    </xf>
    <xf numFmtId="173" fontId="7" fillId="14" borderId="23" xfId="144" applyNumberFormat="1" applyFont="1" applyFill="1" applyBorder="1" applyAlignment="1" applyProtection="1">
      <alignment horizontal="left"/>
      <protection locked="0"/>
    </xf>
    <xf numFmtId="0" fontId="62" fillId="33" borderId="0" xfId="144" applyFont="1" applyFill="1" applyBorder="1" applyAlignment="1" applyProtection="1">
      <alignment horizontal="right"/>
      <protection locked="0"/>
    </xf>
    <xf numFmtId="173" fontId="7" fillId="14" borderId="19" xfId="144" applyNumberFormat="1" applyFont="1" applyFill="1" applyBorder="1" applyAlignment="1" applyProtection="1">
      <alignment horizontal="left"/>
      <protection locked="0"/>
    </xf>
    <xf numFmtId="173" fontId="7" fillId="14" borderId="0" xfId="144" applyNumberFormat="1" applyFont="1" applyFill="1" applyBorder="1" applyAlignment="1" applyProtection="1">
      <alignment horizontal="left"/>
      <protection locked="0"/>
    </xf>
    <xf numFmtId="173" fontId="7" fillId="14" borderId="24" xfId="144" applyNumberFormat="1" applyFont="1" applyFill="1" applyBorder="1" applyAlignment="1" applyProtection="1">
      <alignment horizontal="left"/>
      <protection locked="0"/>
    </xf>
    <xf numFmtId="2" fontId="10" fillId="29" borderId="72" xfId="144" applyNumberFormat="1" applyFont="1" applyFill="1" applyBorder="1" applyAlignment="1" applyProtection="1"/>
    <xf numFmtId="175" fontId="7" fillId="33" borderId="206" xfId="144" applyNumberFormat="1" applyFont="1" applyFill="1" applyBorder="1" applyAlignment="1" applyProtection="1">
      <alignment horizontal="right" vertical="center"/>
    </xf>
    <xf numFmtId="175" fontId="7" fillId="33" borderId="82" xfId="144" applyNumberFormat="1" applyFont="1" applyFill="1" applyBorder="1" applyAlignment="1" applyProtection="1">
      <alignment horizontal="right" vertical="center"/>
    </xf>
    <xf numFmtId="175" fontId="7" fillId="33" borderId="85" xfId="144" applyNumberFormat="1" applyFont="1" applyFill="1" applyBorder="1" applyAlignment="1" applyProtection="1">
      <alignment horizontal="right" vertical="center"/>
    </xf>
    <xf numFmtId="168" fontId="10" fillId="29" borderId="72" xfId="144" applyNumberFormat="1" applyFont="1" applyFill="1" applyBorder="1" applyAlignment="1" applyProtection="1">
      <alignment horizontal="left"/>
      <protection locked="0"/>
    </xf>
    <xf numFmtId="173" fontId="7" fillId="14" borderId="0" xfId="144" applyNumberFormat="1" applyFont="1" applyFill="1" applyBorder="1" applyAlignment="1" applyProtection="1">
      <alignment horizontal="left"/>
    </xf>
    <xf numFmtId="173" fontId="7" fillId="14" borderId="24" xfId="144" applyNumberFormat="1" applyFont="1" applyFill="1" applyBorder="1" applyAlignment="1" applyProtection="1">
      <alignment horizontal="left"/>
    </xf>
    <xf numFmtId="0" fontId="83" fillId="31" borderId="50" xfId="144" applyFont="1" applyFill="1" applyBorder="1" applyAlignment="1" applyProtection="1">
      <alignment horizontal="left" vertical="center" wrapText="1" indent="1"/>
    </xf>
    <xf numFmtId="167" fontId="10" fillId="29" borderId="46" xfId="144" applyNumberFormat="1" applyFont="1" applyFill="1" applyBorder="1" applyAlignment="1" applyProtection="1"/>
    <xf numFmtId="167" fontId="10" fillId="29" borderId="60" xfId="144" applyNumberFormat="1" applyFont="1" applyFill="1" applyBorder="1" applyAlignment="1" applyProtection="1"/>
    <xf numFmtId="167" fontId="10" fillId="29" borderId="86" xfId="144" applyNumberFormat="1" applyFont="1" applyFill="1" applyBorder="1" applyAlignment="1" applyProtection="1"/>
    <xf numFmtId="2" fontId="10" fillId="29" borderId="73" xfId="144" applyNumberFormat="1" applyFont="1" applyFill="1" applyBorder="1" applyAlignment="1" applyProtection="1"/>
    <xf numFmtId="173" fontId="10" fillId="29" borderId="46" xfId="144" applyNumberFormat="1" applyFont="1" applyFill="1" applyBorder="1" applyAlignment="1" applyProtection="1">
      <alignment horizontal="left"/>
    </xf>
    <xf numFmtId="173" fontId="10" fillId="29" borderId="60" xfId="144" applyNumberFormat="1" applyFont="1" applyFill="1" applyBorder="1" applyAlignment="1" applyProtection="1">
      <alignment horizontal="left"/>
    </xf>
    <xf numFmtId="173" fontId="10" fillId="29" borderId="86" xfId="144" applyNumberFormat="1" applyFont="1" applyFill="1" applyBorder="1" applyAlignment="1" applyProtection="1">
      <alignment horizontal="left"/>
    </xf>
    <xf numFmtId="183" fontId="10" fillId="29" borderId="73" xfId="144" applyNumberFormat="1" applyFont="1" applyFill="1" applyBorder="1" applyAlignment="1" applyProtection="1">
      <alignment horizontal="right"/>
      <protection locked="0"/>
    </xf>
    <xf numFmtId="167" fontId="7" fillId="25" borderId="86" xfId="144" applyNumberFormat="1" applyFont="1" applyFill="1" applyBorder="1" applyAlignment="1" applyProtection="1">
      <alignment vertical="center" wrapText="1"/>
      <protection locked="0"/>
    </xf>
    <xf numFmtId="175" fontId="7" fillId="33" borderId="46" xfId="144" applyNumberFormat="1" applyFont="1" applyFill="1" applyBorder="1" applyAlignment="1" applyProtection="1">
      <alignment horizontal="right" vertical="center"/>
    </xf>
    <xf numFmtId="175" fontId="7" fillId="33" borderId="60" xfId="144" applyNumberFormat="1" applyFont="1" applyFill="1" applyBorder="1" applyAlignment="1" applyProtection="1">
      <alignment horizontal="right" vertical="center"/>
    </xf>
    <xf numFmtId="175" fontId="7" fillId="33" borderId="86" xfId="144" applyNumberFormat="1" applyFont="1" applyFill="1" applyBorder="1" applyAlignment="1" applyProtection="1">
      <alignment horizontal="right" vertical="center"/>
    </xf>
    <xf numFmtId="4" fontId="10" fillId="29" borderId="73" xfId="144" applyNumberFormat="1" applyFont="1" applyFill="1" applyBorder="1" applyAlignment="1" applyProtection="1">
      <alignment horizontal="right"/>
      <protection locked="0"/>
    </xf>
    <xf numFmtId="0" fontId="96" fillId="0" borderId="0" xfId="144" applyFont="1" applyFill="1" applyProtection="1"/>
    <xf numFmtId="0" fontId="7" fillId="0" borderId="0" xfId="144" applyFill="1" applyBorder="1" applyProtection="1"/>
    <xf numFmtId="0" fontId="62" fillId="29" borderId="73" xfId="144" applyFont="1" applyFill="1" applyBorder="1"/>
    <xf numFmtId="175" fontId="7" fillId="33" borderId="78" xfId="144" applyNumberFormat="1" applyFont="1" applyFill="1" applyBorder="1" applyAlignment="1" applyProtection="1">
      <alignment horizontal="right" vertical="center"/>
    </xf>
    <xf numFmtId="175" fontId="7" fillId="33" borderId="79" xfId="144" applyNumberFormat="1" applyFont="1" applyFill="1" applyBorder="1" applyAlignment="1" applyProtection="1">
      <alignment horizontal="right" vertical="center"/>
    </xf>
    <xf numFmtId="175" fontId="7" fillId="33" borderId="87" xfId="144" applyNumberFormat="1" applyFont="1" applyFill="1" applyBorder="1" applyAlignment="1" applyProtection="1">
      <alignment horizontal="right" vertical="center"/>
    </xf>
    <xf numFmtId="0" fontId="51" fillId="57" borderId="91" xfId="144" applyFont="1" applyFill="1" applyBorder="1" applyAlignment="1" applyProtection="1">
      <alignment vertical="center"/>
    </xf>
    <xf numFmtId="167" fontId="51" fillId="57" borderId="51" xfId="144" applyNumberFormat="1" applyFont="1" applyFill="1" applyBorder="1" applyAlignment="1" applyProtection="1">
      <alignment vertical="center"/>
    </xf>
    <xf numFmtId="167" fontId="51" fillId="57" borderId="52" xfId="144" applyNumberFormat="1" applyFont="1" applyFill="1" applyBorder="1" applyAlignment="1" applyProtection="1">
      <alignment vertical="center"/>
    </xf>
    <xf numFmtId="167" fontId="51" fillId="57" borderId="128" xfId="144" applyNumberFormat="1" applyFont="1" applyFill="1" applyBorder="1" applyAlignment="1" applyProtection="1">
      <alignment vertical="center"/>
    </xf>
    <xf numFmtId="167" fontId="51" fillId="57" borderId="45" xfId="144" applyNumberFormat="1" applyFont="1" applyFill="1" applyBorder="1" applyAlignment="1" applyProtection="1">
      <alignment vertical="center"/>
    </xf>
    <xf numFmtId="173" fontId="7" fillId="14" borderId="201" xfId="144" applyNumberFormat="1" applyFont="1" applyFill="1" applyBorder="1" applyAlignment="1" applyProtection="1">
      <alignment horizontal="left"/>
    </xf>
    <xf numFmtId="173" fontId="7" fillId="14" borderId="202" xfId="144" applyNumberFormat="1" applyFont="1" applyFill="1" applyBorder="1" applyAlignment="1" applyProtection="1">
      <alignment horizontal="left"/>
    </xf>
    <xf numFmtId="0" fontId="62" fillId="33" borderId="22" xfId="144" applyFont="1" applyFill="1" applyBorder="1" applyProtection="1"/>
    <xf numFmtId="0" fontId="62" fillId="0" borderId="35" xfId="144" applyFont="1" applyFill="1" applyBorder="1" applyProtection="1"/>
    <xf numFmtId="0" fontId="62" fillId="33" borderId="35" xfId="144" applyFont="1" applyFill="1" applyBorder="1" applyProtection="1"/>
    <xf numFmtId="0" fontId="62" fillId="33" borderId="0" xfId="144" applyFont="1" applyFill="1" applyBorder="1" applyProtection="1"/>
    <xf numFmtId="0" fontId="62" fillId="33" borderId="0" xfId="144" applyFont="1" applyFill="1"/>
    <xf numFmtId="0" fontId="62" fillId="33" borderId="0" xfId="144" applyFont="1" applyFill="1" applyBorder="1" applyProtection="1">
      <protection locked="0"/>
    </xf>
    <xf numFmtId="0" fontId="18" fillId="29" borderId="36" xfId="144" applyFont="1" applyFill="1" applyBorder="1" applyAlignment="1" applyProtection="1">
      <alignment horizontal="left" vertical="center"/>
    </xf>
    <xf numFmtId="0" fontId="10" fillId="29" borderId="35" xfId="144" applyFont="1" applyFill="1" applyBorder="1" applyAlignment="1" applyProtection="1">
      <alignment horizontal="left" vertical="center"/>
    </xf>
    <xf numFmtId="0" fontId="10" fillId="29" borderId="22" xfId="144" applyFont="1" applyFill="1" applyBorder="1" applyAlignment="1" applyProtection="1">
      <alignment horizontal="left" vertical="center"/>
    </xf>
    <xf numFmtId="0" fontId="10" fillId="29" borderId="23" xfId="144" applyFont="1" applyFill="1" applyBorder="1" applyAlignment="1" applyProtection="1">
      <alignment horizontal="left" vertical="center"/>
    </xf>
    <xf numFmtId="0" fontId="10" fillId="31" borderId="246" xfId="144" applyFont="1" applyFill="1" applyBorder="1" applyAlignment="1" applyProtection="1">
      <alignment horizontal="left"/>
    </xf>
    <xf numFmtId="0" fontId="10" fillId="31" borderId="201" xfId="144" applyFont="1" applyFill="1" applyBorder="1" applyAlignment="1" applyProtection="1">
      <alignment horizontal="left"/>
    </xf>
    <xf numFmtId="175" fontId="7" fillId="33" borderId="51" xfId="144" applyNumberFormat="1" applyFont="1" applyFill="1" applyBorder="1" applyAlignment="1" applyProtection="1">
      <alignment horizontal="right" vertical="center"/>
    </xf>
    <xf numFmtId="175" fontId="7" fillId="33" borderId="52" xfId="144" applyNumberFormat="1" applyFont="1" applyFill="1" applyBorder="1" applyAlignment="1" applyProtection="1">
      <alignment horizontal="right" vertical="center"/>
    </xf>
    <xf numFmtId="175" fontId="7" fillId="33" borderId="69" xfId="144" applyNumberFormat="1" applyFont="1" applyFill="1" applyBorder="1" applyAlignment="1" applyProtection="1">
      <alignment horizontal="right" vertical="center"/>
    </xf>
    <xf numFmtId="173" fontId="7" fillId="31" borderId="14" xfId="144" applyNumberFormat="1" applyFont="1" applyFill="1" applyBorder="1" applyAlignment="1" applyProtection="1">
      <alignment horizontal="left"/>
    </xf>
    <xf numFmtId="173" fontId="7" fillId="31" borderId="15" xfId="144" applyNumberFormat="1" applyFont="1" applyFill="1" applyBorder="1" applyAlignment="1" applyProtection="1">
      <alignment horizontal="left"/>
    </xf>
    <xf numFmtId="173" fontId="7" fillId="31" borderId="16" xfId="144" applyNumberFormat="1" applyFont="1" applyFill="1" applyBorder="1" applyAlignment="1" applyProtection="1">
      <alignment horizontal="left"/>
    </xf>
    <xf numFmtId="0" fontId="10" fillId="0" borderId="0" xfId="144" applyFont="1" applyFill="1" applyBorder="1" applyAlignment="1" applyProtection="1">
      <alignment horizontal="left"/>
    </xf>
    <xf numFmtId="0" fontId="10" fillId="0" borderId="0" xfId="144" quotePrefix="1" applyFont="1" applyFill="1" applyBorder="1" applyAlignment="1" applyProtection="1">
      <alignment horizontal="left"/>
    </xf>
    <xf numFmtId="0" fontId="62" fillId="33" borderId="0" xfId="144" applyFont="1" applyFill="1" applyAlignment="1" applyProtection="1">
      <alignment horizontal="right"/>
      <protection locked="0"/>
    </xf>
    <xf numFmtId="0" fontId="18" fillId="29" borderId="21" xfId="144" applyFont="1" applyFill="1" applyBorder="1" applyAlignment="1" applyProtection="1">
      <alignment horizontal="left" vertical="center"/>
    </xf>
    <xf numFmtId="0" fontId="18" fillId="29" borderId="131" xfId="144" applyFont="1" applyFill="1" applyBorder="1" applyAlignment="1" applyProtection="1">
      <alignment horizontal="left" vertical="center"/>
    </xf>
    <xf numFmtId="0" fontId="7" fillId="0" borderId="0" xfId="144" applyFill="1" applyProtection="1">
      <protection locked="0"/>
    </xf>
    <xf numFmtId="0" fontId="7" fillId="29" borderId="72" xfId="144" applyFont="1" applyFill="1" applyBorder="1" applyAlignment="1" applyProtection="1">
      <alignment horizontal="right" indent="2"/>
    </xf>
    <xf numFmtId="175" fontId="7" fillId="33" borderId="35" xfId="144" applyNumberFormat="1" applyFont="1" applyFill="1" applyBorder="1" applyAlignment="1" applyProtection="1">
      <alignment horizontal="right" vertical="center"/>
    </xf>
    <xf numFmtId="175" fontId="7" fillId="33" borderId="74" xfId="144" applyNumberFormat="1" applyFont="1" applyFill="1" applyBorder="1" applyAlignment="1" applyProtection="1">
      <alignment horizontal="right" vertical="center"/>
    </xf>
    <xf numFmtId="175" fontId="7" fillId="33" borderId="112" xfId="144" applyNumberFormat="1" applyFont="1" applyFill="1" applyBorder="1" applyAlignment="1" applyProtection="1">
      <alignment horizontal="right" vertical="center"/>
    </xf>
    <xf numFmtId="175" fontId="7" fillId="14" borderId="22" xfId="144" applyNumberFormat="1" applyFont="1" applyFill="1" applyBorder="1" applyAlignment="1" applyProtection="1">
      <alignment horizontal="right" vertical="center"/>
    </xf>
    <xf numFmtId="175" fontId="7" fillId="14" borderId="23" xfId="144" applyNumberFormat="1" applyFont="1" applyFill="1" applyBorder="1" applyAlignment="1" applyProtection="1">
      <alignment horizontal="right" vertical="center"/>
    </xf>
    <xf numFmtId="175" fontId="7" fillId="14" borderId="73" xfId="144" applyNumberFormat="1" applyFont="1" applyFill="1" applyBorder="1" applyAlignment="1" applyProtection="1">
      <alignment horizontal="right"/>
    </xf>
    <xf numFmtId="0" fontId="7" fillId="29" borderId="19" xfId="144" applyFont="1" applyFill="1" applyBorder="1" applyAlignment="1" applyProtection="1">
      <alignment horizontal="right" indent="2"/>
    </xf>
    <xf numFmtId="175" fontId="7" fillId="14" borderId="0" xfId="144" applyNumberFormat="1" applyFont="1" applyFill="1" applyBorder="1" applyAlignment="1" applyProtection="1">
      <alignment horizontal="left" vertical="center"/>
    </xf>
    <xf numFmtId="175" fontId="7" fillId="33" borderId="207" xfId="144" applyNumberFormat="1" applyFont="1" applyFill="1" applyBorder="1" applyAlignment="1" applyProtection="1">
      <alignment horizontal="right" vertical="center"/>
    </xf>
    <xf numFmtId="175" fontId="7" fillId="33" borderId="76" xfId="144" applyNumberFormat="1" applyFont="1" applyFill="1" applyBorder="1" applyAlignment="1" applyProtection="1">
      <alignment horizontal="right" vertical="center"/>
    </xf>
    <xf numFmtId="175" fontId="7" fillId="33" borderId="71" xfId="144" applyNumberFormat="1" applyFont="1" applyFill="1" applyBorder="1" applyAlignment="1" applyProtection="1">
      <alignment horizontal="right" vertical="center"/>
    </xf>
    <xf numFmtId="175" fontId="7" fillId="14" borderId="0" xfId="144" applyNumberFormat="1" applyFont="1" applyFill="1" applyBorder="1" applyAlignment="1" applyProtection="1">
      <alignment horizontal="right" vertical="center"/>
    </xf>
    <xf numFmtId="175" fontId="7" fillId="14" borderId="24" xfId="144" applyNumberFormat="1" applyFont="1" applyFill="1" applyBorder="1" applyAlignment="1" applyProtection="1">
      <alignment horizontal="right" vertical="center"/>
    </xf>
    <xf numFmtId="175" fontId="7" fillId="33" borderId="68" xfId="144" applyNumberFormat="1" applyFont="1" applyFill="1" applyBorder="1" applyAlignment="1" applyProtection="1">
      <alignment horizontal="right" vertical="center"/>
    </xf>
    <xf numFmtId="175" fontId="7" fillId="14" borderId="202" xfId="144" applyNumberFormat="1" applyFont="1" applyFill="1" applyBorder="1" applyAlignment="1" applyProtection="1">
      <alignment horizontal="right" vertical="center"/>
    </xf>
    <xf numFmtId="0" fontId="62" fillId="0" borderId="0" xfId="144" applyFont="1" applyAlignment="1" applyProtection="1">
      <alignment horizontal="left"/>
    </xf>
    <xf numFmtId="0" fontId="62" fillId="0" borderId="0" xfId="144" applyFont="1" applyAlignment="1" applyProtection="1">
      <alignment horizontal="left" wrapText="1"/>
    </xf>
    <xf numFmtId="0" fontId="7" fillId="29" borderId="246" xfId="144" applyFont="1" applyFill="1" applyBorder="1" applyAlignment="1" applyProtection="1">
      <alignment horizontal="right" indent="2"/>
    </xf>
    <xf numFmtId="175" fontId="7" fillId="14" borderId="201" xfId="144" applyNumberFormat="1" applyFont="1" applyFill="1" applyBorder="1" applyAlignment="1" applyProtection="1">
      <alignment horizontal="right" vertical="center"/>
    </xf>
    <xf numFmtId="175" fontId="7" fillId="14" borderId="201" xfId="144" applyNumberFormat="1" applyFont="1" applyFill="1" applyBorder="1" applyAlignment="1" applyProtection="1">
      <alignment horizontal="left" vertical="center"/>
    </xf>
    <xf numFmtId="175" fontId="7" fillId="33" borderId="64" xfId="144" applyNumberFormat="1" applyFont="1" applyFill="1" applyBorder="1" applyAlignment="1" applyProtection="1">
      <alignment horizontal="right" vertical="center"/>
    </xf>
    <xf numFmtId="175" fontId="7" fillId="33" borderId="116" xfId="144" applyNumberFormat="1" applyFont="1" applyFill="1" applyBorder="1" applyAlignment="1" applyProtection="1">
      <alignment horizontal="right" vertical="center"/>
    </xf>
    <xf numFmtId="175" fontId="7" fillId="33" borderId="88" xfId="144" applyNumberFormat="1" applyFont="1" applyFill="1" applyBorder="1" applyAlignment="1" applyProtection="1">
      <alignment horizontal="right" vertical="center"/>
    </xf>
    <xf numFmtId="175" fontId="7" fillId="33" borderId="53" xfId="144" applyNumberFormat="1" applyFont="1" applyFill="1" applyBorder="1" applyAlignment="1" applyProtection="1">
      <alignment horizontal="right" vertical="center"/>
    </xf>
    <xf numFmtId="175" fontId="7" fillId="14" borderId="91" xfId="144" applyNumberFormat="1" applyFont="1" applyFill="1" applyBorder="1" applyAlignment="1" applyProtection="1">
      <alignment horizontal="right"/>
    </xf>
    <xf numFmtId="0" fontId="51" fillId="57" borderId="246" xfId="144" applyFont="1" applyFill="1" applyBorder="1" applyAlignment="1" applyProtection="1">
      <alignment wrapText="1"/>
    </xf>
    <xf numFmtId="0" fontId="51" fillId="57" borderId="201" xfId="144" applyFont="1" applyFill="1" applyBorder="1" applyAlignment="1" applyProtection="1">
      <alignment wrapText="1"/>
    </xf>
    <xf numFmtId="175" fontId="51" fillId="57" borderId="201" xfId="144" applyNumberFormat="1" applyFont="1" applyFill="1" applyBorder="1" applyAlignment="1" applyProtection="1">
      <alignment horizontal="right"/>
    </xf>
    <xf numFmtId="175" fontId="51" fillId="57" borderId="254" xfId="144" applyNumberFormat="1" applyFont="1" applyFill="1" applyBorder="1" applyAlignment="1" applyProtection="1">
      <alignment horizontal="right"/>
    </xf>
    <xf numFmtId="175" fontId="51" fillId="57" borderId="201" xfId="144" applyNumberFormat="1" applyFont="1" applyFill="1" applyBorder="1" applyAlignment="1" applyProtection="1">
      <alignment horizontal="right" vertical="center"/>
    </xf>
    <xf numFmtId="175" fontId="51" fillId="57" borderId="258" xfId="144" applyNumberFormat="1" applyFont="1" applyFill="1" applyBorder="1" applyAlignment="1" applyProtection="1">
      <alignment horizontal="right" vertical="center"/>
    </xf>
    <xf numFmtId="175" fontId="51" fillId="57" borderId="259" xfId="144" applyNumberFormat="1" applyFont="1" applyFill="1" applyBorder="1" applyAlignment="1" applyProtection="1">
      <alignment horizontal="right" vertical="center"/>
    </xf>
    <xf numFmtId="175" fontId="51" fillId="57" borderId="254" xfId="144" applyNumberFormat="1" applyFont="1" applyFill="1" applyBorder="1" applyAlignment="1" applyProtection="1">
      <alignment horizontal="right" vertical="center"/>
    </xf>
    <xf numFmtId="175" fontId="51" fillId="57" borderId="246" xfId="144" applyNumberFormat="1" applyFont="1" applyFill="1" applyBorder="1" applyAlignment="1" applyProtection="1">
      <alignment horizontal="right" vertical="center"/>
    </xf>
    <xf numFmtId="175" fontId="51" fillId="57" borderId="91" xfId="144" applyNumberFormat="1" applyFont="1" applyFill="1" applyBorder="1" applyAlignment="1" applyProtection="1">
      <alignment horizontal="right"/>
    </xf>
    <xf numFmtId="0" fontId="10" fillId="33" borderId="0" xfId="144" applyFont="1" applyFill="1" applyBorder="1" applyAlignment="1" applyProtection="1">
      <alignment horizontal="left" wrapText="1"/>
    </xf>
    <xf numFmtId="175" fontId="10" fillId="33" borderId="22" xfId="144" applyNumberFormat="1" applyFont="1" applyFill="1" applyBorder="1" applyAlignment="1" applyProtection="1">
      <alignment horizontal="right" vertical="center"/>
    </xf>
    <xf numFmtId="0" fontId="51" fillId="57" borderId="36" xfId="144" applyFont="1" applyFill="1" applyBorder="1" applyAlignment="1" applyProtection="1">
      <alignment vertical="center"/>
    </xf>
    <xf numFmtId="0" fontId="51" fillId="57" borderId="35" xfId="144" applyFont="1" applyFill="1" applyBorder="1" applyAlignment="1" applyProtection="1">
      <alignment vertical="center"/>
    </xf>
    <xf numFmtId="2" fontId="10" fillId="57" borderId="35" xfId="144" applyNumberFormat="1" applyFont="1" applyFill="1" applyBorder="1" applyAlignment="1" applyProtection="1">
      <alignment horizontal="right"/>
    </xf>
    <xf numFmtId="2" fontId="10" fillId="57" borderId="149" xfId="144" applyNumberFormat="1" applyFont="1" applyFill="1" applyBorder="1" applyAlignment="1" applyProtection="1">
      <alignment horizontal="right"/>
    </xf>
    <xf numFmtId="175" fontId="51" fillId="57" borderId="54" xfId="144" applyNumberFormat="1" applyFont="1" applyFill="1" applyBorder="1" applyAlignment="1" applyProtection="1">
      <alignment horizontal="right" vertical="center"/>
    </xf>
    <xf numFmtId="175" fontId="51" fillId="57" borderId="52" xfId="144" applyNumberFormat="1" applyFont="1" applyFill="1" applyBorder="1" applyAlignment="1" applyProtection="1">
      <alignment horizontal="right" vertical="center"/>
    </xf>
    <xf numFmtId="175" fontId="51" fillId="57" borderId="69" xfId="144" applyNumberFormat="1" applyFont="1" applyFill="1" applyBorder="1" applyAlignment="1" applyProtection="1">
      <alignment horizontal="right"/>
    </xf>
    <xf numFmtId="0" fontId="7" fillId="0" borderId="0" xfId="144" applyProtection="1"/>
    <xf numFmtId="0" fontId="7" fillId="0" borderId="0" xfId="144" applyFont="1" applyAlignment="1" applyProtection="1">
      <alignment horizontal="left"/>
    </xf>
    <xf numFmtId="0" fontId="97" fillId="0" borderId="0" xfId="144" applyFont="1" applyFill="1" applyAlignment="1" applyProtection="1">
      <alignment horizontal="center" wrapText="1"/>
    </xf>
    <xf numFmtId="0" fontId="98" fillId="0" borderId="0" xfId="144" applyFont="1" applyProtection="1"/>
    <xf numFmtId="0" fontId="99" fillId="33" borderId="0" xfId="144" applyFont="1" applyFill="1" applyAlignment="1" applyProtection="1">
      <alignment horizontal="left" vertical="center"/>
    </xf>
    <xf numFmtId="0" fontId="90" fillId="33" borderId="0" xfId="144" applyFont="1" applyFill="1" applyAlignment="1" applyProtection="1">
      <alignment horizontal="left" vertical="center"/>
    </xf>
    <xf numFmtId="0" fontId="80" fillId="0" borderId="0" xfId="144" applyFont="1" applyFill="1" applyBorder="1" applyAlignment="1" applyProtection="1">
      <alignment horizontal="left" vertical="center"/>
    </xf>
    <xf numFmtId="0" fontId="80" fillId="33" borderId="0" xfId="144" applyFont="1" applyFill="1" applyBorder="1" applyAlignment="1" applyProtection="1">
      <alignment horizontal="left" vertical="center"/>
    </xf>
    <xf numFmtId="0" fontId="7" fillId="33" borderId="0" xfId="144" applyFill="1" applyAlignment="1" applyProtection="1">
      <alignment horizontal="left" vertical="center"/>
    </xf>
    <xf numFmtId="0" fontId="7" fillId="0" borderId="0" xfId="144" applyFont="1" applyAlignment="1" applyProtection="1">
      <protection locked="0"/>
    </xf>
    <xf numFmtId="0" fontId="7" fillId="0" borderId="0" xfId="144" applyAlignment="1" applyProtection="1">
      <alignment horizontal="left"/>
      <protection locked="0"/>
    </xf>
    <xf numFmtId="0" fontId="98" fillId="0" borderId="0" xfId="144" applyFont="1" applyProtection="1">
      <protection locked="0"/>
    </xf>
    <xf numFmtId="0" fontId="7" fillId="0" borderId="0" xfId="144" applyProtection="1">
      <protection locked="0"/>
    </xf>
    <xf numFmtId="0" fontId="99" fillId="33" borderId="0" xfId="144" applyFont="1" applyFill="1" applyAlignment="1" applyProtection="1">
      <alignment vertical="center"/>
    </xf>
    <xf numFmtId="0" fontId="96" fillId="0" borderId="0" xfId="144" applyFont="1" applyProtection="1">
      <protection locked="0"/>
    </xf>
    <xf numFmtId="0" fontId="7" fillId="0" borderId="0" xfId="144" applyAlignment="1" applyProtection="1">
      <alignment horizontal="left"/>
    </xf>
    <xf numFmtId="0" fontId="7" fillId="0" borderId="0" xfId="144" applyFont="1" applyAlignment="1" applyProtection="1"/>
    <xf numFmtId="0" fontId="88" fillId="0" borderId="0" xfId="144" applyFont="1" applyAlignment="1" applyProtection="1">
      <alignment horizontal="left"/>
    </xf>
    <xf numFmtId="0" fontId="10" fillId="29" borderId="203" xfId="144" applyFont="1" applyFill="1" applyBorder="1" applyAlignment="1" applyProtection="1">
      <alignment horizontal="right" vertical="center"/>
    </xf>
    <xf numFmtId="0" fontId="10" fillId="55" borderId="51" xfId="144" applyFont="1" applyFill="1" applyBorder="1" applyAlignment="1" applyProtection="1">
      <alignment horizontal="right" vertical="center"/>
    </xf>
    <xf numFmtId="0" fontId="10" fillId="55" borderId="34" xfId="144" applyFont="1" applyFill="1" applyBorder="1" applyAlignment="1" applyProtection="1">
      <alignment horizontal="right" vertical="center"/>
    </xf>
    <xf numFmtId="0" fontId="10" fillId="55" borderId="35" xfId="144" applyFont="1" applyFill="1" applyBorder="1" applyAlignment="1" applyProtection="1">
      <alignment horizontal="center" vertical="center"/>
      <protection locked="0"/>
    </xf>
    <xf numFmtId="0" fontId="0" fillId="0" borderId="0" xfId="0" applyAlignment="1">
      <alignment wrapText="1"/>
    </xf>
    <xf numFmtId="0" fontId="38" fillId="33" borderId="0" xfId="0" applyFont="1" applyFill="1" applyBorder="1" applyAlignment="1">
      <alignment horizontal="center" vertical="center" wrapText="1"/>
    </xf>
    <xf numFmtId="0" fontId="10" fillId="39" borderId="0" xfId="0" applyFont="1" applyFill="1" applyBorder="1" applyAlignment="1">
      <alignment horizontal="center" vertical="center" wrapText="1"/>
    </xf>
    <xf numFmtId="0" fontId="10" fillId="40" borderId="0" xfId="0" applyFont="1" applyFill="1" applyBorder="1" applyAlignment="1">
      <alignment horizontal="center" vertical="center" wrapText="1"/>
    </xf>
    <xf numFmtId="0" fontId="38" fillId="33" borderId="22" xfId="0" applyFont="1" applyFill="1" applyBorder="1" applyAlignment="1">
      <alignment horizontal="center" vertical="center" wrapText="1"/>
    </xf>
    <xf numFmtId="0" fontId="10" fillId="39" borderId="22" xfId="0" applyFont="1" applyFill="1" applyBorder="1" applyAlignment="1">
      <alignment horizontal="center" vertical="center" wrapText="1"/>
    </xf>
    <xf numFmtId="0" fontId="10" fillId="40" borderId="22" xfId="0" applyFont="1" applyFill="1" applyBorder="1" applyAlignment="1">
      <alignment horizontal="center" vertical="center" wrapText="1"/>
    </xf>
    <xf numFmtId="0" fontId="7" fillId="20" borderId="0" xfId="0" applyFont="1" applyFill="1" applyBorder="1"/>
    <xf numFmtId="0" fontId="7" fillId="20" borderId="19" xfId="0" applyFont="1" applyFill="1" applyBorder="1"/>
    <xf numFmtId="0" fontId="7" fillId="20" borderId="22" xfId="0" applyFont="1" applyFill="1" applyBorder="1"/>
    <xf numFmtId="0" fontId="67" fillId="25" borderId="45" xfId="0" applyFont="1" applyFill="1" applyBorder="1" applyAlignment="1"/>
    <xf numFmtId="0" fontId="7" fillId="31" borderId="35" xfId="0" applyFont="1" applyFill="1" applyBorder="1"/>
    <xf numFmtId="0" fontId="0" fillId="31" borderId="34" xfId="0" applyFill="1" applyBorder="1"/>
    <xf numFmtId="0" fontId="67" fillId="25" borderId="72" xfId="0" applyFont="1" applyFill="1" applyBorder="1" applyAlignment="1"/>
    <xf numFmtId="0" fontId="67" fillId="25" borderId="21" xfId="0" applyFont="1" applyFill="1" applyBorder="1" applyAlignment="1"/>
    <xf numFmtId="0" fontId="67" fillId="31" borderId="45" xfId="0" applyFont="1" applyFill="1" applyBorder="1" applyAlignment="1"/>
    <xf numFmtId="0" fontId="67" fillId="29" borderId="0" xfId="0" applyFont="1" applyFill="1" applyBorder="1" applyAlignment="1">
      <alignment vertical="center"/>
    </xf>
    <xf numFmtId="0" fontId="19" fillId="19" borderId="22" xfId="305" applyFont="1" applyFill="1" applyBorder="1" applyAlignment="1" applyProtection="1">
      <alignment vertical="center"/>
      <protection locked="0"/>
    </xf>
    <xf numFmtId="0" fontId="62" fillId="27" borderId="0" xfId="305" applyFont="1" applyFill="1" applyBorder="1" applyProtection="1"/>
    <xf numFmtId="0" fontId="7" fillId="0" borderId="0" xfId="305"/>
    <xf numFmtId="0" fontId="5" fillId="0" borderId="0" xfId="306"/>
    <xf numFmtId="0" fontId="62" fillId="33" borderId="0" xfId="305" applyFont="1" applyFill="1" applyProtection="1"/>
    <xf numFmtId="0" fontId="19" fillId="19" borderId="0" xfId="305" applyFont="1" applyFill="1" applyBorder="1" applyAlignment="1" applyProtection="1">
      <alignment horizontal="left" vertical="center"/>
    </xf>
    <xf numFmtId="0" fontId="61" fillId="19" borderId="0" xfId="305" applyFont="1" applyFill="1" applyBorder="1" applyAlignment="1" applyProtection="1">
      <alignment vertical="center"/>
    </xf>
    <xf numFmtId="0" fontId="19" fillId="19" borderId="0" xfId="305" applyFont="1" applyFill="1" applyBorder="1" applyAlignment="1" applyProtection="1">
      <alignment vertical="center"/>
    </xf>
    <xf numFmtId="0" fontId="85" fillId="30" borderId="0" xfId="305" applyFont="1" applyFill="1" applyAlignment="1">
      <alignment vertical="center"/>
    </xf>
    <xf numFmtId="0" fontId="62" fillId="33" borderId="0" xfId="305" applyFont="1" applyFill="1" applyProtection="1">
      <protection locked="0"/>
    </xf>
    <xf numFmtId="0" fontId="10" fillId="14" borderId="0" xfId="305" applyFont="1" applyFill="1" applyBorder="1" applyAlignment="1" applyProtection="1">
      <alignment vertical="center"/>
    </xf>
    <xf numFmtId="0" fontId="7" fillId="14" borderId="0" xfId="305" applyFont="1" applyFill="1" applyBorder="1" applyAlignment="1" applyProtection="1">
      <alignment vertical="center"/>
    </xf>
    <xf numFmtId="0" fontId="64" fillId="33" borderId="0" xfId="305" applyFont="1" applyFill="1" applyAlignment="1" applyProtection="1">
      <alignment horizontal="left" vertical="top" wrapText="1"/>
    </xf>
    <xf numFmtId="0" fontId="7" fillId="33" borderId="0" xfId="305" applyFont="1" applyFill="1" applyAlignment="1" applyProtection="1">
      <alignment horizontal="left" vertical="top" wrapText="1"/>
    </xf>
    <xf numFmtId="0" fontId="79" fillId="27" borderId="0" xfId="305" applyFont="1" applyFill="1"/>
    <xf numFmtId="0" fontId="7" fillId="33" borderId="0" xfId="305" applyFont="1" applyFill="1" applyProtection="1"/>
    <xf numFmtId="0" fontId="41" fillId="35" borderId="19" xfId="305" applyFont="1" applyFill="1" applyBorder="1" applyAlignment="1" applyProtection="1">
      <alignment horizontal="center"/>
    </xf>
    <xf numFmtId="0" fontId="37" fillId="35" borderId="0" xfId="305" applyFont="1" applyFill="1" applyBorder="1" applyProtection="1"/>
    <xf numFmtId="0" fontId="7" fillId="35" borderId="0" xfId="305" applyFont="1" applyFill="1" applyBorder="1" applyProtection="1"/>
    <xf numFmtId="0" fontId="7" fillId="35" borderId="24" xfId="305" applyFont="1" applyFill="1" applyBorder="1" applyProtection="1"/>
    <xf numFmtId="0" fontId="137" fillId="35" borderId="19" xfId="305" applyFont="1" applyFill="1" applyBorder="1" applyAlignment="1" applyProtection="1">
      <alignment horizontal="left" indent="1"/>
    </xf>
    <xf numFmtId="0" fontId="138" fillId="35" borderId="0" xfId="305" applyFont="1" applyFill="1" applyBorder="1" applyProtection="1"/>
    <xf numFmtId="0" fontId="137" fillId="35" borderId="19" xfId="305" quotePrefix="1" applyFont="1" applyFill="1" applyBorder="1" applyAlignment="1" applyProtection="1">
      <alignment horizontal="left" indent="1"/>
    </xf>
    <xf numFmtId="0" fontId="7" fillId="35" borderId="0" xfId="305" applyFont="1" applyFill="1" applyBorder="1" applyAlignment="1" applyProtection="1">
      <alignment horizontal="left"/>
    </xf>
    <xf numFmtId="0" fontId="37" fillId="35" borderId="246" xfId="305" applyFont="1" applyFill="1" applyBorder="1" applyAlignment="1" applyProtection="1">
      <alignment horizontal="left" indent="1"/>
    </xf>
    <xf numFmtId="0" fontId="7" fillId="35" borderId="201" xfId="305" applyFont="1" applyFill="1" applyBorder="1" applyAlignment="1" applyProtection="1"/>
    <xf numFmtId="0" fontId="7" fillId="35" borderId="201" xfId="305" applyFont="1" applyFill="1" applyBorder="1" applyProtection="1"/>
    <xf numFmtId="0" fontId="7" fillId="35" borderId="202" xfId="305" applyFont="1" applyFill="1" applyBorder="1" applyProtection="1"/>
    <xf numFmtId="0" fontId="37" fillId="35" borderId="21" xfId="305" applyFont="1" applyFill="1" applyBorder="1" applyAlignment="1" applyProtection="1">
      <alignment horizontal="left" indent="1"/>
    </xf>
    <xf numFmtId="0" fontId="7" fillId="35" borderId="22" xfId="305" applyFont="1" applyFill="1" applyBorder="1" applyAlignment="1" applyProtection="1"/>
    <xf numFmtId="0" fontId="7" fillId="35" borderId="22" xfId="305" applyFont="1" applyFill="1" applyBorder="1" applyProtection="1"/>
    <xf numFmtId="0" fontId="7" fillId="35" borderId="23" xfId="305" applyFont="1" applyFill="1" applyBorder="1" applyProtection="1"/>
    <xf numFmtId="0" fontId="17" fillId="35" borderId="24" xfId="305" applyFont="1" applyFill="1" applyBorder="1" applyAlignment="1" applyProtection="1"/>
    <xf numFmtId="0" fontId="38" fillId="35" borderId="19" xfId="305" applyFont="1" applyFill="1" applyBorder="1" applyAlignment="1" applyProtection="1">
      <alignment horizontal="left" indent="1"/>
    </xf>
    <xf numFmtId="0" fontId="17" fillId="35" borderId="0" xfId="305" applyFont="1" applyFill="1" applyBorder="1" applyAlignment="1" applyProtection="1">
      <alignment horizontal="right" indent="1"/>
    </xf>
    <xf numFmtId="0" fontId="17" fillId="35" borderId="0" xfId="305" applyFont="1" applyFill="1" applyBorder="1" applyProtection="1"/>
    <xf numFmtId="0" fontId="7" fillId="29" borderId="12" xfId="305" applyFont="1" applyFill="1" applyBorder="1" applyAlignment="1" applyProtection="1">
      <alignment horizontal="left"/>
      <protection locked="0"/>
    </xf>
    <xf numFmtId="0" fontId="7" fillId="25" borderId="12" xfId="305" applyFont="1" applyFill="1" applyBorder="1" applyAlignment="1" applyProtection="1">
      <alignment horizontal="left"/>
      <protection locked="0"/>
    </xf>
    <xf numFmtId="0" fontId="7" fillId="35" borderId="24" xfId="305" applyFont="1" applyFill="1" applyBorder="1" applyAlignment="1" applyProtection="1"/>
    <xf numFmtId="0" fontId="37" fillId="35" borderId="19" xfId="305" applyFont="1" applyFill="1" applyBorder="1" applyAlignment="1" applyProtection="1">
      <alignment horizontal="left" indent="1"/>
    </xf>
    <xf numFmtId="0" fontId="37" fillId="35" borderId="262" xfId="305" applyFont="1" applyFill="1" applyBorder="1" applyAlignment="1" applyProtection="1">
      <alignment horizontal="left" indent="1"/>
    </xf>
    <xf numFmtId="0" fontId="7" fillId="35" borderId="214" xfId="305" applyFont="1" applyFill="1" applyBorder="1" applyAlignment="1" applyProtection="1"/>
    <xf numFmtId="0" fontId="7" fillId="35" borderId="214" xfId="305" applyFont="1" applyFill="1" applyBorder="1" applyProtection="1"/>
    <xf numFmtId="0" fontId="7" fillId="35" borderId="263" xfId="305" applyFont="1" applyFill="1" applyBorder="1" applyProtection="1"/>
    <xf numFmtId="0" fontId="7" fillId="35" borderId="0" xfId="305" applyFont="1" applyFill="1" applyBorder="1" applyAlignment="1" applyProtection="1"/>
    <xf numFmtId="0" fontId="137" fillId="35" borderId="19" xfId="305" applyFont="1" applyFill="1" applyBorder="1" applyAlignment="1" applyProtection="1">
      <alignment horizontal="left" vertical="top"/>
    </xf>
    <xf numFmtId="0" fontId="7" fillId="25" borderId="14" xfId="305" applyFont="1" applyFill="1" applyBorder="1" applyAlignment="1" applyProtection="1">
      <alignment horizontal="left" vertical="center"/>
      <protection locked="0"/>
    </xf>
    <xf numFmtId="0" fontId="7" fillId="25" borderId="16" xfId="305" applyFont="1" applyFill="1" applyBorder="1" applyAlignment="1" applyProtection="1">
      <alignment horizontal="left" vertical="center" wrapText="1"/>
      <protection locked="0"/>
    </xf>
    <xf numFmtId="0" fontId="7" fillId="35" borderId="0" xfId="305" applyFont="1" applyFill="1" applyBorder="1" applyAlignment="1" applyProtection="1">
      <alignment horizontal="center" vertical="top"/>
    </xf>
    <xf numFmtId="0" fontId="7" fillId="35" borderId="0" xfId="305" applyFont="1" applyFill="1" applyBorder="1" applyAlignment="1" applyProtection="1">
      <alignment vertical="top"/>
    </xf>
    <xf numFmtId="0" fontId="7" fillId="35" borderId="24" xfId="305" applyFont="1" applyFill="1" applyBorder="1" applyAlignment="1" applyProtection="1">
      <alignment vertical="top"/>
    </xf>
    <xf numFmtId="180" fontId="7" fillId="25" borderId="16" xfId="305" applyNumberFormat="1" applyFont="1" applyFill="1" applyBorder="1" applyAlignment="1" applyProtection="1">
      <alignment horizontal="left" vertical="center"/>
      <protection locked="0"/>
    </xf>
    <xf numFmtId="0" fontId="7" fillId="35" borderId="0" xfId="305" applyFont="1" applyFill="1" applyBorder="1" applyAlignment="1" applyProtection="1">
      <alignment horizontal="center"/>
    </xf>
    <xf numFmtId="180" fontId="7" fillId="25" borderId="14" xfId="305" applyNumberFormat="1" applyFont="1" applyFill="1" applyBorder="1" applyAlignment="1" applyProtection="1">
      <alignment horizontal="left" vertical="center"/>
      <protection locked="0"/>
    </xf>
    <xf numFmtId="0" fontId="7" fillId="25" borderId="14" xfId="305" applyFill="1" applyBorder="1" applyAlignment="1" applyProtection="1">
      <alignment horizontal="left" vertical="center"/>
      <protection locked="0"/>
    </xf>
    <xf numFmtId="0" fontId="17" fillId="35" borderId="19" xfId="306" applyFont="1" applyFill="1" applyBorder="1" applyProtection="1">
      <protection locked="0"/>
    </xf>
    <xf numFmtId="0" fontId="17" fillId="35" borderId="0" xfId="306" applyFont="1" applyFill="1" applyBorder="1" applyProtection="1">
      <protection locked="0"/>
    </xf>
    <xf numFmtId="0" fontId="7" fillId="35" borderId="0" xfId="306" applyFont="1" applyFill="1" applyBorder="1" applyProtection="1">
      <protection locked="0"/>
    </xf>
    <xf numFmtId="0" fontId="7" fillId="35" borderId="24" xfId="306" applyFont="1" applyFill="1" applyBorder="1" applyProtection="1">
      <protection locked="0"/>
    </xf>
    <xf numFmtId="0" fontId="137" fillId="35" borderId="19" xfId="306" applyFont="1" applyFill="1" applyBorder="1" applyAlignment="1" applyProtection="1">
      <alignment horizontal="left" indent="1"/>
      <protection locked="0"/>
    </xf>
    <xf numFmtId="0" fontId="54" fillId="25" borderId="45" xfId="306" applyNumberFormat="1" applyFont="1" applyFill="1" applyBorder="1" applyAlignment="1" applyProtection="1">
      <alignment horizontal="center" vertical="center" wrapText="1"/>
      <protection locked="0"/>
    </xf>
    <xf numFmtId="0" fontId="7" fillId="30" borderId="19" xfId="306" applyFont="1" applyFill="1" applyBorder="1" applyAlignment="1" applyProtection="1">
      <alignment horizontal="center" vertical="center"/>
    </xf>
    <xf numFmtId="0" fontId="7" fillId="30" borderId="0" xfId="306" applyFont="1" applyFill="1" applyBorder="1" applyAlignment="1" applyProtection="1">
      <alignment horizontal="center" vertical="center"/>
    </xf>
    <xf numFmtId="0" fontId="139" fillId="35" borderId="24" xfId="305" applyFont="1" applyFill="1" applyBorder="1" applyProtection="1"/>
    <xf numFmtId="0" fontId="140" fillId="0" borderId="0" xfId="305" applyFont="1"/>
    <xf numFmtId="0" fontId="37" fillId="35" borderId="246" xfId="306" applyFont="1" applyFill="1" applyBorder="1" applyAlignment="1" applyProtection="1">
      <alignment horizontal="left" indent="1"/>
      <protection locked="0"/>
    </xf>
    <xf numFmtId="0" fontId="7" fillId="35" borderId="201" xfId="306" applyFont="1" applyFill="1" applyBorder="1" applyAlignment="1" applyProtection="1">
      <protection locked="0"/>
    </xf>
    <xf numFmtId="0" fontId="7" fillId="35" borderId="201" xfId="306" applyFont="1" applyFill="1" applyBorder="1" applyProtection="1">
      <protection locked="0"/>
    </xf>
    <xf numFmtId="0" fontId="7" fillId="35" borderId="202" xfId="306" applyFont="1" applyFill="1" applyBorder="1" applyProtection="1">
      <protection locked="0"/>
    </xf>
    <xf numFmtId="0" fontId="37" fillId="35" borderId="21" xfId="306" applyFont="1" applyFill="1" applyBorder="1" applyAlignment="1" applyProtection="1">
      <alignment horizontal="left" indent="1"/>
      <protection locked="0"/>
    </xf>
    <xf numFmtId="0" fontId="7" fillId="35" borderId="22" xfId="306" applyFont="1" applyFill="1" applyBorder="1" applyAlignment="1" applyProtection="1">
      <protection locked="0"/>
    </xf>
    <xf numFmtId="0" fontId="7" fillId="35" borderId="22" xfId="306" applyFont="1" applyFill="1" applyBorder="1" applyProtection="1">
      <protection locked="0"/>
    </xf>
    <xf numFmtId="0" fontId="7" fillId="35" borderId="23" xfId="306" applyFont="1" applyFill="1" applyBorder="1" applyProtection="1">
      <protection locked="0"/>
    </xf>
    <xf numFmtId="0" fontId="7" fillId="30" borderId="0" xfId="306" quotePrefix="1" applyFont="1" applyFill="1" applyBorder="1" applyAlignment="1" applyProtection="1">
      <alignment horizontal="center" vertical="center"/>
    </xf>
    <xf numFmtId="0" fontId="139" fillId="35" borderId="24" xfId="306" applyFont="1" applyFill="1" applyBorder="1" applyAlignment="1" applyProtection="1">
      <protection locked="0"/>
    </xf>
    <xf numFmtId="0" fontId="17" fillId="35" borderId="24" xfId="306" applyFont="1" applyFill="1" applyBorder="1" applyAlignment="1" applyProtection="1">
      <protection locked="0"/>
    </xf>
    <xf numFmtId="0" fontId="17" fillId="35" borderId="246" xfId="306" applyFont="1" applyFill="1" applyBorder="1" applyAlignment="1" applyProtection="1">
      <alignment horizontal="left" indent="1"/>
      <protection locked="0"/>
    </xf>
    <xf numFmtId="0" fontId="17" fillId="35" borderId="201" xfId="306" applyFont="1" applyFill="1" applyBorder="1" applyProtection="1">
      <protection locked="0"/>
    </xf>
    <xf numFmtId="0" fontId="17" fillId="35" borderId="201" xfId="306" applyFont="1" applyFill="1" applyBorder="1" applyAlignment="1" applyProtection="1">
      <protection locked="0"/>
    </xf>
    <xf numFmtId="0" fontId="17" fillId="35" borderId="202" xfId="306" applyFont="1" applyFill="1" applyBorder="1" applyAlignment="1" applyProtection="1">
      <protection locked="0"/>
    </xf>
    <xf numFmtId="0" fontId="50" fillId="72" borderId="21" xfId="307" applyFont="1" applyFill="1" applyBorder="1" applyAlignment="1" applyProtection="1">
      <alignment horizontal="left" indent="1"/>
    </xf>
    <xf numFmtId="0" fontId="7" fillId="72" borderId="22" xfId="307" applyFont="1" applyFill="1" applyBorder="1" applyAlignment="1" applyProtection="1"/>
    <xf numFmtId="0" fontId="7" fillId="72" borderId="22" xfId="307" applyFont="1" applyFill="1" applyBorder="1" applyProtection="1"/>
    <xf numFmtId="0" fontId="7" fillId="72" borderId="23" xfId="307" applyFont="1" applyFill="1" applyBorder="1" applyProtection="1"/>
    <xf numFmtId="0" fontId="137" fillId="72" borderId="19" xfId="307" applyFont="1" applyFill="1" applyBorder="1" applyAlignment="1" applyProtection="1">
      <alignment horizontal="left" indent="1"/>
    </xf>
    <xf numFmtId="0" fontId="10" fillId="28" borderId="45" xfId="308" applyFont="1" applyFill="1" applyBorder="1" applyAlignment="1" applyProtection="1">
      <alignment horizontal="center" vertical="center"/>
      <protection locked="0"/>
    </xf>
    <xf numFmtId="0" fontId="139" fillId="72" borderId="0" xfId="307" applyFont="1" applyFill="1" applyBorder="1" applyAlignment="1" applyProtection="1">
      <alignment horizontal="right"/>
    </xf>
    <xf numFmtId="0" fontId="141" fillId="72" borderId="0" xfId="307" applyFont="1" applyFill="1" applyBorder="1" applyAlignment="1" applyProtection="1">
      <alignment horizontal="center"/>
    </xf>
    <xf numFmtId="0" fontId="7" fillId="72" borderId="0" xfId="307" applyFont="1" applyFill="1" applyBorder="1" applyProtection="1"/>
    <xf numFmtId="0" fontId="7" fillId="72" borderId="24" xfId="307" applyFont="1" applyFill="1" applyBorder="1" applyProtection="1"/>
    <xf numFmtId="0" fontId="142" fillId="72" borderId="19" xfId="307" applyFont="1" applyFill="1" applyBorder="1" applyAlignment="1" applyProtection="1">
      <alignment horizontal="left" indent="1"/>
    </xf>
    <xf numFmtId="0" fontId="58" fillId="72" borderId="0" xfId="307" applyFont="1" applyFill="1" applyBorder="1" applyProtection="1"/>
    <xf numFmtId="0" fontId="50" fillId="72" borderId="246" xfId="307" applyFont="1" applyFill="1" applyBorder="1" applyAlignment="1" applyProtection="1">
      <alignment horizontal="left" indent="1"/>
    </xf>
    <xf numFmtId="0" fontId="7" fillId="72" borderId="201" xfId="307" applyFont="1" applyFill="1" applyBorder="1" applyAlignment="1" applyProtection="1"/>
    <xf numFmtId="0" fontId="7" fillId="72" borderId="201" xfId="307" applyFont="1" applyFill="1" applyBorder="1" applyProtection="1"/>
    <xf numFmtId="0" fontId="7" fillId="72" borderId="202" xfId="307" applyFont="1" applyFill="1" applyBorder="1" applyProtection="1"/>
    <xf numFmtId="0" fontId="7" fillId="0" borderId="0" xfId="305" applyAlignment="1">
      <alignment horizontal="left"/>
    </xf>
    <xf numFmtId="0" fontId="141" fillId="0" borderId="0" xfId="307" applyFont="1" applyFill="1" applyBorder="1" applyAlignment="1" applyProtection="1">
      <alignment horizontal="left"/>
    </xf>
    <xf numFmtId="0" fontId="7" fillId="0" borderId="0" xfId="305" applyFill="1"/>
    <xf numFmtId="0" fontId="62" fillId="33" borderId="201" xfId="305" applyFont="1" applyFill="1" applyBorder="1" applyProtection="1"/>
    <xf numFmtId="0" fontId="7" fillId="36" borderId="49" xfId="305" applyFont="1" applyFill="1" applyBorder="1" applyAlignment="1" applyProtection="1"/>
    <xf numFmtId="0" fontId="143" fillId="36" borderId="175" xfId="305" applyFont="1" applyFill="1" applyBorder="1" applyAlignment="1" applyProtection="1">
      <alignment vertical="top"/>
    </xf>
    <xf numFmtId="0" fontId="62" fillId="36" borderId="22" xfId="305" applyFont="1" applyFill="1" applyBorder="1" applyProtection="1"/>
    <xf numFmtId="0" fontId="62" fillId="36" borderId="23" xfId="305" applyFont="1" applyFill="1" applyBorder="1" applyProtection="1"/>
    <xf numFmtId="0" fontId="7" fillId="36" borderId="50" xfId="305" applyFont="1" applyFill="1" applyBorder="1" applyProtection="1"/>
    <xf numFmtId="0" fontId="10" fillId="25" borderId="45" xfId="305" applyFont="1" applyFill="1" applyBorder="1" applyProtection="1">
      <protection locked="0"/>
    </xf>
    <xf numFmtId="0" fontId="62" fillId="36" borderId="0" xfId="305" applyFont="1" applyFill="1" applyBorder="1" applyProtection="1"/>
    <xf numFmtId="0" fontId="62" fillId="36" borderId="24" xfId="305" applyFont="1" applyFill="1" applyBorder="1" applyProtection="1"/>
    <xf numFmtId="0" fontId="7" fillId="36" borderId="83" xfId="305" applyFont="1" applyFill="1" applyBorder="1" applyAlignment="1" applyProtection="1">
      <alignment vertical="center"/>
    </xf>
    <xf numFmtId="0" fontId="7" fillId="36" borderId="264" xfId="305" applyFont="1" applyFill="1" applyBorder="1" applyAlignment="1" applyProtection="1">
      <alignment vertical="top"/>
    </xf>
    <xf numFmtId="14" fontId="7" fillId="25" borderId="253" xfId="305" quotePrefix="1" applyNumberFormat="1" applyFont="1" applyFill="1" applyBorder="1" applyAlignment="1" applyProtection="1">
      <alignment horizontal="center" vertical="top"/>
      <protection locked="0"/>
    </xf>
    <xf numFmtId="0" fontId="144" fillId="36" borderId="0" xfId="278" applyFont="1" applyFill="1" applyBorder="1" applyProtection="1"/>
    <xf numFmtId="0" fontId="145" fillId="36" borderId="0" xfId="305" applyFont="1" applyFill="1" applyBorder="1" applyAlignment="1" applyProtection="1">
      <alignment vertical="top"/>
    </xf>
    <xf numFmtId="0" fontId="145" fillId="36" borderId="24" xfId="305" applyFont="1" applyFill="1" applyBorder="1" applyAlignment="1" applyProtection="1">
      <alignment vertical="top"/>
    </xf>
    <xf numFmtId="0" fontId="7" fillId="36" borderId="246" xfId="305" applyFont="1" applyFill="1" applyBorder="1" applyProtection="1"/>
    <xf numFmtId="0" fontId="7" fillId="25" borderId="91" xfId="305" applyFont="1" applyFill="1" applyBorder="1" applyAlignment="1" applyProtection="1">
      <alignment horizontal="center"/>
      <protection locked="0"/>
    </xf>
    <xf numFmtId="0" fontId="62" fillId="36" borderId="201" xfId="305" applyFont="1" applyFill="1" applyBorder="1" applyProtection="1"/>
    <xf numFmtId="0" fontId="62" fillId="36" borderId="202" xfId="305" applyFont="1" applyFill="1" applyBorder="1" applyProtection="1"/>
    <xf numFmtId="0" fontId="7" fillId="36" borderId="163" xfId="305" applyFont="1" applyFill="1" applyBorder="1" applyAlignment="1" applyProtection="1">
      <alignment vertical="top"/>
    </xf>
    <xf numFmtId="0" fontId="7" fillId="36" borderId="119" xfId="305" applyFont="1" applyFill="1" applyBorder="1" applyAlignment="1" applyProtection="1">
      <alignment horizontal="center" vertical="top"/>
    </xf>
    <xf numFmtId="0" fontId="146" fillId="36" borderId="119" xfId="305" quotePrefix="1" applyFont="1" applyFill="1" applyBorder="1" applyAlignment="1" applyProtection="1">
      <alignment vertical="top"/>
    </xf>
    <xf numFmtId="0" fontId="145" fillId="36" borderId="265" xfId="305" quotePrefix="1" applyFont="1" applyFill="1" applyBorder="1" applyAlignment="1" applyProtection="1">
      <alignment vertical="top"/>
    </xf>
    <xf numFmtId="0" fontId="145" fillId="36" borderId="156" xfId="305" applyFont="1" applyFill="1" applyBorder="1" applyAlignment="1" applyProtection="1">
      <alignment vertical="top"/>
    </xf>
    <xf numFmtId="0" fontId="145" fillId="36" borderId="266" xfId="305" applyFont="1" applyFill="1" applyBorder="1" applyAlignment="1" applyProtection="1">
      <alignment vertical="top"/>
    </xf>
    <xf numFmtId="0" fontId="7" fillId="0" borderId="0" xfId="305" applyAlignment="1">
      <alignment vertical="center"/>
    </xf>
    <xf numFmtId="0" fontId="62" fillId="33" borderId="0" xfId="305" applyFont="1" applyFill="1" applyAlignment="1" applyProtection="1">
      <alignment vertical="center"/>
    </xf>
    <xf numFmtId="0" fontId="7" fillId="36" borderId="109" xfId="305" applyFont="1" applyFill="1" applyBorder="1" applyAlignment="1" applyProtection="1">
      <alignment vertical="top"/>
    </xf>
    <xf numFmtId="0" fontId="7" fillId="36" borderId="43" xfId="305" applyFont="1" applyFill="1" applyBorder="1" applyAlignment="1" applyProtection="1">
      <alignment horizontal="center" vertical="top"/>
    </xf>
    <xf numFmtId="0" fontId="146" fillId="36" borderId="43" xfId="305" quotePrefix="1" applyFont="1" applyFill="1" applyBorder="1" applyAlignment="1" applyProtection="1">
      <alignment vertical="top"/>
    </xf>
    <xf numFmtId="0" fontId="145" fillId="36" borderId="267" xfId="305" quotePrefix="1" applyFont="1" applyFill="1" applyBorder="1" applyAlignment="1" applyProtection="1">
      <alignment vertical="top"/>
    </xf>
    <xf numFmtId="0" fontId="145" fillId="36" borderId="111" xfId="305" applyFont="1" applyFill="1" applyBorder="1" applyAlignment="1" applyProtection="1">
      <alignment vertical="top"/>
    </xf>
    <xf numFmtId="0" fontId="145" fillId="36" borderId="173" xfId="305" applyFont="1" applyFill="1" applyBorder="1" applyAlignment="1" applyProtection="1">
      <alignment vertical="top"/>
    </xf>
    <xf numFmtId="0" fontId="10" fillId="36" borderId="43" xfId="305" applyFont="1" applyFill="1" applyBorder="1" applyAlignment="1" applyProtection="1">
      <alignment horizontal="center" vertical="top"/>
    </xf>
    <xf numFmtId="0" fontId="10" fillId="25" borderId="43" xfId="305" applyFont="1" applyFill="1" applyBorder="1" applyAlignment="1" applyProtection="1">
      <alignment horizontal="center" vertical="top"/>
    </xf>
    <xf numFmtId="0" fontId="146" fillId="36" borderId="43" xfId="305" applyFont="1" applyFill="1" applyBorder="1" applyAlignment="1" applyProtection="1">
      <alignment vertical="top"/>
    </xf>
    <xf numFmtId="0" fontId="145" fillId="36" borderId="267" xfId="305" applyFont="1" applyFill="1" applyBorder="1" applyAlignment="1" applyProtection="1">
      <alignment vertical="top"/>
    </xf>
    <xf numFmtId="0" fontId="88" fillId="36" borderId="109" xfId="305" applyFont="1" applyFill="1" applyBorder="1" applyAlignment="1" applyProtection="1">
      <alignment vertical="top"/>
    </xf>
    <xf numFmtId="0" fontId="88" fillId="36" borderId="43" xfId="305" applyFont="1" applyFill="1" applyBorder="1" applyAlignment="1" applyProtection="1">
      <alignment horizontal="center" vertical="top"/>
    </xf>
    <xf numFmtId="0" fontId="88" fillId="36" borderId="43" xfId="305" applyFont="1" applyFill="1" applyBorder="1" applyAlignment="1" applyProtection="1">
      <alignment vertical="top"/>
    </xf>
    <xf numFmtId="0" fontId="88" fillId="36" borderId="267" xfId="305" applyFont="1" applyFill="1" applyBorder="1" applyAlignment="1" applyProtection="1">
      <alignment vertical="top"/>
    </xf>
    <xf numFmtId="0" fontId="88" fillId="36" borderId="111" xfId="305" applyFont="1" applyFill="1" applyBorder="1" applyAlignment="1" applyProtection="1">
      <alignment vertical="top"/>
    </xf>
    <xf numFmtId="0" fontId="88" fillId="36" borderId="173" xfId="305" applyFont="1" applyFill="1" applyBorder="1" applyAlignment="1" applyProtection="1">
      <alignment vertical="top"/>
    </xf>
    <xf numFmtId="0" fontId="7" fillId="36" borderId="43" xfId="305" quotePrefix="1" applyFont="1" applyFill="1" applyBorder="1" applyAlignment="1" applyProtection="1">
      <alignment horizontal="center" vertical="top"/>
    </xf>
    <xf numFmtId="0" fontId="7" fillId="36" borderId="110" xfId="305" applyFont="1" applyFill="1" applyBorder="1" applyAlignment="1" applyProtection="1">
      <alignment vertical="top"/>
    </xf>
    <xf numFmtId="0" fontId="7" fillId="36" borderId="104" xfId="305" applyFont="1" applyFill="1" applyBorder="1" applyAlignment="1" applyProtection="1">
      <alignment horizontal="center" vertical="top"/>
    </xf>
    <xf numFmtId="0" fontId="146" fillId="36" borderId="104" xfId="305" quotePrefix="1" applyFont="1" applyFill="1" applyBorder="1" applyAlignment="1" applyProtection="1">
      <alignment vertical="top"/>
    </xf>
    <xf numFmtId="0" fontId="145" fillId="36" borderId="268" xfId="305" quotePrefix="1" applyFont="1" applyFill="1" applyBorder="1" applyAlignment="1" applyProtection="1">
      <alignment vertical="top"/>
    </xf>
    <xf numFmtId="0" fontId="145" fillId="36" borderId="172" xfId="305" applyFont="1" applyFill="1" applyBorder="1" applyAlignment="1" applyProtection="1">
      <alignment vertical="top"/>
    </xf>
    <xf numFmtId="0" fontId="145" fillId="36" borderId="174" xfId="305" applyFont="1" applyFill="1" applyBorder="1" applyAlignment="1" applyProtection="1">
      <alignment vertical="top"/>
    </xf>
    <xf numFmtId="0" fontId="7" fillId="36" borderId="269" xfId="305" applyFont="1" applyFill="1" applyBorder="1" applyAlignment="1" applyProtection="1">
      <alignment horizontal="left" vertical="top" indent="2"/>
    </xf>
    <xf numFmtId="0" fontId="7" fillId="47" borderId="22" xfId="305" applyFont="1" applyFill="1" applyBorder="1" applyAlignment="1">
      <alignment horizontal="center"/>
    </xf>
    <xf numFmtId="0" fontId="7" fillId="36" borderId="270" xfId="305" applyFont="1" applyFill="1" applyBorder="1" applyAlignment="1" applyProtection="1">
      <alignment horizontal="left" vertical="top" indent="2"/>
    </xf>
    <xf numFmtId="0" fontId="7" fillId="47" borderId="214" xfId="305" applyFont="1" applyFill="1" applyBorder="1" applyAlignment="1">
      <alignment horizontal="center"/>
    </xf>
    <xf numFmtId="0" fontId="146" fillId="36" borderId="271" xfId="305" quotePrefix="1" applyFont="1" applyFill="1" applyBorder="1" applyAlignment="1" applyProtection="1">
      <alignment vertical="top"/>
    </xf>
    <xf numFmtId="0" fontId="145" fillId="36" borderId="272" xfId="305" quotePrefix="1" applyFont="1" applyFill="1" applyBorder="1" applyAlignment="1" applyProtection="1">
      <alignment vertical="top"/>
    </xf>
    <xf numFmtId="0" fontId="145" fillId="36" borderId="214" xfId="305" applyFont="1" applyFill="1" applyBorder="1" applyAlignment="1" applyProtection="1">
      <alignment vertical="top"/>
    </xf>
    <xf numFmtId="0" fontId="145" fillId="36" borderId="263" xfId="305" applyFont="1" applyFill="1" applyBorder="1" applyAlignment="1" applyProtection="1">
      <alignment vertical="top"/>
    </xf>
    <xf numFmtId="0" fontId="7" fillId="36" borderId="273" xfId="305" applyFont="1" applyFill="1" applyBorder="1" applyAlignment="1" applyProtection="1">
      <alignment horizontal="left" vertical="top" indent="2"/>
    </xf>
    <xf numFmtId="0" fontId="7" fillId="47" borderId="0" xfId="305" applyFont="1" applyFill="1" applyBorder="1" applyAlignment="1">
      <alignment horizontal="center"/>
    </xf>
    <xf numFmtId="0" fontId="146" fillId="36" borderId="117" xfId="305" quotePrefix="1" applyFont="1" applyFill="1" applyBorder="1" applyAlignment="1" applyProtection="1">
      <alignment vertical="top"/>
    </xf>
    <xf numFmtId="0" fontId="145" fillId="36" borderId="274" xfId="305" quotePrefix="1" applyFont="1" applyFill="1" applyBorder="1" applyAlignment="1" applyProtection="1">
      <alignment vertical="top"/>
    </xf>
    <xf numFmtId="0" fontId="145" fillId="36" borderId="113" xfId="305" applyFont="1" applyFill="1" applyBorder="1" applyAlignment="1" applyProtection="1">
      <alignment vertical="top"/>
    </xf>
    <xf numFmtId="0" fontId="145" fillId="36" borderId="169" xfId="305" applyFont="1" applyFill="1" applyBorder="1" applyAlignment="1" applyProtection="1">
      <alignment vertical="top"/>
    </xf>
    <xf numFmtId="0" fontId="7" fillId="36" borderId="124" xfId="305" applyFont="1" applyFill="1" applyBorder="1" applyAlignment="1" applyProtection="1">
      <alignment horizontal="left" vertical="top" indent="2"/>
    </xf>
    <xf numFmtId="0" fontId="62" fillId="36" borderId="19" xfId="305" applyFont="1" applyFill="1" applyBorder="1" applyAlignment="1" applyProtection="1">
      <alignment horizontal="left" indent="2"/>
    </xf>
    <xf numFmtId="0" fontId="49" fillId="36" borderId="0" xfId="305" applyFont="1" applyFill="1" applyBorder="1" applyAlignment="1" applyProtection="1">
      <alignment horizontal="center"/>
    </xf>
    <xf numFmtId="0" fontId="54" fillId="36" borderId="19" xfId="305" applyFont="1" applyFill="1" applyBorder="1" applyAlignment="1" applyProtection="1">
      <alignment horizontal="left"/>
    </xf>
    <xf numFmtId="0" fontId="54" fillId="36" borderId="0" xfId="305" applyFont="1" applyFill="1" applyBorder="1" applyAlignment="1" applyProtection="1">
      <alignment horizontal="center"/>
    </xf>
    <xf numFmtId="0" fontId="147" fillId="36" borderId="24" xfId="305" applyFont="1" applyFill="1" applyBorder="1" applyAlignment="1" applyProtection="1">
      <alignment horizontal="right"/>
    </xf>
    <xf numFmtId="0" fontId="7" fillId="36" borderId="109" xfId="305" applyFont="1" applyFill="1" applyBorder="1" applyAlignment="1" applyProtection="1">
      <alignment horizontal="left" vertical="top" indent="2"/>
    </xf>
    <xf numFmtId="0" fontId="146" fillId="36" borderId="43" xfId="305" quotePrefix="1" applyFont="1" applyFill="1" applyBorder="1" applyAlignment="1" applyProtection="1">
      <alignment horizontal="left" vertical="top"/>
    </xf>
    <xf numFmtId="0" fontId="145" fillId="36" borderId="267" xfId="305" quotePrefix="1" applyFont="1" applyFill="1" applyBorder="1" applyAlignment="1" applyProtection="1">
      <alignment horizontal="left" vertical="top"/>
    </xf>
    <xf numFmtId="0" fontId="7" fillId="0" borderId="0" xfId="305" applyAlignment="1">
      <alignment vertical="top"/>
    </xf>
    <xf numFmtId="0" fontId="7" fillId="0" borderId="0" xfId="305" applyAlignment="1">
      <alignment horizontal="left" vertical="top"/>
    </xf>
    <xf numFmtId="0" fontId="62" fillId="33" borderId="0" xfId="305" applyFont="1" applyFill="1" applyAlignment="1" applyProtection="1">
      <alignment vertical="top"/>
    </xf>
    <xf numFmtId="0" fontId="7" fillId="36" borderId="275" xfId="305" applyFont="1" applyFill="1" applyBorder="1" applyAlignment="1" applyProtection="1">
      <alignment horizontal="left" vertical="top" indent="2"/>
    </xf>
    <xf numFmtId="0" fontId="146" fillId="36" borderId="276" xfId="305" quotePrefix="1" applyFont="1" applyFill="1" applyBorder="1" applyAlignment="1" applyProtection="1">
      <alignment horizontal="left" vertical="top"/>
    </xf>
    <xf numFmtId="0" fontId="145" fillId="36" borderId="277" xfId="305" applyFont="1" applyFill="1" applyBorder="1" applyAlignment="1" applyProtection="1">
      <alignment vertical="top"/>
    </xf>
    <xf numFmtId="0" fontId="10" fillId="36" borderId="110" xfId="305" applyFont="1" applyFill="1" applyBorder="1" applyAlignment="1" applyProtection="1">
      <alignment vertical="top"/>
    </xf>
    <xf numFmtId="0" fontId="54" fillId="36" borderId="201" xfId="305" applyFont="1" applyFill="1" applyBorder="1" applyAlignment="1" applyProtection="1">
      <alignment horizontal="center"/>
    </xf>
    <xf numFmtId="0" fontId="146" fillId="36" borderId="104" xfId="305" quotePrefix="1" applyFont="1" applyFill="1" applyBorder="1" applyAlignment="1" applyProtection="1">
      <alignment horizontal="left" vertical="top"/>
    </xf>
    <xf numFmtId="0" fontId="145" fillId="36" borderId="268" xfId="305" quotePrefix="1" applyFont="1" applyFill="1" applyBorder="1" applyAlignment="1" applyProtection="1">
      <alignment horizontal="left" vertical="top"/>
    </xf>
    <xf numFmtId="0" fontId="147" fillId="36" borderId="202" xfId="305" applyFont="1" applyFill="1" applyBorder="1" applyAlignment="1" applyProtection="1">
      <alignment horizontal="right"/>
    </xf>
    <xf numFmtId="0" fontId="7" fillId="36" borderId="124" xfId="305" applyFont="1" applyFill="1" applyBorder="1" applyAlignment="1" applyProtection="1">
      <alignment vertical="top"/>
    </xf>
    <xf numFmtId="0" fontId="7" fillId="36" borderId="117" xfId="305" applyFont="1" applyFill="1" applyBorder="1" applyAlignment="1" applyProtection="1">
      <alignment horizontal="center" vertical="top"/>
    </xf>
    <xf numFmtId="0" fontId="62" fillId="36" borderId="274" xfId="305" applyFont="1" applyFill="1" applyBorder="1" applyAlignment="1" applyProtection="1">
      <alignment vertical="top"/>
    </xf>
    <xf numFmtId="0" fontId="62" fillId="36" borderId="113" xfId="305" applyFont="1" applyFill="1" applyBorder="1" applyAlignment="1" applyProtection="1">
      <alignment vertical="top"/>
    </xf>
    <xf numFmtId="0" fontId="62" fillId="36" borderId="169" xfId="305" applyFont="1" applyFill="1" applyBorder="1" applyAlignment="1" applyProtection="1">
      <alignment vertical="top"/>
    </xf>
    <xf numFmtId="0" fontId="7" fillId="36" borderId="275" xfId="305" applyFont="1" applyFill="1" applyBorder="1" applyAlignment="1" applyProtection="1">
      <alignment vertical="top"/>
    </xf>
    <xf numFmtId="0" fontId="7" fillId="36" borderId="104" xfId="305" applyFont="1" applyFill="1" applyBorder="1" applyAlignment="1" applyProtection="1">
      <alignment horizontal="left" vertical="top"/>
    </xf>
    <xf numFmtId="0" fontId="54" fillId="36" borderId="276" xfId="305" applyFont="1" applyFill="1" applyBorder="1" applyAlignment="1" applyProtection="1">
      <alignment vertical="top"/>
    </xf>
    <xf numFmtId="0" fontId="62" fillId="36" borderId="278" xfId="305" applyFont="1" applyFill="1" applyBorder="1" applyAlignment="1" applyProtection="1">
      <alignment vertical="top"/>
    </xf>
    <xf numFmtId="0" fontId="62" fillId="36" borderId="277" xfId="305" applyFont="1" applyFill="1" applyBorder="1" applyAlignment="1" applyProtection="1">
      <alignment vertical="top"/>
    </xf>
    <xf numFmtId="0" fontId="62" fillId="36" borderId="279" xfId="305" applyFont="1" applyFill="1" applyBorder="1" applyAlignment="1" applyProtection="1">
      <alignment vertical="top"/>
    </xf>
    <xf numFmtId="0" fontId="49" fillId="36" borderId="117" xfId="305" quotePrefix="1" applyFont="1" applyFill="1" applyBorder="1" applyAlignment="1" applyProtection="1">
      <alignment horizontal="center" vertical="center"/>
    </xf>
    <xf numFmtId="0" fontId="146" fillId="36" borderId="119" xfId="305" quotePrefix="1" applyFont="1" applyFill="1" applyBorder="1" applyAlignment="1" applyProtection="1">
      <alignment horizontal="left" vertical="top"/>
    </xf>
    <xf numFmtId="0" fontId="49" fillId="36" borderId="43" xfId="305" quotePrefix="1" applyFont="1" applyFill="1" applyBorder="1" applyAlignment="1" applyProtection="1">
      <alignment horizontal="center" vertical="center"/>
    </xf>
    <xf numFmtId="0" fontId="148" fillId="36" borderId="267" xfId="305" quotePrefix="1" applyFont="1" applyFill="1" applyBorder="1" applyAlignment="1" applyProtection="1">
      <alignment vertical="top"/>
    </xf>
    <xf numFmtId="0" fontId="148" fillId="36" borderId="111" xfId="305" applyFont="1" applyFill="1" applyBorder="1" applyAlignment="1" applyProtection="1">
      <alignment vertical="top"/>
    </xf>
    <xf numFmtId="0" fontId="148" fillId="36" borderId="173" xfId="305" applyFont="1" applyFill="1" applyBorder="1" applyAlignment="1" applyProtection="1">
      <alignment vertical="top"/>
    </xf>
    <xf numFmtId="0" fontId="49" fillId="36" borderId="104" xfId="305" quotePrefix="1" applyFont="1" applyFill="1" applyBorder="1" applyAlignment="1" applyProtection="1">
      <alignment horizontal="center" vertical="center"/>
    </xf>
    <xf numFmtId="0" fontId="148" fillId="36" borderId="268" xfId="305" quotePrefix="1" applyFont="1" applyFill="1" applyBorder="1" applyAlignment="1" applyProtection="1">
      <alignment vertical="top"/>
    </xf>
    <xf numFmtId="0" fontId="148" fillId="36" borderId="172" xfId="305" applyFont="1" applyFill="1" applyBorder="1" applyAlignment="1" applyProtection="1">
      <alignment vertical="top"/>
    </xf>
    <xf numFmtId="0" fontId="148" fillId="36" borderId="174" xfId="305" applyFont="1" applyFill="1" applyBorder="1" applyAlignment="1" applyProtection="1">
      <alignment vertical="top"/>
    </xf>
    <xf numFmtId="0" fontId="150" fillId="74" borderId="0" xfId="275" applyFont="1" applyFill="1" applyProtection="1"/>
    <xf numFmtId="0" fontId="150" fillId="74" borderId="0" xfId="275" applyFont="1" applyFill="1" applyAlignment="1" applyProtection="1">
      <alignment horizontal="center"/>
    </xf>
    <xf numFmtId="0" fontId="151" fillId="74" borderId="0" xfId="275" quotePrefix="1" applyFont="1" applyFill="1"/>
    <xf numFmtId="0" fontId="62" fillId="74" borderId="0" xfId="305" applyFont="1" applyFill="1" applyProtection="1"/>
    <xf numFmtId="0" fontId="7" fillId="0" borderId="0" xfId="275"/>
    <xf numFmtId="0" fontId="7" fillId="0" borderId="0" xfId="275" applyAlignment="1">
      <alignment vertical="center"/>
    </xf>
    <xf numFmtId="49" fontId="63" fillId="74" borderId="0" xfId="275" applyNumberFormat="1" applyFont="1" applyFill="1" applyAlignment="1" applyProtection="1">
      <alignment horizontal="right"/>
    </xf>
    <xf numFmtId="14" fontId="158" fillId="74" borderId="0" xfId="275" applyNumberFormat="1" applyFont="1" applyFill="1" applyAlignment="1">
      <alignment horizontal="left"/>
    </xf>
    <xf numFmtId="0" fontId="7" fillId="74" borderId="0" xfId="212" applyFill="1"/>
    <xf numFmtId="0" fontId="7" fillId="74" borderId="0" xfId="275" applyFill="1"/>
    <xf numFmtId="0" fontId="62" fillId="74" borderId="0" xfId="275" applyFont="1" applyFill="1" applyProtection="1"/>
    <xf numFmtId="0" fontId="62" fillId="74" borderId="0" xfId="275" applyFont="1" applyFill="1" applyAlignment="1" applyProtection="1">
      <alignment horizontal="center"/>
    </xf>
    <xf numFmtId="1" fontId="62" fillId="74" borderId="0" xfId="275" applyNumberFormat="1" applyFont="1" applyFill="1" applyProtection="1"/>
    <xf numFmtId="49" fontId="87" fillId="74" borderId="0" xfId="275" applyNumberFormat="1" applyFont="1" applyFill="1" applyAlignment="1" applyProtection="1">
      <alignment horizontal="right" vertical="center"/>
    </xf>
    <xf numFmtId="0" fontId="7" fillId="74" borderId="0" xfId="275" applyFont="1" applyFill="1" applyAlignment="1">
      <alignment vertical="center"/>
    </xf>
    <xf numFmtId="0" fontId="0" fillId="74" borderId="0" xfId="305" applyFont="1" applyFill="1" applyAlignment="1">
      <alignment vertical="center"/>
    </xf>
    <xf numFmtId="0" fontId="62" fillId="33" borderId="0" xfId="275" applyFont="1" applyFill="1" applyProtection="1"/>
    <xf numFmtId="0" fontId="62" fillId="33" borderId="0" xfId="275" applyFont="1" applyFill="1" applyAlignment="1" applyProtection="1">
      <alignment horizontal="center"/>
    </xf>
    <xf numFmtId="1" fontId="62" fillId="33" borderId="0" xfId="275" applyNumberFormat="1" applyFont="1" applyFill="1" applyProtection="1"/>
    <xf numFmtId="0" fontId="92" fillId="36" borderId="23" xfId="306" applyFont="1" applyFill="1" applyBorder="1" applyAlignment="1">
      <alignment horizontal="center"/>
    </xf>
    <xf numFmtId="0" fontId="81" fillId="79" borderId="72" xfId="306" applyFont="1" applyFill="1" applyBorder="1" applyAlignment="1">
      <alignment horizontal="center"/>
    </xf>
    <xf numFmtId="49" fontId="62" fillId="33" borderId="0" xfId="275" applyNumberFormat="1" applyFont="1" applyFill="1" applyProtection="1"/>
    <xf numFmtId="0" fontId="92" fillId="36" borderId="246" xfId="495" applyFont="1" applyFill="1" applyBorder="1"/>
    <xf numFmtId="0" fontId="92" fillId="36" borderId="123" xfId="495" applyFont="1" applyFill="1" applyBorder="1"/>
    <xf numFmtId="0" fontId="92" fillId="36" borderId="202" xfId="495" applyFont="1" applyFill="1" applyBorder="1" applyAlignment="1">
      <alignment horizontal="center"/>
    </xf>
    <xf numFmtId="0" fontId="81" fillId="79" borderId="73" xfId="495" applyFont="1" applyFill="1" applyBorder="1" applyAlignment="1">
      <alignment horizontal="center"/>
    </xf>
    <xf numFmtId="0" fontId="5" fillId="74" borderId="19" xfId="306" applyFill="1" applyBorder="1"/>
    <xf numFmtId="0" fontId="5" fillId="74" borderId="0" xfId="306" applyFill="1" applyBorder="1"/>
    <xf numFmtId="0" fontId="5" fillId="74" borderId="24" xfId="306" applyFill="1" applyBorder="1"/>
    <xf numFmtId="0" fontId="63" fillId="44" borderId="254" xfId="275" applyFont="1" applyFill="1" applyBorder="1" applyAlignment="1" applyProtection="1">
      <alignment wrapText="1"/>
    </xf>
    <xf numFmtId="0" fontId="63" fillId="44" borderId="259" xfId="305" applyFont="1" applyFill="1" applyBorder="1" applyAlignment="1" applyProtection="1">
      <alignment wrapText="1"/>
    </xf>
    <xf numFmtId="49" fontId="63" fillId="44" borderId="258" xfId="275" applyNumberFormat="1" applyFont="1" applyFill="1" applyBorder="1" applyAlignment="1" applyProtection="1">
      <alignment wrapText="1"/>
    </xf>
    <xf numFmtId="0" fontId="10" fillId="46" borderId="98" xfId="212" applyFont="1" applyFill="1" applyBorder="1" applyAlignment="1">
      <alignment horizontal="center" wrapText="1"/>
    </xf>
    <xf numFmtId="0" fontId="10" fillId="46" borderId="213" xfId="212" applyFont="1" applyFill="1" applyBorder="1" applyAlignment="1">
      <alignment horizontal="center" wrapText="1"/>
    </xf>
    <xf numFmtId="1" fontId="10" fillId="46" borderId="10" xfId="212" applyNumberFormat="1" applyFont="1" applyFill="1" applyBorder="1" applyAlignment="1">
      <alignment horizontal="center" wrapText="1"/>
    </xf>
    <xf numFmtId="0" fontId="10" fillId="45" borderId="280" xfId="212" applyFont="1" applyFill="1" applyBorder="1" applyAlignment="1">
      <alignment horizontal="center" wrapText="1"/>
    </xf>
    <xf numFmtId="0" fontId="10" fillId="45" borderId="281" xfId="212" applyFont="1" applyFill="1" applyBorder="1" applyAlignment="1">
      <alignment horizontal="center" wrapText="1"/>
    </xf>
    <xf numFmtId="0" fontId="10" fillId="39" borderId="175" xfId="305" applyFont="1" applyFill="1" applyBorder="1" applyAlignment="1">
      <alignment vertical="center" wrapText="1"/>
    </xf>
    <xf numFmtId="0" fontId="10" fillId="39" borderId="282" xfId="305" applyFont="1" applyFill="1" applyBorder="1" applyAlignment="1">
      <alignment vertical="center" wrapText="1"/>
    </xf>
    <xf numFmtId="0" fontId="10" fillId="40" borderId="282" xfId="305" applyFont="1" applyFill="1" applyBorder="1" applyAlignment="1">
      <alignment vertical="center" wrapText="1"/>
    </xf>
    <xf numFmtId="0" fontId="10" fillId="40" borderId="283" xfId="305" applyFont="1" applyFill="1" applyBorder="1" applyAlignment="1">
      <alignment vertical="center" wrapText="1"/>
    </xf>
    <xf numFmtId="0" fontId="10" fillId="80" borderId="282" xfId="305" applyFont="1" applyFill="1" applyBorder="1" applyAlignment="1">
      <alignment vertical="center" wrapText="1"/>
    </xf>
    <xf numFmtId="0" fontId="10" fillId="80" borderId="283" xfId="305" applyFont="1" applyFill="1" applyBorder="1" applyAlignment="1">
      <alignment vertical="center" wrapText="1"/>
    </xf>
    <xf numFmtId="0" fontId="10" fillId="0" borderId="21" xfId="305" applyFont="1" applyBorder="1" applyAlignment="1">
      <alignment vertical="center" wrapText="1"/>
    </xf>
    <xf numFmtId="0" fontId="10" fillId="0" borderId="22" xfId="212" applyFont="1" applyBorder="1" applyAlignment="1">
      <alignment vertical="center" wrapText="1"/>
    </xf>
    <xf numFmtId="0" fontId="10" fillId="0" borderId="22" xfId="305" applyFont="1" applyBorder="1" applyAlignment="1">
      <alignment vertical="center" wrapText="1"/>
    </xf>
    <xf numFmtId="0" fontId="10" fillId="0" borderId="23" xfId="305" applyFont="1" applyBorder="1" applyAlignment="1">
      <alignment vertical="center" wrapText="1"/>
    </xf>
    <xf numFmtId="0" fontId="10" fillId="0" borderId="45" xfId="305" applyFont="1" applyBorder="1" applyAlignment="1">
      <alignment horizontal="center" vertical="center" wrapText="1"/>
    </xf>
    <xf numFmtId="0" fontId="10" fillId="0" borderId="19" xfId="305" applyFont="1" applyFill="1" applyBorder="1" applyAlignment="1">
      <alignment vertical="center" wrapText="1"/>
    </xf>
    <xf numFmtId="0" fontId="10" fillId="0" borderId="0" xfId="305" applyFont="1" applyFill="1" applyBorder="1" applyAlignment="1">
      <alignment vertical="center" wrapText="1"/>
    </xf>
    <xf numFmtId="0" fontId="10" fillId="0" borderId="24" xfId="305" applyFont="1" applyFill="1" applyBorder="1" applyAlignment="1">
      <alignment vertical="center" wrapText="1"/>
    </xf>
    <xf numFmtId="0" fontId="62" fillId="33" borderId="58" xfId="275" applyFont="1" applyFill="1" applyBorder="1" applyAlignment="1" applyProtection="1">
      <alignment vertical="top"/>
    </xf>
    <xf numFmtId="0" fontId="62" fillId="33" borderId="55" xfId="305" applyFont="1" applyFill="1" applyBorder="1" applyAlignment="1" applyProtection="1">
      <alignment vertical="top"/>
    </xf>
    <xf numFmtId="179" fontId="7" fillId="33" borderId="133" xfId="275" applyNumberFormat="1" applyFont="1" applyFill="1" applyBorder="1" applyAlignment="1" applyProtection="1">
      <alignment horizontal="left" vertical="top"/>
    </xf>
    <xf numFmtId="0" fontId="7" fillId="0" borderId="163" xfId="212" applyFont="1" applyBorder="1" applyAlignment="1">
      <alignment vertical="top"/>
    </xf>
    <xf numFmtId="0" fontId="7" fillId="0" borderId="119" xfId="275" applyFont="1" applyBorder="1" applyAlignment="1">
      <alignment vertical="top"/>
    </xf>
    <xf numFmtId="0" fontId="49" fillId="33" borderId="119" xfId="275" applyFont="1" applyFill="1" applyBorder="1" applyAlignment="1" applyProtection="1">
      <alignment vertical="top"/>
    </xf>
    <xf numFmtId="0" fontId="49" fillId="33" borderId="119" xfId="275" applyFont="1" applyFill="1" applyBorder="1" applyAlignment="1" applyProtection="1">
      <alignment horizontal="center" vertical="top"/>
    </xf>
    <xf numFmtId="0" fontId="7" fillId="0" borderId="119" xfId="275" applyBorder="1" applyAlignment="1">
      <alignment horizontal="center" vertical="top"/>
    </xf>
    <xf numFmtId="1" fontId="7" fillId="0" borderId="265" xfId="275" applyNumberFormat="1" applyBorder="1" applyAlignment="1">
      <alignment horizontal="center" vertical="top"/>
    </xf>
    <xf numFmtId="0" fontId="7" fillId="0" borderId="124" xfId="212" applyFont="1" applyBorder="1" applyAlignment="1">
      <alignment horizontal="center" vertical="top"/>
    </xf>
    <xf numFmtId="0" fontId="160" fillId="0" borderId="274" xfId="275" applyFont="1" applyBorder="1" applyAlignment="1">
      <alignment vertical="top"/>
    </xf>
    <xf numFmtId="0" fontId="5" fillId="0" borderId="163" xfId="306" applyFont="1" applyBorder="1" applyAlignment="1">
      <alignment horizontal="left" vertical="center"/>
    </xf>
    <xf numFmtId="0" fontId="7" fillId="0" borderId="119" xfId="275" applyBorder="1" applyAlignment="1">
      <alignment vertical="center"/>
    </xf>
    <xf numFmtId="0" fontId="5" fillId="0" borderId="119" xfId="306" applyFont="1" applyBorder="1" applyAlignment="1">
      <alignment vertical="center"/>
    </xf>
    <xf numFmtId="0" fontId="5" fillId="0" borderId="119" xfId="306" applyFont="1" applyBorder="1" applyAlignment="1">
      <alignment horizontal="left" vertical="center"/>
    </xf>
    <xf numFmtId="49" fontId="7" fillId="0" borderId="265" xfId="275" applyNumberFormat="1" applyBorder="1" applyAlignment="1">
      <alignment vertical="center"/>
    </xf>
    <xf numFmtId="0" fontId="7" fillId="0" borderId="163" xfId="275" applyBorder="1" applyAlignment="1">
      <alignment vertical="center"/>
    </xf>
    <xf numFmtId="49" fontId="7" fillId="0" borderId="265" xfId="275" applyNumberFormat="1" applyBorder="1"/>
    <xf numFmtId="0" fontId="7" fillId="0" borderId="284" xfId="275" applyBorder="1" applyAlignment="1">
      <alignment vertical="center"/>
    </xf>
    <xf numFmtId="0" fontId="5" fillId="29" borderId="163" xfId="495" applyFill="1" applyBorder="1"/>
    <xf numFmtId="0" fontId="5" fillId="81" borderId="119" xfId="495" applyFill="1" applyBorder="1"/>
    <xf numFmtId="0" fontId="5" fillId="29" borderId="119" xfId="495" applyFill="1" applyBorder="1"/>
    <xf numFmtId="0" fontId="5" fillId="29" borderId="284" xfId="495" applyFill="1" applyBorder="1"/>
    <xf numFmtId="0" fontId="5" fillId="33" borderId="266" xfId="495" applyFill="1" applyBorder="1"/>
    <xf numFmtId="0" fontId="5" fillId="0" borderId="163" xfId="306" applyBorder="1"/>
    <xf numFmtId="0" fontId="5" fillId="0" borderId="119" xfId="306" applyBorder="1"/>
    <xf numFmtId="0" fontId="7" fillId="0" borderId="119" xfId="306" applyFont="1" applyBorder="1"/>
    <xf numFmtId="0" fontId="5" fillId="0" borderId="284" xfId="306" applyBorder="1"/>
    <xf numFmtId="0" fontId="62" fillId="33" borderId="92" xfId="275" applyFont="1" applyFill="1" applyBorder="1" applyAlignment="1" applyProtection="1">
      <alignment vertical="top"/>
    </xf>
    <xf numFmtId="0" fontId="7" fillId="0" borderId="109" xfId="212" applyFont="1" applyBorder="1" applyAlignment="1">
      <alignment vertical="top"/>
    </xf>
    <xf numFmtId="0" fontId="7" fillId="0" borderId="43" xfId="275" applyFont="1" applyBorder="1" applyAlignment="1">
      <alignment vertical="top"/>
    </xf>
    <xf numFmtId="0" fontId="49" fillId="33" borderId="43" xfId="275" applyFont="1" applyFill="1" applyBorder="1" applyAlignment="1" applyProtection="1">
      <alignment vertical="top"/>
    </xf>
    <xf numFmtId="0" fontId="49" fillId="33" borderId="43" xfId="275" applyFont="1" applyFill="1" applyBorder="1" applyAlignment="1" applyProtection="1">
      <alignment horizontal="center" vertical="top"/>
    </xf>
    <xf numFmtId="0" fontId="7" fillId="0" borderId="43" xfId="275" applyBorder="1" applyAlignment="1">
      <alignment horizontal="center" vertical="top"/>
    </xf>
    <xf numFmtId="1" fontId="62" fillId="33" borderId="267" xfId="275" applyNumberFormat="1" applyFont="1" applyFill="1" applyBorder="1" applyAlignment="1" applyProtection="1">
      <alignment horizontal="center" vertical="top"/>
    </xf>
    <xf numFmtId="0" fontId="7" fillId="0" borderId="109" xfId="212" applyFont="1" applyBorder="1" applyAlignment="1">
      <alignment horizontal="center" vertical="top"/>
    </xf>
    <xf numFmtId="0" fontId="7" fillId="0" borderId="267" xfId="275" applyFont="1" applyBorder="1" applyAlignment="1">
      <alignment vertical="top"/>
    </xf>
    <xf numFmtId="0" fontId="5" fillId="0" borderId="109" xfId="306" applyFont="1" applyBorder="1" applyAlignment="1">
      <alignment horizontal="left" vertical="center"/>
    </xf>
    <xf numFmtId="0" fontId="7" fillId="0" borderId="43" xfId="275" applyBorder="1" applyAlignment="1">
      <alignment vertical="center"/>
    </xf>
    <xf numFmtId="0" fontId="5" fillId="0" borderId="43" xfId="306" applyFont="1" applyBorder="1" applyAlignment="1">
      <alignment vertical="center"/>
    </xf>
    <xf numFmtId="0" fontId="5" fillId="0" borderId="43" xfId="306" applyFont="1" applyBorder="1" applyAlignment="1">
      <alignment horizontal="left" vertical="center"/>
    </xf>
    <xf numFmtId="49" fontId="7" fillId="0" borderId="267" xfId="275" applyNumberFormat="1" applyBorder="1" applyAlignment="1">
      <alignment vertical="center"/>
    </xf>
    <xf numFmtId="0" fontId="7" fillId="0" borderId="109" xfId="275" applyBorder="1" applyAlignment="1">
      <alignment vertical="center"/>
    </xf>
    <xf numFmtId="49" fontId="7" fillId="0" borderId="267" xfId="275" applyNumberFormat="1" applyBorder="1"/>
    <xf numFmtId="0" fontId="7" fillId="0" borderId="285" xfId="275" applyBorder="1" applyAlignment="1">
      <alignment vertical="center"/>
    </xf>
    <xf numFmtId="0" fontId="5" fillId="0" borderId="109" xfId="306" applyBorder="1"/>
    <xf numFmtId="0" fontId="5" fillId="0" borderId="43" xfId="306" applyBorder="1"/>
    <xf numFmtId="0" fontId="5" fillId="0" borderId="285" xfId="306" applyBorder="1"/>
    <xf numFmtId="0" fontId="5" fillId="33" borderId="173" xfId="306" applyFill="1" applyBorder="1"/>
    <xf numFmtId="0" fontId="7" fillId="0" borderId="43" xfId="306" applyFont="1" applyBorder="1"/>
    <xf numFmtId="0" fontId="62" fillId="33" borderId="120" xfId="275" applyFont="1" applyFill="1" applyBorder="1" applyAlignment="1" applyProtection="1">
      <alignment vertical="top"/>
    </xf>
    <xf numFmtId="0" fontId="161" fillId="33" borderId="58" xfId="275" applyFont="1" applyFill="1" applyBorder="1" applyAlignment="1" applyProtection="1">
      <alignment vertical="top"/>
    </xf>
    <xf numFmtId="0" fontId="62" fillId="33" borderId="55" xfId="275" applyFont="1" applyFill="1" applyBorder="1" applyAlignment="1" applyProtection="1">
      <alignment vertical="top"/>
    </xf>
    <xf numFmtId="0" fontId="161" fillId="33" borderId="120" xfId="275" applyFont="1" applyFill="1" applyBorder="1" applyAlignment="1" applyProtection="1">
      <alignment vertical="top"/>
    </xf>
    <xf numFmtId="0" fontId="161" fillId="33" borderId="62" xfId="275" applyFont="1" applyFill="1" applyBorder="1" applyAlignment="1" applyProtection="1">
      <alignment vertical="top"/>
    </xf>
    <xf numFmtId="0" fontId="62" fillId="33" borderId="46" xfId="305" applyFont="1" applyFill="1" applyBorder="1" applyAlignment="1" applyProtection="1">
      <alignment vertical="top"/>
    </xf>
    <xf numFmtId="179" fontId="7" fillId="33" borderId="86" xfId="275" applyNumberFormat="1" applyFont="1" applyFill="1" applyBorder="1" applyAlignment="1" applyProtection="1">
      <alignment horizontal="left" vertical="top"/>
    </xf>
    <xf numFmtId="0" fontId="7" fillId="0" borderId="43" xfId="212" applyFont="1" applyBorder="1" applyAlignment="1">
      <alignment vertical="center"/>
    </xf>
    <xf numFmtId="0" fontId="161" fillId="33" borderId="93" xfId="275" applyFont="1" applyFill="1" applyBorder="1" applyAlignment="1" applyProtection="1">
      <alignment vertical="top"/>
    </xf>
    <xf numFmtId="0" fontId="49" fillId="0" borderId="43" xfId="275" applyFont="1" applyFill="1" applyBorder="1" applyAlignment="1" applyProtection="1">
      <alignment vertical="top"/>
    </xf>
    <xf numFmtId="0" fontId="7" fillId="0" borderId="43" xfId="275" applyFont="1" applyBorder="1" applyAlignment="1">
      <alignment horizontal="center" vertical="top"/>
    </xf>
    <xf numFmtId="0" fontId="160" fillId="0" borderId="267" xfId="275" applyFont="1" applyBorder="1" applyAlignment="1">
      <alignment vertical="top"/>
    </xf>
    <xf numFmtId="0" fontId="5" fillId="29" borderId="109" xfId="495" applyFill="1" applyBorder="1"/>
    <xf numFmtId="0" fontId="5" fillId="81" borderId="43" xfId="495" applyFill="1" applyBorder="1"/>
    <xf numFmtId="0" fontId="5" fillId="29" borderId="285" xfId="495" applyFill="1" applyBorder="1"/>
    <xf numFmtId="0" fontId="0" fillId="33" borderId="173" xfId="495" applyFont="1" applyFill="1" applyBorder="1"/>
    <xf numFmtId="1" fontId="62" fillId="0" borderId="267" xfId="275" applyNumberFormat="1" applyFont="1" applyFill="1" applyBorder="1" applyAlignment="1" applyProtection="1">
      <alignment horizontal="center" vertical="top"/>
    </xf>
    <xf numFmtId="0" fontId="62" fillId="33" borderId="62" xfId="275" applyFont="1" applyFill="1" applyBorder="1" applyAlignment="1" applyProtection="1">
      <alignment vertical="top"/>
    </xf>
    <xf numFmtId="0" fontId="5" fillId="81" borderId="109" xfId="495" applyFill="1" applyBorder="1"/>
    <xf numFmtId="0" fontId="5" fillId="33" borderId="173" xfId="495" applyFill="1" applyBorder="1"/>
    <xf numFmtId="0" fontId="62" fillId="33" borderId="93" xfId="275" applyFont="1" applyFill="1" applyBorder="1" applyAlignment="1" applyProtection="1">
      <alignment vertical="top"/>
    </xf>
    <xf numFmtId="0" fontId="7" fillId="0" borderId="109" xfId="275" applyBorder="1"/>
    <xf numFmtId="0" fontId="7" fillId="0" borderId="43" xfId="275" applyBorder="1"/>
    <xf numFmtId="0" fontId="7" fillId="0" borderId="285" xfId="275" applyBorder="1"/>
    <xf numFmtId="179" fontId="7" fillId="33" borderId="86" xfId="305" applyNumberFormat="1" applyFont="1" applyFill="1" applyBorder="1" applyAlignment="1" applyProtection="1">
      <alignment horizontal="left" vertical="top"/>
    </xf>
    <xf numFmtId="1" fontId="7" fillId="0" borderId="267" xfId="275" applyNumberFormat="1" applyBorder="1" applyAlignment="1">
      <alignment horizontal="center" vertical="top"/>
    </xf>
    <xf numFmtId="0" fontId="62" fillId="29" borderId="62" xfId="275" applyFont="1" applyFill="1" applyBorder="1" applyAlignment="1" applyProtection="1">
      <alignment vertical="top"/>
    </xf>
    <xf numFmtId="0" fontId="62" fillId="29" borderId="46" xfId="305" applyFont="1" applyFill="1" applyBorder="1" applyAlignment="1" applyProtection="1">
      <alignment vertical="top"/>
    </xf>
    <xf numFmtId="179" fontId="7" fillId="29" borderId="86" xfId="275" applyNumberFormat="1" applyFont="1" applyFill="1" applyBorder="1" applyAlignment="1" applyProtection="1">
      <alignment horizontal="left" vertical="top"/>
    </xf>
    <xf numFmtId="0" fontId="0" fillId="29" borderId="109" xfId="212" applyFont="1" applyFill="1" applyBorder="1" applyAlignment="1">
      <alignment vertical="top"/>
    </xf>
    <xf numFmtId="0" fontId="7" fillId="29" borderId="43" xfId="275" applyFont="1" applyFill="1" applyBorder="1" applyAlignment="1">
      <alignment vertical="top"/>
    </xf>
    <xf numFmtId="0" fontId="7" fillId="29" borderId="43" xfId="275" applyFont="1" applyFill="1" applyBorder="1" applyAlignment="1">
      <alignment horizontal="center" vertical="top"/>
    </xf>
    <xf numFmtId="0" fontId="88" fillId="29" borderId="43" xfId="275" applyFont="1" applyFill="1" applyBorder="1" applyAlignment="1">
      <alignment horizontal="center" vertical="top"/>
    </xf>
    <xf numFmtId="1" fontId="62" fillId="29" borderId="267" xfId="275" applyNumberFormat="1" applyFont="1" applyFill="1" applyBorder="1" applyAlignment="1" applyProtection="1">
      <alignment horizontal="center" vertical="top"/>
    </xf>
    <xf numFmtId="0" fontId="7" fillId="29" borderId="109" xfId="212" applyFont="1" applyFill="1" applyBorder="1" applyAlignment="1">
      <alignment horizontal="center" vertical="top"/>
    </xf>
    <xf numFmtId="0" fontId="7" fillId="29" borderId="267" xfId="275" applyFont="1" applyFill="1" applyBorder="1" applyAlignment="1">
      <alignment vertical="top"/>
    </xf>
    <xf numFmtId="0" fontId="7" fillId="29" borderId="109" xfId="275" applyFill="1" applyBorder="1" applyAlignment="1">
      <alignment vertical="center"/>
    </xf>
    <xf numFmtId="0" fontId="7" fillId="29" borderId="43" xfId="275" applyFill="1" applyBorder="1" applyAlignment="1">
      <alignment vertical="center"/>
    </xf>
    <xf numFmtId="0" fontId="7" fillId="29" borderId="43" xfId="212" applyFont="1" applyFill="1" applyBorder="1" applyAlignment="1">
      <alignment vertical="center"/>
    </xf>
    <xf numFmtId="49" fontId="7" fillId="29" borderId="267" xfId="275" applyNumberFormat="1" applyFill="1" applyBorder="1" applyAlignment="1">
      <alignment vertical="center"/>
    </xf>
    <xf numFmtId="0" fontId="7" fillId="29" borderId="285" xfId="275" applyFill="1" applyBorder="1" applyAlignment="1">
      <alignment vertical="center"/>
    </xf>
    <xf numFmtId="0" fontId="62" fillId="29" borderId="93" xfId="275" applyFont="1" applyFill="1" applyBorder="1" applyAlignment="1" applyProtection="1">
      <alignment vertical="top"/>
    </xf>
    <xf numFmtId="0" fontId="49" fillId="29" borderId="43" xfId="275" applyFont="1" applyFill="1" applyBorder="1" applyAlignment="1" applyProtection="1">
      <alignment vertical="top"/>
    </xf>
    <xf numFmtId="0" fontId="49" fillId="29" borderId="43" xfId="275" applyFont="1" applyFill="1" applyBorder="1" applyAlignment="1" applyProtection="1">
      <alignment horizontal="center" vertical="top"/>
    </xf>
    <xf numFmtId="0" fontId="7" fillId="29" borderId="43" xfId="275" applyFill="1" applyBorder="1" applyAlignment="1">
      <alignment horizontal="center" vertical="top"/>
    </xf>
    <xf numFmtId="1" fontId="7" fillId="29" borderId="267" xfId="275" applyNumberFormat="1" applyFill="1" applyBorder="1" applyAlignment="1">
      <alignment horizontal="center" vertical="top"/>
    </xf>
    <xf numFmtId="0" fontId="5" fillId="29" borderId="43" xfId="495" applyFill="1" applyBorder="1"/>
    <xf numFmtId="0" fontId="0" fillId="0" borderId="43" xfId="212" applyFont="1" applyBorder="1" applyAlignment="1">
      <alignment vertical="center"/>
    </xf>
    <xf numFmtId="0" fontId="62" fillId="33" borderId="46" xfId="305" applyFont="1" applyFill="1" applyBorder="1" applyAlignment="1" applyProtection="1">
      <alignment vertical="top" wrapText="1"/>
    </xf>
    <xf numFmtId="179" fontId="7" fillId="33" borderId="86" xfId="275" quotePrefix="1" applyNumberFormat="1" applyFont="1" applyFill="1" applyBorder="1" applyAlignment="1" applyProtection="1">
      <alignment horizontal="right" vertical="top" indent="1"/>
    </xf>
    <xf numFmtId="49" fontId="7" fillId="0" borderId="267" xfId="212" applyNumberFormat="1" applyFont="1" applyBorder="1" applyAlignment="1">
      <alignment vertical="center"/>
    </xf>
    <xf numFmtId="0" fontId="62" fillId="33" borderId="46" xfId="275" applyFont="1" applyFill="1" applyBorder="1" applyAlignment="1" applyProtection="1">
      <alignment vertical="top"/>
    </xf>
    <xf numFmtId="0" fontId="5" fillId="81" borderId="285" xfId="495" applyFill="1" applyBorder="1"/>
    <xf numFmtId="0" fontId="162" fillId="0" borderId="109" xfId="306" applyFont="1" applyFill="1" applyBorder="1" applyAlignment="1" applyProtection="1">
      <alignment vertical="center" wrapText="1"/>
    </xf>
    <xf numFmtId="0" fontId="162" fillId="0" borderId="43" xfId="306" applyFont="1" applyFill="1" applyBorder="1" applyAlignment="1" applyProtection="1">
      <alignment vertical="center" wrapText="1"/>
    </xf>
    <xf numFmtId="0" fontId="162" fillId="0" borderId="285" xfId="306" applyFont="1" applyFill="1" applyBorder="1" applyAlignment="1" applyProtection="1">
      <alignment vertical="center" wrapText="1"/>
    </xf>
    <xf numFmtId="0" fontId="163" fillId="0" borderId="285" xfId="306" applyFont="1" applyBorder="1"/>
    <xf numFmtId="0" fontId="5" fillId="29" borderId="173" xfId="495" applyFill="1" applyBorder="1"/>
    <xf numFmtId="0" fontId="62" fillId="33" borderId="81" xfId="275" applyFont="1" applyFill="1" applyBorder="1" applyAlignment="1" applyProtection="1">
      <alignment vertical="top"/>
    </xf>
    <xf numFmtId="0" fontId="62" fillId="33" borderId="78" xfId="305" applyFont="1" applyFill="1" applyBorder="1" applyAlignment="1" applyProtection="1">
      <alignment vertical="top"/>
    </xf>
    <xf numFmtId="179" fontId="7" fillId="33" borderId="87" xfId="275" applyNumberFormat="1" applyFont="1" applyFill="1" applyBorder="1" applyAlignment="1" applyProtection="1">
      <alignment horizontal="left" vertical="top"/>
    </xf>
    <xf numFmtId="0" fontId="7" fillId="0" borderId="275" xfId="212" applyFont="1" applyBorder="1" applyAlignment="1">
      <alignment vertical="top"/>
    </xf>
    <xf numFmtId="0" fontId="7" fillId="0" borderId="276" xfId="275" applyFont="1" applyBorder="1" applyAlignment="1">
      <alignment vertical="top"/>
    </xf>
    <xf numFmtId="0" fontId="49" fillId="33" borderId="276" xfId="275" applyFont="1" applyFill="1" applyBorder="1" applyAlignment="1" applyProtection="1">
      <alignment vertical="top"/>
    </xf>
    <xf numFmtId="0" fontId="49" fillId="33" borderId="276" xfId="275" applyFont="1" applyFill="1" applyBorder="1" applyAlignment="1" applyProtection="1">
      <alignment horizontal="center" vertical="top"/>
    </xf>
    <xf numFmtId="0" fontId="7" fillId="0" borderId="276" xfId="275" applyBorder="1" applyAlignment="1">
      <alignment horizontal="center" vertical="top"/>
    </xf>
    <xf numFmtId="1" fontId="7" fillId="0" borderId="278" xfId="275" applyNumberFormat="1" applyBorder="1" applyAlignment="1">
      <alignment horizontal="center" vertical="top"/>
    </xf>
    <xf numFmtId="0" fontId="7" fillId="0" borderId="275" xfId="212" applyFont="1" applyBorder="1" applyAlignment="1">
      <alignment horizontal="center" vertical="top"/>
    </xf>
    <xf numFmtId="0" fontId="7" fillId="0" borderId="278" xfId="275" applyFont="1" applyBorder="1" applyAlignment="1">
      <alignment vertical="top"/>
    </xf>
    <xf numFmtId="0" fontId="7" fillId="0" borderId="275" xfId="275" applyBorder="1" applyAlignment="1">
      <alignment vertical="center"/>
    </xf>
    <xf numFmtId="0" fontId="7" fillId="0" borderId="276" xfId="275" applyBorder="1" applyAlignment="1">
      <alignment vertical="center"/>
    </xf>
    <xf numFmtId="0" fontId="7" fillId="0" borderId="276" xfId="212" applyFont="1" applyBorder="1" applyAlignment="1">
      <alignment vertical="center"/>
    </xf>
    <xf numFmtId="49" fontId="7" fillId="0" borderId="278" xfId="275" applyNumberFormat="1" applyBorder="1" applyAlignment="1">
      <alignment vertical="center"/>
    </xf>
    <xf numFmtId="0" fontId="7" fillId="0" borderId="276" xfId="275" applyBorder="1"/>
    <xf numFmtId="0" fontId="7" fillId="0" borderId="286" xfId="275" applyBorder="1"/>
    <xf numFmtId="0" fontId="5" fillId="29" borderId="110" xfId="495" applyFill="1" applyBorder="1"/>
    <xf numFmtId="0" fontId="5" fillId="81" borderId="104" xfId="495" applyFill="1" applyBorder="1"/>
    <xf numFmtId="0" fontId="5" fillId="29" borderId="287" xfId="495" applyFill="1" applyBorder="1"/>
    <xf numFmtId="0" fontId="5" fillId="33" borderId="174" xfId="306" applyFill="1" applyBorder="1"/>
    <xf numFmtId="0" fontId="5" fillId="0" borderId="110" xfId="306" applyBorder="1"/>
    <xf numFmtId="0" fontId="5" fillId="0" borderId="104" xfId="306" applyBorder="1"/>
    <xf numFmtId="0" fontId="7" fillId="0" borderId="104" xfId="306" applyFont="1" applyBorder="1"/>
    <xf numFmtId="0" fontId="5" fillId="0" borderId="287" xfId="306" applyBorder="1"/>
    <xf numFmtId="0" fontId="62" fillId="33" borderId="94" xfId="275" applyFont="1" applyFill="1" applyBorder="1" applyAlignment="1" applyProtection="1">
      <alignment vertical="top"/>
    </xf>
    <xf numFmtId="0" fontId="7" fillId="40" borderId="0" xfId="275" applyFill="1" applyAlignment="1">
      <alignment vertical="center" wrapText="1"/>
    </xf>
    <xf numFmtId="0" fontId="10" fillId="33" borderId="14" xfId="533" applyFont="1" applyFill="1" applyBorder="1" applyAlignment="1" applyProtection="1">
      <alignment horizontal="center" vertical="center" wrapText="1"/>
    </xf>
    <xf numFmtId="0" fontId="10" fillId="31" borderId="36" xfId="533" applyFont="1" applyFill="1" applyBorder="1" applyAlignment="1" applyProtection="1">
      <alignment horizontal="center" vertical="center" wrapText="1"/>
    </xf>
    <xf numFmtId="0" fontId="63" fillId="31" borderId="45" xfId="275" applyFont="1" applyFill="1" applyBorder="1" applyAlignment="1" applyProtection="1">
      <alignment horizontal="center" vertical="center" wrapText="1"/>
    </xf>
    <xf numFmtId="0" fontId="63" fillId="55" borderId="246" xfId="275" applyFont="1" applyFill="1" applyBorder="1" applyAlignment="1" applyProtection="1">
      <alignment vertical="center"/>
    </xf>
    <xf numFmtId="0" fontId="10" fillId="55" borderId="0" xfId="275" applyFont="1" applyFill="1" applyBorder="1" applyAlignment="1">
      <alignment vertical="center" wrapText="1"/>
    </xf>
    <xf numFmtId="0" fontId="7" fillId="55" borderId="0" xfId="275" applyFill="1" applyAlignment="1">
      <alignment vertical="center"/>
    </xf>
    <xf numFmtId="0" fontId="62" fillId="55" borderId="0" xfId="275" applyFont="1" applyFill="1" applyAlignment="1" applyProtection="1">
      <alignment vertical="center"/>
    </xf>
    <xf numFmtId="0" fontId="62" fillId="33" borderId="0" xfId="275" applyFont="1" applyFill="1" applyAlignment="1" applyProtection="1">
      <alignment horizontal="center" vertical="center"/>
    </xf>
    <xf numFmtId="0" fontId="62" fillId="33" borderId="0" xfId="275" applyFont="1" applyFill="1" applyAlignment="1" applyProtection="1">
      <alignment vertical="center"/>
    </xf>
    <xf numFmtId="1" fontId="62" fillId="33" borderId="0" xfId="275" applyNumberFormat="1" applyFont="1" applyFill="1" applyAlignment="1" applyProtection="1">
      <alignment vertical="center"/>
    </xf>
    <xf numFmtId="0" fontId="92" fillId="83" borderId="45" xfId="484" applyFont="1" applyFill="1" applyBorder="1" applyAlignment="1">
      <alignment vertical="center"/>
    </xf>
    <xf numFmtId="0" fontId="10" fillId="0" borderId="291" xfId="275" applyFont="1" applyFill="1" applyBorder="1" applyAlignment="1">
      <alignment vertical="center" wrapText="1"/>
    </xf>
    <xf numFmtId="0" fontId="10" fillId="0" borderId="292" xfId="275" applyFont="1" applyFill="1" applyBorder="1" applyAlignment="1">
      <alignment vertical="center" wrapText="1"/>
    </xf>
    <xf numFmtId="0" fontId="10" fillId="0" borderId="293" xfId="275" applyFont="1" applyFill="1" applyBorder="1" applyAlignment="1">
      <alignment vertical="center" wrapText="1"/>
    </xf>
    <xf numFmtId="0" fontId="10" fillId="32" borderId="294" xfId="275" applyFont="1" applyFill="1" applyBorder="1" applyAlignment="1">
      <alignment vertical="center" wrapText="1"/>
    </xf>
    <xf numFmtId="0" fontId="10" fillId="32" borderId="295" xfId="275" applyFont="1" applyFill="1" applyBorder="1" applyAlignment="1">
      <alignment vertical="center" wrapText="1"/>
    </xf>
    <xf numFmtId="0" fontId="10" fillId="32" borderId="296" xfId="275" applyFont="1" applyFill="1" applyBorder="1" applyAlignment="1">
      <alignment vertical="center" wrapText="1"/>
    </xf>
    <xf numFmtId="0" fontId="5" fillId="0" borderId="0" xfId="306" applyAlignment="1">
      <alignment vertical="center"/>
    </xf>
    <xf numFmtId="0" fontId="7" fillId="0" borderId="297" xfId="305" applyBorder="1" applyAlignment="1" applyProtection="1">
      <alignment horizontal="left" vertical="center"/>
    </xf>
    <xf numFmtId="0" fontId="99" fillId="0" borderId="297" xfId="306" applyFont="1" applyBorder="1"/>
    <xf numFmtId="49" fontId="62" fillId="55" borderId="21" xfId="275" applyNumberFormat="1" applyFont="1" applyFill="1" applyBorder="1" applyProtection="1"/>
    <xf numFmtId="49" fontId="49" fillId="55" borderId="21" xfId="275" applyNumberFormat="1" applyFont="1" applyFill="1" applyBorder="1" applyProtection="1"/>
    <xf numFmtId="0" fontId="7" fillId="55" borderId="22" xfId="275" applyFill="1" applyBorder="1"/>
    <xf numFmtId="0" fontId="62" fillId="55" borderId="163" xfId="275" quotePrefix="1" applyFont="1" applyFill="1" applyBorder="1" applyAlignment="1" applyProtection="1">
      <alignment vertical="center"/>
    </xf>
    <xf numFmtId="0" fontId="164" fillId="55" borderId="284" xfId="275" quotePrefix="1" applyFont="1" applyFill="1" applyBorder="1" applyAlignment="1" applyProtection="1">
      <alignment vertical="center"/>
    </xf>
    <xf numFmtId="0" fontId="7" fillId="55" borderId="0" xfId="275" applyFill="1"/>
    <xf numFmtId="0" fontId="88" fillId="55" borderId="0" xfId="275" applyFont="1" applyFill="1"/>
    <xf numFmtId="0" fontId="7" fillId="0" borderId="0" xfId="275" applyAlignment="1">
      <alignment horizontal="center"/>
    </xf>
    <xf numFmtId="0" fontId="7" fillId="83" borderId="297" xfId="275" applyFont="1" applyFill="1" applyBorder="1" applyAlignment="1"/>
    <xf numFmtId="0" fontId="165" fillId="84" borderId="298" xfId="419" applyFont="1" applyFill="1" applyBorder="1" applyAlignment="1" applyProtection="1">
      <alignment horizontal="center" wrapText="1"/>
    </xf>
    <xf numFmtId="0" fontId="7" fillId="84" borderId="299" xfId="275" applyFont="1" applyFill="1" applyBorder="1" applyAlignment="1" applyProtection="1">
      <alignment horizontal="center" wrapText="1"/>
    </xf>
    <xf numFmtId="0" fontId="154" fillId="84" borderId="299" xfId="275" applyFont="1" applyFill="1" applyBorder="1" applyAlignment="1" applyProtection="1">
      <alignment horizontal="center" vertical="center"/>
    </xf>
    <xf numFmtId="0" fontId="135" fillId="84" borderId="299" xfId="306" applyFont="1" applyFill="1" applyBorder="1" applyAlignment="1" applyProtection="1">
      <alignment horizontal="center" vertical="center" wrapText="1"/>
    </xf>
    <xf numFmtId="0" fontId="135" fillId="84" borderId="300" xfId="306" applyFont="1" applyFill="1" applyBorder="1" applyAlignment="1" applyProtection="1">
      <alignment horizontal="center" vertical="center" wrapText="1"/>
    </xf>
    <xf numFmtId="0" fontId="7" fillId="47" borderId="301" xfId="276" applyFill="1" applyBorder="1" applyAlignment="1">
      <alignment horizontal="center"/>
    </xf>
    <xf numFmtId="0" fontId="7" fillId="47" borderId="0" xfId="276" applyFill="1" applyBorder="1" applyAlignment="1">
      <alignment horizontal="center"/>
    </xf>
    <xf numFmtId="0" fontId="7" fillId="47" borderId="117" xfId="276" applyFill="1" applyBorder="1" applyAlignment="1">
      <alignment horizontal="center" vertical="center" wrapText="1"/>
    </xf>
    <xf numFmtId="0" fontId="7" fillId="47" borderId="302" xfId="276" applyFill="1" applyBorder="1" applyAlignment="1">
      <alignment horizontal="center" vertical="center" wrapText="1"/>
    </xf>
    <xf numFmtId="0" fontId="7" fillId="0" borderId="121" xfId="305" applyBorder="1" applyAlignment="1" applyProtection="1">
      <alignment horizontal="left" vertical="center"/>
    </xf>
    <xf numFmtId="0" fontId="99" fillId="0" borderId="121" xfId="306" applyFont="1" applyBorder="1"/>
    <xf numFmtId="49" fontId="62" fillId="55" borderId="19" xfId="275" applyNumberFormat="1" applyFont="1" applyFill="1" applyBorder="1" applyProtection="1"/>
    <xf numFmtId="49" fontId="49" fillId="55" borderId="19" xfId="275" applyNumberFormat="1" applyFont="1" applyFill="1" applyBorder="1" applyProtection="1"/>
    <xf numFmtId="0" fontId="7" fillId="55" borderId="0" xfId="275" applyFill="1" applyBorder="1"/>
    <xf numFmtId="0" fontId="62" fillId="55" borderId="109" xfId="275" quotePrefix="1" applyFont="1" applyFill="1" applyBorder="1" applyAlignment="1" applyProtection="1">
      <alignment vertical="center"/>
    </xf>
    <xf numFmtId="0" fontId="164" fillId="55" borderId="285" xfId="275" quotePrefix="1" applyFont="1" applyFill="1" applyBorder="1" applyAlignment="1" applyProtection="1">
      <alignment vertical="center"/>
    </xf>
    <xf numFmtId="0" fontId="7" fillId="83" borderId="121" xfId="275" applyFont="1" applyFill="1" applyBorder="1" applyAlignment="1"/>
    <xf numFmtId="0" fontId="165" fillId="84" borderId="303" xfId="419" applyFont="1" applyFill="1" applyBorder="1" applyAlignment="1" applyProtection="1">
      <alignment horizontal="center" wrapText="1"/>
    </xf>
    <xf numFmtId="0" fontId="7" fillId="84" borderId="304" xfId="275" applyFont="1" applyFill="1" applyBorder="1" applyAlignment="1" applyProtection="1">
      <alignment horizontal="center" wrapText="1"/>
    </xf>
    <xf numFmtId="0" fontId="154" fillId="84" borderId="304" xfId="306" applyFont="1" applyFill="1" applyBorder="1" applyAlignment="1" applyProtection="1">
      <alignment horizontal="center" vertical="center"/>
    </xf>
    <xf numFmtId="0" fontId="135" fillId="84" borderId="304" xfId="306" applyFont="1" applyFill="1" applyBorder="1" applyAlignment="1" applyProtection="1">
      <alignment horizontal="center" vertical="center" wrapText="1"/>
    </xf>
    <xf numFmtId="0" fontId="135" fillId="84" borderId="305" xfId="306" applyFont="1" applyFill="1" applyBorder="1" applyAlignment="1" applyProtection="1">
      <alignment horizontal="center" vertical="center" wrapText="1"/>
    </xf>
    <xf numFmtId="0" fontId="7" fillId="47" borderId="43" xfId="276" applyFill="1" applyBorder="1" applyAlignment="1">
      <alignment horizontal="center" vertical="center" wrapText="1"/>
    </xf>
    <xf numFmtId="0" fontId="7" fillId="0" borderId="306" xfId="275" applyBorder="1"/>
    <xf numFmtId="0" fontId="7" fillId="0" borderId="307" xfId="305" applyBorder="1" applyProtection="1"/>
    <xf numFmtId="0" fontId="7" fillId="55" borderId="109" xfId="275" applyFill="1" applyBorder="1"/>
    <xf numFmtId="0" fontId="156" fillId="55" borderId="285" xfId="275" applyFont="1" applyFill="1" applyBorder="1"/>
    <xf numFmtId="0" fontId="7" fillId="0" borderId="297" xfId="305" applyBorder="1" applyProtection="1"/>
    <xf numFmtId="0" fontId="7" fillId="47" borderId="123" xfId="276" applyFill="1" applyBorder="1" applyAlignment="1">
      <alignment horizontal="center"/>
    </xf>
    <xf numFmtId="49" fontId="49" fillId="55" borderId="19" xfId="275" quotePrefix="1" applyNumberFormat="1" applyFont="1" applyFill="1" applyBorder="1" applyProtection="1"/>
    <xf numFmtId="0" fontId="165" fillId="84" borderId="303" xfId="419" applyNumberFormat="1" applyFont="1" applyFill="1" applyBorder="1" applyAlignment="1" applyProtection="1">
      <alignment horizontal="center" wrapText="1"/>
    </xf>
    <xf numFmtId="0" fontId="7" fillId="0" borderId="304" xfId="275" applyFont="1" applyFill="1" applyBorder="1"/>
    <xf numFmtId="0" fontId="7" fillId="0" borderId="305" xfId="275" applyFont="1" applyFill="1" applyBorder="1"/>
    <xf numFmtId="0" fontId="7" fillId="0" borderId="308" xfId="275" applyBorder="1" applyAlignment="1">
      <alignment vertical="center"/>
    </xf>
    <xf numFmtId="0" fontId="7" fillId="0" borderId="304" xfId="275" applyFont="1" applyFill="1" applyBorder="1" applyAlignment="1">
      <alignment vertical="center"/>
    </xf>
    <xf numFmtId="0" fontId="7" fillId="0" borderId="309" xfId="305" applyBorder="1" applyProtection="1"/>
    <xf numFmtId="49" fontId="62" fillId="55" borderId="246" xfId="275" applyNumberFormat="1" applyFont="1" applyFill="1" applyBorder="1" applyProtection="1"/>
    <xf numFmtId="49" fontId="49" fillId="55" borderId="246" xfId="275" applyNumberFormat="1" applyFont="1" applyFill="1" applyBorder="1" applyProtection="1"/>
    <xf numFmtId="0" fontId="7" fillId="55" borderId="123" xfId="275" applyFill="1" applyBorder="1"/>
    <xf numFmtId="0" fontId="62" fillId="55" borderId="110" xfId="275" quotePrefix="1" applyFont="1" applyFill="1" applyBorder="1" applyAlignment="1" applyProtection="1">
      <alignment vertical="center"/>
    </xf>
    <xf numFmtId="0" fontId="164" fillId="55" borderId="287" xfId="275" quotePrefix="1" applyFont="1" applyFill="1" applyBorder="1" applyAlignment="1" applyProtection="1">
      <alignment vertical="center"/>
    </xf>
    <xf numFmtId="0" fontId="7" fillId="83" borderId="309" xfId="275" applyFont="1" applyFill="1" applyBorder="1" applyAlignment="1"/>
    <xf numFmtId="0" fontId="7" fillId="0" borderId="303" xfId="275" applyFont="1" applyFill="1" applyBorder="1" applyAlignment="1">
      <alignment vertical="center"/>
    </xf>
    <xf numFmtId="0" fontId="7" fillId="20" borderId="308" xfId="276" applyBorder="1"/>
    <xf numFmtId="0" fontId="7" fillId="33" borderId="212" xfId="305" applyFill="1" applyBorder="1" applyAlignment="1" applyProtection="1">
      <alignment vertical="center"/>
    </xf>
    <xf numFmtId="0" fontId="7" fillId="0" borderId="205" xfId="305" applyBorder="1" applyAlignment="1" applyProtection="1">
      <alignment horizontal="left" vertical="center"/>
    </xf>
    <xf numFmtId="0" fontId="7" fillId="27" borderId="310" xfId="305" applyFill="1" applyBorder="1" applyAlignment="1" applyProtection="1">
      <alignment horizontal="center" vertical="center"/>
    </xf>
    <xf numFmtId="0" fontId="7" fillId="27" borderId="241" xfId="305" applyFill="1" applyBorder="1" applyAlignment="1" applyProtection="1">
      <alignment horizontal="center" vertical="center"/>
    </xf>
    <xf numFmtId="0" fontId="7" fillId="33" borderId="297" xfId="305" applyFill="1" applyBorder="1" applyAlignment="1" applyProtection="1">
      <alignment horizontal="left" vertical="center"/>
    </xf>
    <xf numFmtId="0" fontId="7" fillId="33" borderId="307" xfId="305" applyFill="1" applyBorder="1" applyAlignment="1" applyProtection="1">
      <alignment horizontal="left" vertical="center"/>
    </xf>
    <xf numFmtId="0" fontId="7" fillId="0" borderId="311" xfId="275" applyFont="1" applyFill="1" applyBorder="1" applyAlignment="1">
      <alignment vertical="center"/>
    </xf>
    <xf numFmtId="0" fontId="7" fillId="84" borderId="312" xfId="275" applyFont="1" applyFill="1" applyBorder="1" applyAlignment="1" applyProtection="1">
      <alignment horizontal="center" wrapText="1"/>
    </xf>
    <xf numFmtId="0" fontId="7" fillId="0" borderId="312" xfId="275" applyFont="1" applyFill="1" applyBorder="1" applyAlignment="1">
      <alignment vertical="center"/>
    </xf>
    <xf numFmtId="0" fontId="7" fillId="0" borderId="312" xfId="275" applyFont="1" applyFill="1" applyBorder="1"/>
    <xf numFmtId="0" fontId="7" fillId="0" borderId="313" xfId="275" applyFont="1" applyFill="1" applyBorder="1"/>
    <xf numFmtId="0" fontId="7" fillId="33" borderId="152" xfId="305" applyFill="1" applyBorder="1" applyAlignment="1" applyProtection="1">
      <alignment vertical="center"/>
    </xf>
    <xf numFmtId="0" fontId="5" fillId="0" borderId="0" xfId="306" applyFont="1" applyAlignment="1">
      <alignment horizontal="left" indent="2"/>
    </xf>
    <xf numFmtId="0" fontId="7" fillId="20" borderId="314" xfId="276" applyBorder="1"/>
    <xf numFmtId="0" fontId="7" fillId="0" borderId="104" xfId="275" applyBorder="1"/>
    <xf numFmtId="0" fontId="7" fillId="47" borderId="104" xfId="276" applyFill="1" applyBorder="1" applyAlignment="1">
      <alignment horizontal="center" vertical="center" wrapText="1"/>
    </xf>
    <xf numFmtId="0" fontId="7" fillId="0" borderId="315" xfId="275" applyBorder="1"/>
    <xf numFmtId="0" fontId="7" fillId="33" borderId="19" xfId="305" applyFill="1" applyBorder="1" applyAlignment="1" applyProtection="1">
      <alignment vertical="center"/>
    </xf>
    <xf numFmtId="0" fontId="7" fillId="33" borderId="121" xfId="305" applyFill="1" applyBorder="1" applyAlignment="1" applyProtection="1">
      <alignment horizontal="left" vertical="center"/>
    </xf>
    <xf numFmtId="0" fontId="5" fillId="0" borderId="0" xfId="306" applyFont="1" applyAlignment="1">
      <alignment horizontal="left" indent="3"/>
    </xf>
    <xf numFmtId="0" fontId="7" fillId="0" borderId="301" xfId="275" applyBorder="1" applyAlignment="1">
      <alignment vertical="center"/>
    </xf>
    <xf numFmtId="0" fontId="7" fillId="0" borderId="0" xfId="275" applyBorder="1"/>
    <xf numFmtId="0" fontId="7" fillId="0" borderId="316" xfId="275" applyBorder="1"/>
    <xf numFmtId="0" fontId="99" fillId="0" borderId="309" xfId="306" applyFont="1" applyBorder="1"/>
    <xf numFmtId="0" fontId="5" fillId="0" borderId="0" xfId="306" applyFont="1" applyAlignment="1">
      <alignment horizontal="left" indent="4"/>
    </xf>
    <xf numFmtId="0" fontId="99" fillId="0" borderId="0" xfId="306" applyFont="1"/>
    <xf numFmtId="0" fontId="62" fillId="47" borderId="45" xfId="275" applyFont="1" applyFill="1" applyBorder="1" applyAlignment="1" applyProtection="1">
      <alignment horizontal="left" vertical="top" wrapText="1"/>
    </xf>
    <xf numFmtId="0" fontId="5" fillId="0" borderId="0" xfId="306" applyFont="1" applyAlignment="1">
      <alignment horizontal="left" indent="5"/>
    </xf>
    <xf numFmtId="0" fontId="7" fillId="33" borderId="262" xfId="305" applyFill="1" applyBorder="1" applyAlignment="1" applyProtection="1">
      <alignment vertical="center"/>
    </xf>
    <xf numFmtId="0" fontId="7" fillId="33" borderId="309" xfId="305" applyFill="1" applyBorder="1" applyAlignment="1" applyProtection="1">
      <alignment horizontal="left" vertical="center"/>
    </xf>
    <xf numFmtId="0" fontId="63" fillId="47" borderId="72" xfId="275" applyFont="1" applyFill="1" applyBorder="1" applyProtection="1"/>
    <xf numFmtId="0" fontId="86" fillId="85" borderId="318" xfId="305" applyFont="1" applyFill="1" applyBorder="1" applyAlignment="1" applyProtection="1">
      <alignment vertical="center" wrapText="1"/>
    </xf>
    <xf numFmtId="0" fontId="86" fillId="85" borderId="319" xfId="305" applyFont="1" applyFill="1" applyBorder="1" applyAlignment="1" applyProtection="1">
      <alignment vertical="center" wrapText="1"/>
    </xf>
    <xf numFmtId="0" fontId="166" fillId="86" borderId="291" xfId="275" applyFont="1" applyFill="1" applyBorder="1" applyAlignment="1" applyProtection="1">
      <alignment horizontal="center" wrapText="1"/>
    </xf>
    <xf numFmtId="0" fontId="7" fillId="86" borderId="292" xfId="212" applyFont="1" applyFill="1" applyBorder="1"/>
    <xf numFmtId="0" fontId="166" fillId="86" borderId="292" xfId="275" applyFont="1" applyFill="1" applyBorder="1" applyAlignment="1" applyProtection="1">
      <alignment wrapText="1"/>
    </xf>
    <xf numFmtId="0" fontId="166" fillId="86" borderId="320" xfId="275" applyFont="1" applyFill="1" applyBorder="1" applyAlignment="1" applyProtection="1">
      <alignment wrapText="1"/>
    </xf>
    <xf numFmtId="0" fontId="5" fillId="0" borderId="0" xfId="306" applyFont="1" applyAlignment="1">
      <alignment horizontal="left" indent="6"/>
    </xf>
    <xf numFmtId="0" fontId="10" fillId="32" borderId="321" xfId="275" applyFont="1" applyFill="1" applyBorder="1" applyAlignment="1">
      <alignment vertical="center" wrapText="1"/>
    </xf>
    <xf numFmtId="0" fontId="7" fillId="0" borderId="22" xfId="275" applyBorder="1"/>
    <xf numFmtId="0" fontId="10" fillId="32" borderId="269" xfId="275" applyFont="1" applyFill="1" applyBorder="1" applyAlignment="1">
      <alignment vertical="center" wrapText="1"/>
    </xf>
    <xf numFmtId="0" fontId="10" fillId="32" borderId="322" xfId="275" applyFont="1" applyFill="1" applyBorder="1" applyAlignment="1">
      <alignment vertical="center" wrapText="1"/>
    </xf>
    <xf numFmtId="0" fontId="7" fillId="33" borderId="73" xfId="305" applyFill="1" applyBorder="1" applyAlignment="1" applyProtection="1">
      <alignment horizontal="left" vertical="center"/>
    </xf>
    <xf numFmtId="0" fontId="62" fillId="47" borderId="92" xfId="275" applyFont="1" applyFill="1" applyBorder="1" applyProtection="1"/>
    <xf numFmtId="0" fontId="62" fillId="47" borderId="75" xfId="275" applyFont="1" applyFill="1" applyBorder="1" applyProtection="1"/>
    <xf numFmtId="0" fontId="167" fillId="85" borderId="323" xfId="305" applyFont="1" applyFill="1" applyBorder="1" applyAlignment="1" applyProtection="1">
      <alignment horizontal="center" vertical="center"/>
    </xf>
    <xf numFmtId="49" fontId="167" fillId="85" borderId="324" xfId="305" applyNumberFormat="1" applyFont="1" applyFill="1" applyBorder="1" applyProtection="1"/>
    <xf numFmtId="0" fontId="147" fillId="87" borderId="298" xfId="275" applyFont="1" applyFill="1" applyBorder="1" applyAlignment="1" applyProtection="1">
      <alignment horizontal="center"/>
    </xf>
    <xf numFmtId="0" fontId="168" fillId="88" borderId="299" xfId="275" quotePrefix="1" applyFont="1" applyFill="1" applyBorder="1"/>
    <xf numFmtId="0" fontId="167" fillId="89" borderId="299" xfId="275" applyFont="1" applyFill="1" applyBorder="1" applyAlignment="1" applyProtection="1">
      <alignment horizontal="center"/>
    </xf>
    <xf numFmtId="0" fontId="169" fillId="88" borderId="299" xfId="275" quotePrefix="1" applyFont="1" applyFill="1" applyBorder="1" applyAlignment="1" applyProtection="1">
      <alignment horizontal="left"/>
    </xf>
    <xf numFmtId="0" fontId="167" fillId="89" borderId="325" xfId="275" applyFont="1" applyFill="1" applyBorder="1" applyAlignment="1" applyProtection="1">
      <alignment horizontal="center"/>
    </xf>
    <xf numFmtId="0" fontId="7" fillId="47" borderId="326" xfId="276" applyFill="1" applyBorder="1" applyAlignment="1">
      <alignment horizontal="center"/>
    </xf>
    <xf numFmtId="0" fontId="7" fillId="0" borderId="119" xfId="275" applyBorder="1"/>
    <xf numFmtId="0" fontId="7" fillId="47" borderId="119" xfId="276" applyFill="1" applyBorder="1" applyAlignment="1">
      <alignment horizontal="center" vertical="center" wrapText="1"/>
    </xf>
    <xf numFmtId="0" fontId="7" fillId="47" borderId="284" xfId="276" applyFill="1" applyBorder="1" applyAlignment="1">
      <alignment horizontal="center" vertical="center" wrapText="1"/>
    </xf>
    <xf numFmtId="0" fontId="7" fillId="33" borderId="152" xfId="305" applyFill="1" applyBorder="1" applyAlignment="1" applyProtection="1">
      <alignment vertical="top"/>
    </xf>
    <xf numFmtId="0" fontId="62" fillId="47" borderId="93" xfId="275" applyFont="1" applyFill="1" applyBorder="1" applyProtection="1"/>
    <xf numFmtId="0" fontId="62" fillId="47" borderId="77" xfId="275" applyFont="1" applyFill="1" applyBorder="1" applyProtection="1"/>
    <xf numFmtId="0" fontId="167" fillId="85" borderId="327" xfId="305" applyFont="1" applyFill="1" applyBorder="1" applyAlignment="1" applyProtection="1">
      <alignment horizontal="center" vertical="center"/>
    </xf>
    <xf numFmtId="49" fontId="167" fillId="85" borderId="328" xfId="305" applyNumberFormat="1" applyFont="1" applyFill="1" applyBorder="1" applyProtection="1"/>
    <xf numFmtId="0" fontId="167" fillId="87" borderId="303" xfId="275" applyFont="1" applyFill="1" applyBorder="1" applyAlignment="1" applyProtection="1">
      <alignment horizontal="center"/>
    </xf>
    <xf numFmtId="0" fontId="168" fillId="88" borderId="304" xfId="275" quotePrefix="1" applyFont="1" applyFill="1" applyBorder="1"/>
    <xf numFmtId="0" fontId="167" fillId="89" borderId="304" xfId="275" applyFont="1" applyFill="1" applyBorder="1" applyAlignment="1" applyProtection="1">
      <alignment horizontal="center"/>
    </xf>
    <xf numFmtId="0" fontId="169" fillId="88" borderId="304" xfId="275" quotePrefix="1" applyFont="1" applyFill="1" applyBorder="1" applyAlignment="1" applyProtection="1">
      <alignment horizontal="left"/>
    </xf>
    <xf numFmtId="0" fontId="167" fillId="89" borderId="329" xfId="275" applyFont="1" applyFill="1" applyBorder="1" applyAlignment="1" applyProtection="1">
      <alignment horizontal="center"/>
    </xf>
    <xf numFmtId="0" fontId="7" fillId="47" borderId="308" xfId="276" applyFill="1" applyBorder="1" applyAlignment="1">
      <alignment horizontal="center"/>
    </xf>
    <xf numFmtId="0" fontId="7" fillId="47" borderId="285" xfId="276" applyFill="1" applyBorder="1" applyAlignment="1">
      <alignment horizontal="center" vertical="center" wrapText="1"/>
    </xf>
    <xf numFmtId="0" fontId="7" fillId="33" borderId="19" xfId="305" applyFill="1" applyBorder="1" applyAlignment="1" applyProtection="1">
      <alignment vertical="top"/>
    </xf>
    <xf numFmtId="0" fontId="62" fillId="47" borderId="147" xfId="275" applyFont="1" applyFill="1" applyBorder="1" applyProtection="1"/>
    <xf numFmtId="0" fontId="7" fillId="33" borderId="330" xfId="305" applyFill="1" applyBorder="1" applyAlignment="1" applyProtection="1">
      <alignment vertical="center"/>
    </xf>
    <xf numFmtId="0" fontId="7" fillId="33" borderId="331" xfId="305" applyFill="1" applyBorder="1" applyAlignment="1" applyProtection="1">
      <alignment vertical="center"/>
    </xf>
    <xf numFmtId="0" fontId="7" fillId="33" borderId="332" xfId="305" applyFill="1" applyBorder="1" applyAlignment="1" applyProtection="1">
      <alignment vertical="center"/>
    </xf>
    <xf numFmtId="0" fontId="167" fillId="85" borderId="333" xfId="305" applyFont="1" applyFill="1" applyBorder="1" applyAlignment="1" applyProtection="1">
      <alignment horizontal="center" vertical="center"/>
    </xf>
    <xf numFmtId="49" fontId="167" fillId="85" borderId="334" xfId="305" applyNumberFormat="1" applyFont="1" applyFill="1" applyBorder="1" applyProtection="1"/>
    <xf numFmtId="0" fontId="7" fillId="33" borderId="335" xfId="305" applyFill="1" applyBorder="1" applyAlignment="1" applyProtection="1">
      <alignment vertical="center"/>
    </xf>
    <xf numFmtId="0" fontId="62" fillId="47" borderId="73" xfId="275" applyFont="1" applyFill="1" applyBorder="1" applyProtection="1"/>
    <xf numFmtId="0" fontId="62" fillId="47" borderId="94" xfId="275" applyFont="1" applyFill="1" applyBorder="1" applyProtection="1"/>
    <xf numFmtId="0" fontId="7" fillId="47" borderId="336" xfId="276" applyFill="1" applyBorder="1" applyAlignment="1">
      <alignment horizontal="center"/>
    </xf>
    <xf numFmtId="0" fontId="7" fillId="0" borderId="337" xfId="275" applyBorder="1"/>
    <xf numFmtId="0" fontId="7" fillId="0" borderId="338" xfId="275" applyBorder="1"/>
    <xf numFmtId="0" fontId="7" fillId="0" borderId="339" xfId="275" applyBorder="1"/>
    <xf numFmtId="0" fontId="7" fillId="0" borderId="0" xfId="212" applyFont="1" applyFill="1" applyBorder="1"/>
    <xf numFmtId="0" fontId="7" fillId="0" borderId="0" xfId="275" applyFont="1" applyFill="1" applyBorder="1"/>
    <xf numFmtId="0" fontId="167" fillId="73" borderId="0" xfId="275" applyFont="1" applyFill="1" applyBorder="1" applyProtection="1"/>
    <xf numFmtId="0" fontId="167" fillId="73" borderId="0" xfId="275" applyFont="1" applyFill="1" applyBorder="1" applyAlignment="1" applyProtection="1">
      <alignment horizontal="center"/>
    </xf>
    <xf numFmtId="1" fontId="167" fillId="73" borderId="0" xfId="275" applyNumberFormat="1" applyFont="1" applyFill="1" applyBorder="1" applyProtection="1"/>
    <xf numFmtId="0" fontId="63" fillId="47" borderId="45" xfId="275" applyFont="1" applyFill="1" applyBorder="1" applyProtection="1"/>
    <xf numFmtId="0" fontId="166" fillId="90" borderId="45" xfId="275" applyFont="1" applyFill="1" applyBorder="1" applyAlignment="1" applyProtection="1">
      <alignment horizontal="center" vertical="top" wrapText="1"/>
    </xf>
    <xf numFmtId="0" fontId="166" fillId="90" borderId="45" xfId="275" applyFont="1" applyFill="1" applyBorder="1" applyAlignment="1" applyProtection="1">
      <alignment vertical="top" wrapText="1"/>
    </xf>
    <xf numFmtId="0" fontId="166" fillId="91" borderId="45" xfId="275" applyFont="1" applyFill="1" applyBorder="1" applyAlignment="1" applyProtection="1">
      <alignment horizontal="center" vertical="top" wrapText="1"/>
    </xf>
    <xf numFmtId="0" fontId="166" fillId="91" borderId="72" xfId="275" applyFont="1" applyFill="1" applyBorder="1" applyAlignment="1" applyProtection="1">
      <alignment vertical="top" wrapText="1"/>
    </xf>
    <xf numFmtId="0" fontId="166" fillId="91" borderId="45" xfId="275" applyFont="1" applyFill="1" applyBorder="1" applyAlignment="1" applyProtection="1">
      <alignment vertical="top" wrapText="1"/>
    </xf>
    <xf numFmtId="0" fontId="62" fillId="47" borderId="331" xfId="275" applyFont="1" applyFill="1" applyBorder="1" applyProtection="1"/>
    <xf numFmtId="49" fontId="7" fillId="92" borderId="340" xfId="275" applyNumberFormat="1" applyFont="1" applyFill="1" applyBorder="1" applyAlignment="1">
      <alignment horizontal="right" indent="1"/>
    </xf>
    <xf numFmtId="49" fontId="7" fillId="90" borderId="341" xfId="275" applyNumberFormat="1" applyFont="1" applyFill="1" applyBorder="1"/>
    <xf numFmtId="49" fontId="7" fillId="90" borderId="342" xfId="275" applyNumberFormat="1" applyFont="1" applyFill="1" applyBorder="1" applyAlignment="1" applyProtection="1">
      <alignment horizontal="right" indent="1"/>
    </xf>
    <xf numFmtId="49" fontId="7" fillId="92" borderId="343" xfId="275" applyNumberFormat="1" applyFont="1" applyFill="1" applyBorder="1"/>
    <xf numFmtId="49" fontId="7" fillId="93" borderId="344" xfId="275" applyNumberFormat="1" applyFont="1" applyFill="1" applyBorder="1" applyAlignment="1">
      <alignment horizontal="right" indent="1"/>
    </xf>
    <xf numFmtId="49" fontId="7" fillId="91" borderId="345" xfId="275" applyNumberFormat="1" applyFont="1" applyFill="1" applyBorder="1"/>
    <xf numFmtId="49" fontId="7" fillId="94" borderId="346" xfId="275" applyNumberFormat="1" applyFont="1" applyFill="1" applyBorder="1" applyAlignment="1" applyProtection="1">
      <alignment horizontal="right" indent="1"/>
    </xf>
    <xf numFmtId="49" fontId="7" fillId="95" borderId="343" xfId="275" applyNumberFormat="1" applyFont="1" applyFill="1" applyBorder="1"/>
    <xf numFmtId="0" fontId="62" fillId="47" borderId="332" xfId="275" applyFont="1" applyFill="1" applyBorder="1" applyProtection="1"/>
    <xf numFmtId="49" fontId="7" fillId="92" borderId="342" xfId="275" applyNumberFormat="1" applyFont="1" applyFill="1" applyBorder="1" applyAlignment="1">
      <alignment horizontal="right" indent="1"/>
    </xf>
    <xf numFmtId="49" fontId="7" fillId="92" borderId="342" xfId="275" applyNumberFormat="1" applyFont="1" applyFill="1" applyBorder="1"/>
    <xf numFmtId="49" fontId="7" fillId="93" borderId="347" xfId="275" applyNumberFormat="1" applyFont="1" applyFill="1" applyBorder="1" applyAlignment="1">
      <alignment horizontal="right" indent="1"/>
    </xf>
    <xf numFmtId="49" fontId="7" fillId="91" borderId="341" xfId="275" applyNumberFormat="1" applyFont="1" applyFill="1" applyBorder="1"/>
    <xf numFmtId="49" fontId="7" fillId="95" borderId="342" xfId="275" applyNumberFormat="1" applyFont="1" applyFill="1" applyBorder="1"/>
    <xf numFmtId="49" fontId="7" fillId="92" borderId="343" xfId="275" applyNumberFormat="1" applyFont="1" applyFill="1" applyBorder="1" applyAlignment="1">
      <alignment horizontal="right" indent="1"/>
    </xf>
    <xf numFmtId="49" fontId="7" fillId="93" borderId="348" xfId="275" applyNumberFormat="1" applyFont="1" applyFill="1" applyBorder="1" applyAlignment="1">
      <alignment horizontal="right" indent="1"/>
    </xf>
    <xf numFmtId="0" fontId="62" fillId="47" borderId="335" xfId="275" applyFont="1" applyFill="1" applyBorder="1" applyProtection="1"/>
    <xf numFmtId="49" fontId="7" fillId="92" borderId="91" xfId="275" applyNumberFormat="1" applyFont="1" applyFill="1" applyBorder="1" applyAlignment="1">
      <alignment horizontal="right" indent="1"/>
    </xf>
    <xf numFmtId="49" fontId="7" fillId="90" borderId="349" xfId="275" applyNumberFormat="1" applyFont="1" applyFill="1" applyBorder="1"/>
    <xf numFmtId="49" fontId="7" fillId="90" borderId="350" xfId="275" applyNumberFormat="1" applyFont="1" applyFill="1" applyBorder="1" applyAlignment="1" applyProtection="1">
      <alignment horizontal="right" indent="1"/>
    </xf>
    <xf numFmtId="49" fontId="7" fillId="92" borderId="91" xfId="275" applyNumberFormat="1" applyFont="1" applyFill="1" applyBorder="1"/>
    <xf numFmtId="49" fontId="7" fillId="93" borderId="246" xfId="275" applyNumberFormat="1" applyFont="1" applyFill="1" applyBorder="1" applyAlignment="1">
      <alignment horizontal="right" indent="1"/>
    </xf>
    <xf numFmtId="49" fontId="7" fillId="91" borderId="349" xfId="275" applyNumberFormat="1" applyFont="1" applyFill="1" applyBorder="1"/>
    <xf numFmtId="49" fontId="7" fillId="94" borderId="351" xfId="275" applyNumberFormat="1" applyFont="1" applyFill="1" applyBorder="1" applyAlignment="1" applyProtection="1">
      <alignment horizontal="right" indent="1"/>
    </xf>
    <xf numFmtId="49" fontId="7" fillId="95" borderId="91" xfId="275" applyNumberFormat="1" applyFont="1" applyFill="1" applyBorder="1"/>
    <xf numFmtId="0" fontId="165" fillId="0" borderId="0" xfId="306" applyFont="1" applyFill="1" applyBorder="1"/>
    <xf numFmtId="0" fontId="7" fillId="33" borderId="211" xfId="0" applyFont="1" applyFill="1" applyBorder="1" applyAlignment="1">
      <alignment horizontal="left" vertical="center" wrapText="1" indent="1"/>
    </xf>
    <xf numFmtId="0" fontId="7" fillId="31" borderId="55" xfId="0" applyFont="1" applyFill="1" applyBorder="1" applyAlignment="1" applyProtection="1">
      <alignment horizontal="right" vertical="center" wrapText="1"/>
      <protection locked="0"/>
    </xf>
    <xf numFmtId="0" fontId="7" fillId="31" borderId="56" xfId="0" applyFont="1" applyFill="1" applyBorder="1" applyAlignment="1" applyProtection="1">
      <alignment horizontal="right" vertical="center" wrapText="1"/>
      <protection locked="0"/>
    </xf>
    <xf numFmtId="0" fontId="7" fillId="31" borderId="59" xfId="0" applyFont="1" applyFill="1" applyBorder="1" applyAlignment="1" applyProtection="1">
      <alignment horizontal="right" vertical="center" wrapText="1"/>
      <protection locked="0"/>
    </xf>
    <xf numFmtId="43" fontId="10" fillId="31" borderId="50" xfId="0" applyNumberFormat="1" applyFont="1" applyFill="1" applyBorder="1" applyAlignment="1">
      <alignment horizontal="left" vertical="center" wrapText="1" indent="1"/>
    </xf>
    <xf numFmtId="43" fontId="7" fillId="31" borderId="50" xfId="0" applyNumberFormat="1" applyFont="1" applyFill="1" applyBorder="1" applyAlignment="1">
      <alignment horizontal="left" vertical="center" wrapText="1" indent="1"/>
    </xf>
    <xf numFmtId="0" fontId="7" fillId="38" borderId="50" xfId="0" applyFont="1" applyFill="1" applyBorder="1" applyAlignment="1">
      <alignment horizontal="left" vertical="center" wrapText="1" indent="1"/>
    </xf>
    <xf numFmtId="43" fontId="7" fillId="31" borderId="83" xfId="0" applyNumberFormat="1" applyFont="1" applyFill="1" applyBorder="1" applyAlignment="1">
      <alignment horizontal="left" vertical="center" wrapText="1" indent="1"/>
    </xf>
    <xf numFmtId="0" fontId="7" fillId="30" borderId="45" xfId="0" applyFont="1" applyFill="1" applyBorder="1" applyAlignment="1">
      <alignment horizontal="left" vertical="center" wrapText="1"/>
    </xf>
    <xf numFmtId="0" fontId="0" fillId="0" borderId="0" xfId="0" applyAlignment="1">
      <alignment wrapText="1"/>
    </xf>
    <xf numFmtId="0" fontId="7" fillId="0" borderId="50" xfId="144" applyFont="1" applyBorder="1" applyAlignment="1" applyProtection="1">
      <alignment horizontal="left" vertical="center" wrapText="1" indent="3"/>
    </xf>
    <xf numFmtId="0" fontId="7" fillId="33" borderId="46" xfId="0" applyFont="1" applyFill="1" applyBorder="1" applyAlignment="1">
      <alignment horizontal="left" vertical="center" wrapText="1"/>
    </xf>
    <xf numFmtId="0" fontId="15" fillId="30" borderId="36" xfId="0" applyFont="1" applyFill="1" applyBorder="1" applyAlignment="1">
      <alignment vertical="center"/>
    </xf>
    <xf numFmtId="0" fontId="172" fillId="0" borderId="0" xfId="0" applyFont="1" applyFill="1"/>
    <xf numFmtId="0" fontId="13" fillId="0" borderId="0" xfId="38" quotePrefix="1" applyFill="1" applyAlignment="1" applyProtection="1"/>
    <xf numFmtId="0" fontId="174" fillId="0" borderId="0" xfId="38" quotePrefix="1" applyFont="1" applyFill="1" applyAlignment="1" applyProtection="1"/>
    <xf numFmtId="0" fontId="173" fillId="0" borderId="0" xfId="0" applyFont="1" applyFill="1"/>
    <xf numFmtId="0" fontId="7" fillId="33" borderId="35" xfId="0" applyFont="1" applyFill="1" applyBorder="1" applyAlignment="1" applyProtection="1">
      <alignment horizontal="right" vertical="center" wrapText="1"/>
      <protection locked="0"/>
    </xf>
    <xf numFmtId="0" fontId="67" fillId="29" borderId="36" xfId="412" applyFont="1" applyFill="1" applyBorder="1" applyAlignment="1">
      <alignment vertical="center"/>
    </xf>
    <xf numFmtId="0" fontId="67" fillId="29" borderId="35" xfId="412" applyFont="1" applyFill="1" applyBorder="1" applyAlignment="1">
      <alignment vertical="center"/>
    </xf>
    <xf numFmtId="0" fontId="15" fillId="29" borderId="35" xfId="412" applyFont="1" applyFill="1" applyBorder="1" applyAlignment="1">
      <alignment vertical="center"/>
    </xf>
    <xf numFmtId="0" fontId="15" fillId="29" borderId="34" xfId="412" applyFont="1" applyFill="1" applyBorder="1" applyAlignment="1">
      <alignment vertical="center"/>
    </xf>
    <xf numFmtId="0" fontId="16" fillId="33" borderId="87" xfId="412" applyFont="1" applyFill="1" applyBorder="1" applyAlignment="1">
      <alignment horizontal="left"/>
    </xf>
    <xf numFmtId="0" fontId="16" fillId="0" borderId="87" xfId="412" applyFont="1" applyFill="1" applyBorder="1" applyAlignment="1">
      <alignment horizontal="left"/>
    </xf>
    <xf numFmtId="0" fontId="7" fillId="33" borderId="142" xfId="412" applyFill="1" applyBorder="1"/>
    <xf numFmtId="0" fontId="16" fillId="33" borderId="47" xfId="412" applyFont="1" applyFill="1" applyBorder="1" applyAlignment="1">
      <alignment horizontal="left"/>
    </xf>
    <xf numFmtId="0" fontId="16" fillId="0" borderId="47" xfId="412" applyFont="1" applyFill="1" applyBorder="1" applyAlignment="1">
      <alignment horizontal="left"/>
    </xf>
    <xf numFmtId="0" fontId="41" fillId="33" borderId="55" xfId="412" applyFont="1" applyFill="1" applyBorder="1" applyAlignment="1">
      <alignment horizontal="left" vertical="center" wrapText="1"/>
    </xf>
    <xf numFmtId="0" fontId="41" fillId="33" borderId="133" xfId="412" applyFont="1" applyFill="1" applyBorder="1" applyAlignment="1">
      <alignment horizontal="left" vertical="center" wrapText="1"/>
    </xf>
    <xf numFmtId="0" fontId="41" fillId="0" borderId="133" xfId="412" applyFont="1" applyFill="1" applyBorder="1" applyAlignment="1">
      <alignment horizontal="left" vertical="center" wrapText="1"/>
    </xf>
    <xf numFmtId="0" fontId="67" fillId="36" borderId="207" xfId="412" applyFont="1" applyFill="1" applyBorder="1" applyAlignment="1">
      <alignment horizontal="center" vertical="center" wrapText="1"/>
    </xf>
    <xf numFmtId="0" fontId="67" fillId="36" borderId="64" xfId="412" applyFont="1" applyFill="1" applyBorder="1" applyAlignment="1">
      <alignment horizontal="center" vertical="center" wrapText="1"/>
    </xf>
    <xf numFmtId="0" fontId="67" fillId="36" borderId="67" xfId="412" applyFont="1" applyFill="1" applyBorder="1" applyAlignment="1">
      <alignment horizontal="center" vertical="center" wrapText="1"/>
    </xf>
    <xf numFmtId="0" fontId="10" fillId="29" borderId="46" xfId="412" applyFont="1" applyFill="1" applyBorder="1" applyAlignment="1">
      <alignment horizontal="left" vertical="center" wrapText="1"/>
    </xf>
    <xf numFmtId="0" fontId="7" fillId="29" borderId="46" xfId="412" applyFont="1" applyFill="1" applyBorder="1" applyAlignment="1">
      <alignment horizontal="right" vertical="center" wrapText="1"/>
    </xf>
    <xf numFmtId="0" fontId="7" fillId="29" borderId="60" xfId="412" applyFont="1" applyFill="1" applyBorder="1" applyAlignment="1">
      <alignment horizontal="right" vertical="center" wrapText="1"/>
    </xf>
    <xf numFmtId="0" fontId="7" fillId="29" borderId="63" xfId="412" applyFont="1" applyFill="1" applyBorder="1" applyAlignment="1">
      <alignment horizontal="right" vertical="center" wrapText="1"/>
    </xf>
    <xf numFmtId="0" fontId="17" fillId="18" borderId="46" xfId="412" applyFont="1" applyFill="1" applyBorder="1"/>
    <xf numFmtId="0" fontId="17" fillId="18" borderId="60" xfId="412" applyFont="1" applyFill="1" applyBorder="1"/>
    <xf numFmtId="0" fontId="17" fillId="18" borderId="63" xfId="412" applyFont="1" applyFill="1" applyBorder="1"/>
    <xf numFmtId="43" fontId="10" fillId="29" borderId="207" xfId="412" applyNumberFormat="1" applyFont="1" applyFill="1" applyBorder="1" applyAlignment="1">
      <alignment horizontal="right" vertical="center" wrapText="1"/>
    </xf>
    <xf numFmtId="43" fontId="10" fillId="29" borderId="64" xfId="412" applyNumberFormat="1" applyFont="1" applyFill="1" applyBorder="1" applyAlignment="1">
      <alignment horizontal="right" vertical="center" wrapText="1"/>
    </xf>
    <xf numFmtId="43" fontId="10" fillId="29" borderId="67" xfId="412" applyNumberFormat="1" applyFont="1" applyFill="1" applyBorder="1" applyAlignment="1">
      <alignment horizontal="right" vertical="center" wrapText="1"/>
    </xf>
    <xf numFmtId="0" fontId="7" fillId="33" borderId="51" xfId="412" applyFont="1" applyFill="1" applyBorder="1" applyAlignment="1" applyProtection="1">
      <alignment horizontal="right" vertical="center" wrapText="1"/>
      <protection locked="0"/>
    </xf>
    <xf numFmtId="0" fontId="7" fillId="33" borderId="69" xfId="412" applyFont="1" applyFill="1" applyBorder="1" applyAlignment="1" applyProtection="1">
      <alignment vertical="center" wrapText="1"/>
      <protection locked="0"/>
    </xf>
    <xf numFmtId="0" fontId="10" fillId="41" borderId="68" xfId="412" applyFont="1" applyFill="1" applyBorder="1" applyAlignment="1">
      <alignment horizontal="center" vertical="center" wrapText="1"/>
    </xf>
    <xf numFmtId="0" fontId="10" fillId="41" borderId="66" xfId="412" applyFont="1" applyFill="1" applyBorder="1" applyAlignment="1">
      <alignment horizontal="center" vertical="center" wrapText="1"/>
    </xf>
    <xf numFmtId="0" fontId="10" fillId="36" borderId="64" xfId="412" applyFont="1" applyFill="1" applyBorder="1" applyAlignment="1">
      <alignment horizontal="center" vertical="center" wrapText="1"/>
    </xf>
    <xf numFmtId="0" fontId="10" fillId="36" borderId="67" xfId="412" applyFont="1" applyFill="1" applyBorder="1" applyAlignment="1">
      <alignment horizontal="center" vertical="center" wrapText="1"/>
    </xf>
    <xf numFmtId="0" fontId="7" fillId="33" borderId="50" xfId="412" applyFont="1" applyFill="1" applyBorder="1" applyAlignment="1">
      <alignment horizontal="right" vertical="center" wrapText="1"/>
    </xf>
    <xf numFmtId="41" fontId="7" fillId="25" borderId="46" xfId="412" applyNumberFormat="1" applyFont="1" applyFill="1" applyBorder="1"/>
    <xf numFmtId="4" fontId="7" fillId="25" borderId="78" xfId="412" applyNumberFormat="1" applyFont="1" applyFill="1" applyBorder="1" applyAlignment="1" applyProtection="1">
      <alignment horizontal="right" vertical="center"/>
      <protection locked="0"/>
    </xf>
    <xf numFmtId="0" fontId="10" fillId="29" borderId="68" xfId="412" applyFont="1" applyFill="1" applyBorder="1" applyAlignment="1">
      <alignment horizontal="right" vertical="center" wrapText="1"/>
    </xf>
    <xf numFmtId="41" fontId="10" fillId="29" borderId="52" xfId="412" applyNumberFormat="1" applyFont="1" applyFill="1" applyBorder="1"/>
    <xf numFmtId="41" fontId="10" fillId="29" borderId="53" xfId="412" applyNumberFormat="1" applyFont="1" applyFill="1" applyBorder="1"/>
    <xf numFmtId="0" fontId="67" fillId="29" borderId="34" xfId="412" applyFont="1" applyFill="1" applyBorder="1" applyAlignment="1">
      <alignment vertical="center"/>
    </xf>
    <xf numFmtId="0" fontId="7" fillId="25" borderId="50" xfId="412" applyFont="1" applyFill="1" applyBorder="1" applyAlignment="1">
      <alignment horizontal="right" vertical="center" wrapText="1"/>
    </xf>
    <xf numFmtId="0" fontId="7" fillId="25" borderId="83" xfId="412" applyFont="1" applyFill="1" applyBorder="1" applyAlignment="1">
      <alignment horizontal="right" vertical="center" wrapText="1"/>
    </xf>
    <xf numFmtId="41" fontId="7" fillId="25" borderId="77" xfId="412" applyNumberFormat="1" applyFont="1" applyFill="1" applyBorder="1"/>
    <xf numFmtId="41" fontId="7" fillId="25" borderId="166" xfId="412" applyNumberFormat="1" applyFont="1" applyFill="1" applyBorder="1"/>
    <xf numFmtId="4" fontId="7" fillId="25" borderId="166" xfId="412" applyNumberFormat="1" applyFont="1" applyFill="1" applyBorder="1" applyAlignment="1" applyProtection="1">
      <alignment horizontal="right" vertical="center"/>
      <protection locked="0"/>
    </xf>
    <xf numFmtId="41" fontId="10" fillId="29" borderId="54" xfId="412" applyNumberFormat="1" applyFont="1" applyFill="1" applyBorder="1"/>
    <xf numFmtId="0" fontId="49" fillId="18" borderId="50" xfId="412" applyFont="1" applyFill="1" applyBorder="1"/>
    <xf numFmtId="0" fontId="7" fillId="29" borderId="83" xfId="412" applyFont="1" applyFill="1" applyBorder="1"/>
    <xf numFmtId="0" fontId="49" fillId="29" borderId="62" xfId="412" applyFont="1" applyFill="1" applyBorder="1"/>
    <xf numFmtId="0" fontId="49" fillId="29" borderId="76" xfId="412" applyFont="1" applyFill="1" applyBorder="1"/>
    <xf numFmtId="0" fontId="49" fillId="29" borderId="116" xfId="412" applyFont="1" applyFill="1" applyBorder="1"/>
    <xf numFmtId="0" fontId="10" fillId="14" borderId="0" xfId="412" applyFont="1" applyFill="1" applyBorder="1" applyAlignment="1">
      <alignment vertical="center"/>
    </xf>
    <xf numFmtId="0" fontId="7" fillId="14" borderId="0" xfId="412" applyFont="1" applyFill="1" applyBorder="1" applyAlignment="1">
      <alignment vertical="top" wrapText="1"/>
    </xf>
    <xf numFmtId="0" fontId="0" fillId="0" borderId="0" xfId="0" applyAlignment="1">
      <alignment vertical="center" wrapText="1"/>
    </xf>
    <xf numFmtId="0" fontId="0" fillId="0" borderId="0" xfId="0" applyAlignment="1">
      <alignment wrapText="1"/>
    </xf>
    <xf numFmtId="0" fontId="166" fillId="97" borderId="202" xfId="0" applyFont="1" applyFill="1" applyBorder="1" applyAlignment="1">
      <alignment vertical="center"/>
    </xf>
    <xf numFmtId="0" fontId="166" fillId="97" borderId="45" xfId="0" applyFont="1" applyFill="1" applyBorder="1" applyAlignment="1">
      <alignment vertical="center"/>
    </xf>
    <xf numFmtId="0" fontId="166" fillId="97" borderId="36" xfId="0" applyFont="1" applyFill="1" applyBorder="1" applyAlignment="1">
      <alignment vertical="center"/>
    </xf>
    <xf numFmtId="0" fontId="166" fillId="97" borderId="34" xfId="0" applyFont="1" applyFill="1" applyBorder="1" applyAlignment="1">
      <alignment vertical="center" wrapText="1"/>
    </xf>
    <xf numFmtId="0" fontId="0" fillId="0" borderId="0" xfId="0" applyBorder="1" applyAlignment="1">
      <alignment vertical="center"/>
    </xf>
    <xf numFmtId="0" fontId="10" fillId="25" borderId="140" xfId="0" applyFont="1" applyFill="1" applyBorder="1" applyAlignment="1">
      <alignment horizontal="left" indent="1"/>
    </xf>
    <xf numFmtId="0" fontId="10" fillId="25" borderId="141" xfId="0" applyFont="1" applyFill="1" applyBorder="1" applyAlignment="1">
      <alignment horizontal="left" indent="1"/>
    </xf>
    <xf numFmtId="164" fontId="7" fillId="38" borderId="64" xfId="30" applyNumberFormat="1" applyFont="1" applyFill="1" applyBorder="1"/>
    <xf numFmtId="177" fontId="7" fillId="38" borderId="82" xfId="30" applyNumberFormat="1" applyFont="1" applyFill="1" applyBorder="1"/>
    <xf numFmtId="177" fontId="7" fillId="38" borderId="206" xfId="30" applyNumberFormat="1" applyFont="1" applyFill="1" applyBorder="1"/>
    <xf numFmtId="177" fontId="83" fillId="38" borderId="60" xfId="30" applyNumberFormat="1" applyFont="1" applyFill="1" applyBorder="1"/>
    <xf numFmtId="177" fontId="83" fillId="38" borderId="46" xfId="30" applyNumberFormat="1" applyFont="1" applyFill="1" applyBorder="1"/>
    <xf numFmtId="6" fontId="10" fillId="38" borderId="60" xfId="0" applyNumberFormat="1" applyFont="1" applyFill="1" applyBorder="1" applyAlignment="1" applyProtection="1">
      <alignment horizontal="right" vertical="center"/>
      <protection locked="0"/>
    </xf>
    <xf numFmtId="0" fontId="10" fillId="38" borderId="46" xfId="0" applyFont="1" applyFill="1" applyBorder="1" applyAlignment="1" applyProtection="1">
      <alignment horizontal="right" vertical="center"/>
      <protection locked="0"/>
    </xf>
    <xf numFmtId="177" fontId="7" fillId="38" borderId="60" xfId="30" applyNumberFormat="1" applyFont="1" applyFill="1" applyBorder="1"/>
    <xf numFmtId="177" fontId="7" fillId="38" borderId="46" xfId="30" applyNumberFormat="1" applyFont="1" applyFill="1" applyBorder="1"/>
    <xf numFmtId="177" fontId="83" fillId="38" borderId="64" xfId="30" applyNumberFormat="1" applyFont="1" applyFill="1" applyBorder="1"/>
    <xf numFmtId="177" fontId="83" fillId="38" borderId="207" xfId="30" applyNumberFormat="1" applyFont="1" applyFill="1" applyBorder="1"/>
    <xf numFmtId="6" fontId="10" fillId="38" borderId="46" xfId="0" applyNumberFormat="1" applyFont="1" applyFill="1" applyBorder="1" applyAlignment="1" applyProtection="1">
      <alignment horizontal="right" vertical="center"/>
      <protection locked="0"/>
    </xf>
    <xf numFmtId="177" fontId="7" fillId="38" borderId="90" xfId="0" applyNumberFormat="1" applyFont="1" applyFill="1" applyBorder="1"/>
    <xf numFmtId="177" fontId="7" fillId="38" borderId="63" xfId="30" applyNumberFormat="1" applyFont="1" applyFill="1" applyBorder="1"/>
    <xf numFmtId="164" fontId="7" fillId="38" borderId="63" xfId="0" applyNumberFormat="1" applyFont="1" applyFill="1" applyBorder="1" applyAlignment="1" applyProtection="1">
      <alignment horizontal="right" vertical="center"/>
      <protection locked="0"/>
    </xf>
    <xf numFmtId="177" fontId="7" fillId="38" borderId="63" xfId="0" applyNumberFormat="1" applyFont="1" applyFill="1" applyBorder="1"/>
    <xf numFmtId="177" fontId="7" fillId="38" borderId="207" xfId="30" applyNumberFormat="1" applyFont="1" applyFill="1" applyBorder="1"/>
    <xf numFmtId="0" fontId="0" fillId="29" borderId="35" xfId="0" applyFill="1" applyBorder="1"/>
    <xf numFmtId="0" fontId="17" fillId="33" borderId="49" xfId="0" applyFont="1" applyFill="1" applyBorder="1" applyAlignment="1">
      <alignment horizontal="left" vertical="center" wrapText="1"/>
    </xf>
    <xf numFmtId="0" fontId="10" fillId="41" borderId="206" xfId="0" applyFont="1" applyFill="1" applyBorder="1" applyAlignment="1">
      <alignment horizontal="center" vertical="center" wrapText="1"/>
    </xf>
    <xf numFmtId="0" fontId="10" fillId="29" borderId="90" xfId="0" applyFont="1" applyFill="1" applyBorder="1" applyAlignment="1" applyProtection="1">
      <alignment horizontal="right" vertical="center"/>
      <protection locked="0"/>
    </xf>
    <xf numFmtId="0" fontId="0" fillId="31" borderId="46" xfId="0" applyFill="1" applyBorder="1"/>
    <xf numFmtId="10" fontId="7" fillId="18" borderId="60" xfId="44" applyNumberFormat="1" applyFont="1" applyFill="1" applyBorder="1" applyAlignment="1">
      <alignment vertical="center" wrapText="1"/>
    </xf>
    <xf numFmtId="0" fontId="10" fillId="31" borderId="63" xfId="0" applyFont="1" applyFill="1" applyBorder="1" applyAlignment="1" applyProtection="1">
      <alignment horizontal="right" vertical="center"/>
      <protection locked="0"/>
    </xf>
    <xf numFmtId="0" fontId="7" fillId="33" borderId="50" xfId="0" applyFont="1" applyFill="1" applyBorder="1"/>
    <xf numFmtId="0" fontId="7" fillId="33" borderId="68" xfId="0" applyFont="1" applyFill="1" applyBorder="1" applyAlignment="1">
      <alignment horizontal="left" vertical="center" wrapText="1"/>
    </xf>
    <xf numFmtId="0" fontId="0" fillId="31" borderId="207" xfId="0" applyFill="1" applyBorder="1"/>
    <xf numFmtId="164" fontId="82" fillId="38" borderId="67" xfId="44" applyNumberFormat="1" applyFont="1" applyFill="1" applyBorder="1"/>
    <xf numFmtId="0" fontId="10" fillId="41" borderId="21" xfId="0" applyFont="1" applyFill="1" applyBorder="1" applyAlignment="1">
      <alignment vertical="center" wrapText="1"/>
    </xf>
    <xf numFmtId="0" fontId="10" fillId="41" borderId="246" xfId="0" applyFont="1" applyFill="1" applyBorder="1" applyAlignment="1">
      <alignment vertical="center" wrapText="1"/>
    </xf>
    <xf numFmtId="0" fontId="10" fillId="41" borderId="142" xfId="0" applyFont="1" applyFill="1" applyBorder="1" applyAlignment="1">
      <alignment horizontal="center" vertical="center" wrapText="1"/>
    </xf>
    <xf numFmtId="0" fontId="10" fillId="41" borderId="96" xfId="0" applyFont="1" applyFill="1" applyBorder="1" applyAlignment="1">
      <alignment horizontal="center" vertical="center" wrapText="1"/>
    </xf>
    <xf numFmtId="0" fontId="10" fillId="41" borderId="108" xfId="0" applyFont="1" applyFill="1" applyBorder="1" applyAlignment="1">
      <alignment horizontal="center" vertical="center" wrapText="1"/>
    </xf>
    <xf numFmtId="0" fontId="7" fillId="33" borderId="49" xfId="0" applyFont="1" applyFill="1" applyBorder="1" applyAlignment="1">
      <alignment vertical="center" wrapText="1"/>
    </xf>
    <xf numFmtId="177" fontId="10" fillId="38" borderId="75" xfId="30" applyNumberFormat="1" applyFont="1" applyFill="1" applyBorder="1"/>
    <xf numFmtId="0" fontId="83" fillId="33" borderId="50" xfId="0" applyFont="1" applyFill="1" applyBorder="1" applyAlignment="1">
      <alignment vertical="center" wrapText="1"/>
    </xf>
    <xf numFmtId="177" fontId="134" fillId="38" borderId="77" xfId="30" applyNumberFormat="1" applyFont="1" applyFill="1" applyBorder="1"/>
    <xf numFmtId="177" fontId="83" fillId="38" borderId="63" xfId="30" applyNumberFormat="1" applyFont="1" applyFill="1" applyBorder="1"/>
    <xf numFmtId="0" fontId="0" fillId="31" borderId="50" xfId="0" applyFill="1" applyBorder="1" applyAlignment="1">
      <alignment wrapText="1"/>
    </xf>
    <xf numFmtId="0" fontId="10" fillId="38" borderId="77" xfId="0" applyFont="1" applyFill="1" applyBorder="1" applyAlignment="1" applyProtection="1">
      <alignment horizontal="right" vertical="center"/>
      <protection locked="0"/>
    </xf>
    <xf numFmtId="0" fontId="7" fillId="33" borderId="50" xfId="0" applyFont="1" applyFill="1" applyBorder="1" applyAlignment="1">
      <alignment vertical="center" wrapText="1"/>
    </xf>
    <xf numFmtId="177" fontId="10" fillId="38" borderId="77" xfId="30" applyNumberFormat="1" applyFont="1" applyFill="1" applyBorder="1"/>
    <xf numFmtId="0" fontId="83" fillId="33" borderId="68" xfId="0" applyFont="1" applyFill="1" applyBorder="1" applyAlignment="1">
      <alignment vertical="center" wrapText="1"/>
    </xf>
    <xf numFmtId="177" fontId="134" fillId="38" borderId="147" xfId="30" applyNumberFormat="1" applyFont="1" applyFill="1" applyBorder="1"/>
    <xf numFmtId="177" fontId="83" fillId="38" borderId="67" xfId="30" applyNumberFormat="1" applyFont="1" applyFill="1" applyBorder="1"/>
    <xf numFmtId="0" fontId="7" fillId="38" borderId="63" xfId="30" applyNumberFormat="1" applyFont="1" applyFill="1" applyBorder="1"/>
    <xf numFmtId="0" fontId="7" fillId="38" borderId="67" xfId="30" applyNumberFormat="1" applyFont="1" applyFill="1" applyBorder="1"/>
    <xf numFmtId="0" fontId="7" fillId="18" borderId="206" xfId="0" applyFont="1" applyFill="1" applyBorder="1" applyAlignment="1">
      <alignment vertical="center" wrapText="1"/>
    </xf>
    <xf numFmtId="0" fontId="10" fillId="33" borderId="207" xfId="0" applyFont="1" applyFill="1" applyBorder="1" applyAlignment="1">
      <alignment horizontal="left" vertical="center" wrapText="1"/>
    </xf>
    <xf numFmtId="3" fontId="7" fillId="18" borderId="60" xfId="0" applyNumberFormat="1" applyFont="1" applyFill="1" applyBorder="1"/>
    <xf numFmtId="41" fontId="10" fillId="29" borderId="64" xfId="0" applyNumberFormat="1" applyFont="1" applyFill="1" applyBorder="1"/>
    <xf numFmtId="41" fontId="89" fillId="38" borderId="55" xfId="0" applyNumberFormat="1" applyFont="1" applyFill="1" applyBorder="1"/>
    <xf numFmtId="41" fontId="89" fillId="38" borderId="56" xfId="0" applyNumberFormat="1" applyFont="1" applyFill="1" applyBorder="1"/>
    <xf numFmtId="41" fontId="89" fillId="38" borderId="59" xfId="0" applyNumberFormat="1" applyFont="1" applyFill="1" applyBorder="1"/>
    <xf numFmtId="41" fontId="89" fillId="38" borderId="46" xfId="0" applyNumberFormat="1" applyFont="1" applyFill="1" applyBorder="1"/>
    <xf numFmtId="41" fontId="89" fillId="38" borderId="60" xfId="0" applyNumberFormat="1" applyFont="1" applyFill="1" applyBorder="1"/>
    <xf numFmtId="41" fontId="89" fillId="38" borderId="63" xfId="0" applyNumberFormat="1" applyFont="1" applyFill="1" applyBorder="1"/>
    <xf numFmtId="41" fontId="175" fillId="29" borderId="48" xfId="0" applyNumberFormat="1" applyFont="1" applyFill="1" applyBorder="1"/>
    <xf numFmtId="41" fontId="175" fillId="29" borderId="64" xfId="0" applyNumberFormat="1" applyFont="1" applyFill="1" applyBorder="1"/>
    <xf numFmtId="41" fontId="175" fillId="29" borderId="67" xfId="0" applyNumberFormat="1" applyFont="1" applyFill="1" applyBorder="1"/>
    <xf numFmtId="0" fontId="7" fillId="38" borderId="78" xfId="0" applyFont="1" applyFill="1" applyBorder="1"/>
    <xf numFmtId="0" fontId="7" fillId="38" borderId="79" xfId="0" applyFont="1" applyFill="1" applyBorder="1"/>
    <xf numFmtId="0" fontId="7" fillId="38" borderId="80" xfId="0" applyFont="1" applyFill="1" applyBorder="1"/>
    <xf numFmtId="41" fontId="89" fillId="38" borderId="46" xfId="0" applyNumberFormat="1" applyFont="1" applyFill="1" applyBorder="1" applyAlignment="1">
      <alignment horizontal="left" vertical="top" wrapText="1"/>
    </xf>
    <xf numFmtId="41" fontId="89" fillId="38" borderId="60" xfId="0" applyNumberFormat="1" applyFont="1" applyFill="1" applyBorder="1" applyAlignment="1">
      <alignment horizontal="left" vertical="top" wrapText="1"/>
    </xf>
    <xf numFmtId="0" fontId="89" fillId="38" borderId="86" xfId="0" applyFont="1" applyFill="1" applyBorder="1" applyAlignment="1">
      <alignment horizontal="left" vertical="center" wrapText="1"/>
    </xf>
    <xf numFmtId="0" fontId="89" fillId="18" borderId="46" xfId="0" applyFont="1" applyFill="1" applyBorder="1" applyAlignment="1">
      <alignment horizontal="left" vertical="top" wrapText="1"/>
    </xf>
    <xf numFmtId="0" fontId="89" fillId="18" borderId="60" xfId="0" applyFont="1" applyFill="1" applyBorder="1" applyAlignment="1">
      <alignment horizontal="left" vertical="top" wrapText="1"/>
    </xf>
    <xf numFmtId="9" fontId="89" fillId="38" borderId="60" xfId="0" applyNumberFormat="1" applyFont="1" applyFill="1" applyBorder="1" applyAlignment="1">
      <alignment horizontal="left" vertical="top" wrapText="1"/>
    </xf>
    <xf numFmtId="0" fontId="89" fillId="38" borderId="60" xfId="0" applyNumberFormat="1" applyFont="1" applyFill="1" applyBorder="1" applyAlignment="1">
      <alignment horizontal="left" vertical="top" wrapText="1"/>
    </xf>
    <xf numFmtId="168" fontId="48" fillId="18" borderId="60" xfId="30" applyNumberFormat="1" applyFont="1" applyFill="1" applyBorder="1"/>
    <xf numFmtId="168" fontId="48" fillId="18" borderId="46" xfId="30" applyNumberFormat="1" applyFont="1" applyFill="1" applyBorder="1"/>
    <xf numFmtId="168" fontId="48" fillId="18" borderId="207" xfId="30" applyNumberFormat="1" applyFont="1" applyFill="1" applyBorder="1"/>
    <xf numFmtId="168" fontId="48" fillId="18" borderId="64" xfId="30" applyNumberFormat="1" applyFont="1" applyFill="1" applyBorder="1"/>
    <xf numFmtId="168" fontId="7" fillId="18" borderId="44" xfId="30" applyNumberFormat="1" applyFont="1" applyFill="1" applyBorder="1" applyAlignment="1" applyProtection="1">
      <alignment horizontal="right" vertical="center" wrapText="1"/>
      <protection locked="0"/>
    </xf>
    <xf numFmtId="168" fontId="7" fillId="18" borderId="82" xfId="30" applyNumberFormat="1" applyFont="1" applyFill="1" applyBorder="1" applyAlignment="1" applyProtection="1">
      <alignment horizontal="right" vertical="center" wrapText="1"/>
      <protection locked="0"/>
    </xf>
    <xf numFmtId="168" fontId="7" fillId="18" borderId="90" xfId="30" applyNumberFormat="1" applyFont="1" applyFill="1" applyBorder="1" applyAlignment="1" applyProtection="1">
      <alignment horizontal="right" vertical="center" wrapText="1"/>
      <protection locked="0"/>
    </xf>
    <xf numFmtId="168" fontId="7" fillId="18" borderId="46" xfId="30" applyNumberFormat="1" applyFont="1" applyFill="1" applyBorder="1" applyAlignment="1" applyProtection="1">
      <alignment horizontal="right" vertical="center" wrapText="1"/>
      <protection locked="0"/>
    </xf>
    <xf numFmtId="168" fontId="7" fillId="18" borderId="60" xfId="30" applyNumberFormat="1" applyFont="1" applyFill="1" applyBorder="1" applyAlignment="1" applyProtection="1">
      <alignment horizontal="right" vertical="center" wrapText="1"/>
      <protection locked="0"/>
    </xf>
    <xf numFmtId="168" fontId="7" fillId="18" borderId="63" xfId="30" applyNumberFormat="1" applyFont="1" applyFill="1" applyBorder="1" applyAlignment="1" applyProtection="1">
      <alignment horizontal="right" vertical="center" wrapText="1"/>
      <protection locked="0"/>
    </xf>
    <xf numFmtId="168" fontId="7" fillId="18" borderId="79" xfId="30" applyNumberFormat="1" applyFont="1" applyFill="1" applyBorder="1" applyAlignment="1" applyProtection="1">
      <alignment horizontal="right" vertical="center" wrapText="1"/>
      <protection locked="0"/>
    </xf>
    <xf numFmtId="168" fontId="7" fillId="18" borderId="64" xfId="30" applyNumberFormat="1" applyFont="1" applyFill="1" applyBorder="1" applyAlignment="1" applyProtection="1">
      <alignment horizontal="right" vertical="center" wrapText="1"/>
      <protection locked="0"/>
    </xf>
    <xf numFmtId="168" fontId="7" fillId="18" borderId="206" xfId="30" applyNumberFormat="1" applyFont="1" applyFill="1" applyBorder="1" applyAlignment="1" applyProtection="1">
      <alignment horizontal="right" vertical="center" wrapText="1"/>
      <protection locked="0"/>
    </xf>
    <xf numFmtId="168" fontId="7" fillId="18" borderId="78" xfId="30" applyNumberFormat="1" applyFont="1" applyFill="1" applyBorder="1" applyAlignment="1" applyProtection="1">
      <alignment horizontal="right" vertical="center" wrapText="1"/>
      <protection locked="0"/>
    </xf>
    <xf numFmtId="168" fontId="7" fillId="18" borderId="207" xfId="30" applyNumberFormat="1" applyFont="1" applyFill="1" applyBorder="1" applyAlignment="1" applyProtection="1">
      <alignment horizontal="right" vertical="center" wrapText="1"/>
      <protection locked="0"/>
    </xf>
    <xf numFmtId="168" fontId="7" fillId="18" borderId="80" xfId="30" applyNumberFormat="1" applyFont="1" applyFill="1" applyBorder="1" applyAlignment="1" applyProtection="1">
      <alignment horizontal="right" vertical="center" wrapText="1"/>
      <protection locked="0"/>
    </xf>
    <xf numFmtId="168" fontId="7" fillId="18" borderId="67" xfId="30" applyNumberFormat="1" applyFont="1" applyFill="1" applyBorder="1" applyAlignment="1" applyProtection="1">
      <alignment horizontal="right" vertical="center" wrapText="1"/>
      <protection locked="0"/>
    </xf>
    <xf numFmtId="168" fontId="7" fillId="18" borderId="48" xfId="30" applyNumberFormat="1" applyFont="1" applyFill="1" applyBorder="1" applyAlignment="1" applyProtection="1">
      <alignment horizontal="right" vertical="center" wrapText="1"/>
      <protection locked="0"/>
    </xf>
    <xf numFmtId="168" fontId="7" fillId="18" borderId="55" xfId="30" applyNumberFormat="1" applyFont="1" applyFill="1" applyBorder="1" applyAlignment="1" applyProtection="1">
      <alignment horizontal="right" vertical="center" wrapText="1"/>
      <protection locked="0"/>
    </xf>
    <xf numFmtId="168" fontId="7" fillId="18" borderId="56" xfId="30" applyNumberFormat="1" applyFont="1" applyFill="1" applyBorder="1" applyAlignment="1" applyProtection="1">
      <alignment horizontal="right" vertical="center" wrapText="1"/>
      <protection locked="0"/>
    </xf>
    <xf numFmtId="168" fontId="7" fillId="18" borderId="59" xfId="30" applyNumberFormat="1" applyFont="1" applyFill="1" applyBorder="1" applyAlignment="1" applyProtection="1">
      <alignment horizontal="right" vertical="center" wrapText="1"/>
      <protection locked="0"/>
    </xf>
    <xf numFmtId="168" fontId="7" fillId="31" borderId="55" xfId="30" applyNumberFormat="1" applyFont="1" applyFill="1" applyBorder="1" applyAlignment="1" applyProtection="1">
      <alignment horizontal="right" vertical="center" wrapText="1"/>
      <protection locked="0"/>
    </xf>
    <xf numFmtId="168" fontId="7" fillId="31" borderId="56" xfId="30" applyNumberFormat="1" applyFont="1" applyFill="1" applyBorder="1" applyAlignment="1" applyProtection="1">
      <alignment horizontal="right" vertical="center" wrapText="1"/>
      <protection locked="0"/>
    </xf>
    <xf numFmtId="168" fontId="7" fillId="31" borderId="59" xfId="30" applyNumberFormat="1" applyFont="1" applyFill="1" applyBorder="1" applyAlignment="1" applyProtection="1">
      <alignment horizontal="right" vertical="center" wrapText="1"/>
      <protection locked="0"/>
    </xf>
    <xf numFmtId="168" fontId="10" fillId="31" borderId="48" xfId="30" applyNumberFormat="1" applyFont="1" applyFill="1" applyBorder="1" applyAlignment="1">
      <alignment horizontal="left" vertical="center" wrapText="1"/>
    </xf>
    <xf numFmtId="168" fontId="10" fillId="31" borderId="64" xfId="30" applyNumberFormat="1" applyFont="1" applyFill="1" applyBorder="1" applyAlignment="1">
      <alignment horizontal="left" vertical="center" wrapText="1"/>
    </xf>
    <xf numFmtId="168" fontId="10" fillId="31" borderId="67" xfId="30" applyNumberFormat="1" applyFont="1" applyFill="1" applyBorder="1" applyAlignment="1">
      <alignment horizontal="left" vertical="center" wrapText="1"/>
    </xf>
    <xf numFmtId="168" fontId="7" fillId="25" borderId="60" xfId="30" applyNumberFormat="1" applyFont="1" applyFill="1" applyBorder="1" applyAlignment="1">
      <alignment horizontal="right" vertical="center" wrapText="1"/>
    </xf>
    <xf numFmtId="168" fontId="10" fillId="29" borderId="78" xfId="30" applyNumberFormat="1" applyFont="1" applyFill="1" applyBorder="1" applyAlignment="1">
      <alignment horizontal="right" vertical="center" wrapText="1"/>
    </xf>
    <xf numFmtId="168" fontId="10" fillId="29" borderId="79" xfId="30" applyNumberFormat="1" applyFont="1" applyFill="1" applyBorder="1" applyAlignment="1">
      <alignment horizontal="right" vertical="center" wrapText="1"/>
    </xf>
    <xf numFmtId="168" fontId="10" fillId="30" borderId="51" xfId="30" applyNumberFormat="1" applyFont="1" applyFill="1" applyBorder="1" applyAlignment="1">
      <alignment horizontal="right" vertical="center" wrapText="1"/>
    </xf>
    <xf numFmtId="168" fontId="10" fillId="30" borderId="52" xfId="30" applyNumberFormat="1" applyFont="1" applyFill="1" applyBorder="1" applyAlignment="1">
      <alignment horizontal="right" vertical="center" wrapText="1"/>
    </xf>
    <xf numFmtId="168" fontId="10" fillId="30" borderId="53" xfId="30" applyNumberFormat="1" applyFont="1" applyFill="1" applyBorder="1" applyAlignment="1">
      <alignment horizontal="right" vertical="center" wrapText="1"/>
    </xf>
    <xf numFmtId="168" fontId="48" fillId="18" borderId="66" xfId="30" applyNumberFormat="1" applyFont="1" applyFill="1" applyBorder="1"/>
    <xf numFmtId="168" fontId="48" fillId="18" borderId="67" xfId="30" applyNumberFormat="1" applyFont="1" applyFill="1" applyBorder="1"/>
    <xf numFmtId="168" fontId="48" fillId="18" borderId="63" xfId="30" applyNumberFormat="1" applyFont="1" applyFill="1" applyBorder="1"/>
    <xf numFmtId="0" fontId="10" fillId="36" borderId="35" xfId="144" applyFont="1" applyFill="1" applyBorder="1" applyAlignment="1" applyProtection="1">
      <alignment horizontal="center" vertical="center"/>
    </xf>
    <xf numFmtId="168" fontId="10" fillId="29" borderId="0" xfId="30" applyNumberFormat="1" applyFont="1" applyFill="1" applyBorder="1"/>
    <xf numFmtId="168" fontId="10" fillId="29" borderId="19" xfId="30" applyNumberFormat="1" applyFont="1" applyFill="1" applyBorder="1"/>
    <xf numFmtId="168" fontId="10" fillId="29" borderId="24" xfId="30" applyNumberFormat="1" applyFont="1" applyFill="1" applyBorder="1"/>
    <xf numFmtId="168" fontId="7" fillId="110" borderId="60" xfId="30" applyNumberFormat="1" applyFont="1" applyFill="1" applyBorder="1"/>
    <xf numFmtId="0" fontId="7" fillId="18" borderId="360" xfId="0" applyFont="1" applyFill="1" applyBorder="1" applyAlignment="1" applyProtection="1">
      <alignment vertical="center" wrapText="1"/>
      <protection locked="0"/>
    </xf>
    <xf numFmtId="0" fontId="7" fillId="18" borderId="361" xfId="0" applyFont="1" applyFill="1" applyBorder="1" applyAlignment="1" applyProtection="1">
      <alignment vertical="center" wrapText="1"/>
      <protection locked="0"/>
    </xf>
    <xf numFmtId="0" fontId="7" fillId="18" borderId="362" xfId="0" applyFont="1" applyFill="1" applyBorder="1" applyAlignment="1" applyProtection="1">
      <alignment vertical="center" wrapText="1"/>
      <protection locked="0"/>
    </xf>
    <xf numFmtId="0" fontId="0" fillId="33" borderId="246" xfId="0" applyFill="1" applyBorder="1"/>
    <xf numFmtId="0" fontId="0" fillId="33" borderId="359" xfId="0" applyFill="1" applyBorder="1"/>
    <xf numFmtId="168" fontId="7" fillId="18" borderId="133" xfId="30" applyNumberFormat="1" applyFont="1" applyFill="1" applyBorder="1" applyAlignment="1" applyProtection="1">
      <alignment horizontal="right" vertical="center" wrapText="1"/>
      <protection locked="0"/>
    </xf>
    <xf numFmtId="168" fontId="7" fillId="18" borderId="364" xfId="30" applyNumberFormat="1" applyFont="1" applyFill="1" applyBorder="1" applyAlignment="1" applyProtection="1">
      <alignment horizontal="right" vertical="center" wrapText="1"/>
      <protection locked="0"/>
    </xf>
    <xf numFmtId="168" fontId="7" fillId="18" borderId="365" xfId="30" applyNumberFormat="1" applyFont="1" applyFill="1" applyBorder="1" applyAlignment="1" applyProtection="1">
      <alignment horizontal="right" vertical="center" wrapText="1"/>
      <protection locked="0"/>
    </xf>
    <xf numFmtId="168" fontId="7" fillId="18" borderId="366" xfId="30" applyNumberFormat="1" applyFont="1" applyFill="1" applyBorder="1" applyAlignment="1" applyProtection="1">
      <alignment horizontal="right" vertical="center" wrapText="1"/>
      <protection locked="0"/>
    </xf>
    <xf numFmtId="168" fontId="7" fillId="18" borderId="367" xfId="30" applyNumberFormat="1" applyFont="1" applyFill="1" applyBorder="1" applyAlignment="1" applyProtection="1">
      <alignment horizontal="right" vertical="center" wrapText="1"/>
      <protection locked="0"/>
    </xf>
    <xf numFmtId="43" fontId="7" fillId="31" borderId="60" xfId="30" applyNumberFormat="1" applyFont="1" applyFill="1" applyBorder="1" applyAlignment="1" applyProtection="1">
      <alignment horizontal="right" vertical="center" wrapText="1"/>
      <protection locked="0"/>
    </xf>
    <xf numFmtId="43" fontId="7" fillId="31" borderId="44" xfId="30" applyNumberFormat="1" applyFont="1" applyFill="1" applyBorder="1" applyAlignment="1" applyProtection="1">
      <alignment horizontal="right" vertical="center" wrapText="1"/>
      <protection locked="0"/>
    </xf>
    <xf numFmtId="43" fontId="7" fillId="31" borderId="82" xfId="30" applyNumberFormat="1" applyFont="1" applyFill="1" applyBorder="1" applyAlignment="1" applyProtection="1">
      <alignment horizontal="right" vertical="center" wrapText="1"/>
      <protection locked="0"/>
    </xf>
    <xf numFmtId="43" fontId="7" fillId="31" borderId="90" xfId="30" applyNumberFormat="1" applyFont="1" applyFill="1" applyBorder="1" applyAlignment="1" applyProtection="1">
      <alignment horizontal="right" vertical="center" wrapText="1"/>
      <protection locked="0"/>
    </xf>
    <xf numFmtId="43" fontId="7" fillId="31" borderId="46" xfId="30" applyNumberFormat="1" applyFont="1" applyFill="1" applyBorder="1" applyAlignment="1" applyProtection="1">
      <alignment horizontal="right" vertical="center" wrapText="1"/>
      <protection locked="0"/>
    </xf>
    <xf numFmtId="43" fontId="7" fillId="31" borderId="63" xfId="30" applyNumberFormat="1" applyFont="1" applyFill="1" applyBorder="1" applyAlignment="1" applyProtection="1">
      <alignment horizontal="right" vertical="center" wrapText="1"/>
      <protection locked="0"/>
    </xf>
    <xf numFmtId="43" fontId="7" fillId="31" borderId="207" xfId="30" applyNumberFormat="1" applyFont="1" applyFill="1" applyBorder="1" applyAlignment="1" applyProtection="1">
      <alignment horizontal="right" vertical="center" wrapText="1"/>
      <protection locked="0"/>
    </xf>
    <xf numFmtId="43" fontId="7" fillId="31" borderId="64" xfId="30" applyNumberFormat="1" applyFont="1" applyFill="1" applyBorder="1" applyAlignment="1" applyProtection="1">
      <alignment horizontal="right" vertical="center" wrapText="1"/>
      <protection locked="0"/>
    </xf>
    <xf numFmtId="43" fontId="7" fillId="31" borderId="67" xfId="30" applyNumberFormat="1" applyFont="1" applyFill="1" applyBorder="1" applyAlignment="1" applyProtection="1">
      <alignment horizontal="right" vertical="center" wrapText="1"/>
      <protection locked="0"/>
    </xf>
    <xf numFmtId="168" fontId="10" fillId="31" borderId="55" xfId="30" applyNumberFormat="1" applyFont="1" applyFill="1" applyBorder="1" applyAlignment="1" applyProtection="1">
      <alignment horizontal="right" vertical="center" wrapText="1"/>
      <protection locked="0"/>
    </xf>
    <xf numFmtId="168" fontId="10" fillId="31" borderId="56" xfId="30" applyNumberFormat="1" applyFont="1" applyFill="1" applyBorder="1" applyAlignment="1" applyProtection="1">
      <alignment horizontal="right" vertical="center" wrapText="1"/>
      <protection locked="0"/>
    </xf>
    <xf numFmtId="168" fontId="10" fillId="31" borderId="59" xfId="30" applyNumberFormat="1" applyFont="1" applyFill="1" applyBorder="1" applyAlignment="1" applyProtection="1">
      <alignment horizontal="right" vertical="center" wrapText="1"/>
      <protection locked="0"/>
    </xf>
    <xf numFmtId="168" fontId="7" fillId="31" borderId="55" xfId="0" applyNumberFormat="1" applyFont="1" applyFill="1" applyBorder="1" applyAlignment="1" applyProtection="1">
      <alignment horizontal="right" vertical="center" wrapText="1"/>
      <protection locked="0"/>
    </xf>
    <xf numFmtId="168" fontId="7" fillId="31" borderId="56" xfId="0" applyNumberFormat="1" applyFont="1" applyFill="1" applyBorder="1" applyAlignment="1" applyProtection="1">
      <alignment horizontal="right" vertical="center" wrapText="1"/>
      <protection locked="0"/>
    </xf>
    <xf numFmtId="168" fontId="7" fillId="31" borderId="59" xfId="0" applyNumberFormat="1" applyFont="1" applyFill="1" applyBorder="1" applyAlignment="1" applyProtection="1">
      <alignment horizontal="right" vertical="center" wrapText="1"/>
      <protection locked="0"/>
    </xf>
    <xf numFmtId="168" fontId="10" fillId="31" borderId="70" xfId="30" applyNumberFormat="1" applyFont="1" applyFill="1" applyBorder="1" applyAlignment="1" applyProtection="1">
      <alignment horizontal="right" vertical="center" wrapText="1"/>
      <protection locked="0"/>
    </xf>
    <xf numFmtId="168" fontId="10" fillId="31" borderId="116" xfId="30" applyNumberFormat="1" applyFont="1" applyFill="1" applyBorder="1" applyAlignment="1" applyProtection="1">
      <alignment horizontal="right" vertical="center" wrapText="1"/>
      <protection locked="0"/>
    </xf>
    <xf numFmtId="168" fontId="10" fillId="31" borderId="66" xfId="30" applyNumberFormat="1" applyFont="1" applyFill="1" applyBorder="1" applyAlignment="1" applyProtection="1">
      <alignment horizontal="right" vertical="center" wrapText="1"/>
      <protection locked="0"/>
    </xf>
    <xf numFmtId="168" fontId="15" fillId="31" borderId="130" xfId="0" applyNumberFormat="1" applyFont="1" applyFill="1" applyBorder="1" applyAlignment="1">
      <alignment vertical="center"/>
    </xf>
    <xf numFmtId="168" fontId="15" fillId="31" borderId="131" xfId="0" applyNumberFormat="1" applyFont="1" applyFill="1" applyBorder="1" applyAlignment="1">
      <alignment vertical="center"/>
    </xf>
    <xf numFmtId="43" fontId="7" fillId="33" borderId="0" xfId="30" applyFill="1" applyProtection="1"/>
    <xf numFmtId="43" fontId="62" fillId="33" borderId="0" xfId="30" applyFont="1" applyFill="1" applyProtection="1"/>
    <xf numFmtId="43" fontId="62" fillId="33" borderId="0" xfId="30" applyFont="1" applyFill="1"/>
    <xf numFmtId="43" fontId="62" fillId="0" borderId="0" xfId="30" applyFont="1" applyAlignment="1" applyProtection="1">
      <alignment horizontal="left"/>
    </xf>
    <xf numFmtId="43" fontId="62" fillId="0" borderId="0" xfId="30" applyFont="1" applyAlignment="1" applyProtection="1">
      <alignment horizontal="left" wrapText="1"/>
    </xf>
    <xf numFmtId="0" fontId="10" fillId="36" borderId="21" xfId="144" applyFont="1" applyFill="1" applyBorder="1" applyAlignment="1" applyProtection="1">
      <alignment horizontal="center" vertical="center"/>
    </xf>
    <xf numFmtId="0" fontId="10" fillId="36" borderId="22" xfId="144" applyFont="1" applyFill="1" applyBorder="1" applyAlignment="1" applyProtection="1">
      <alignment horizontal="center" vertical="center"/>
    </xf>
    <xf numFmtId="0" fontId="10" fillId="36" borderId="23" xfId="144" applyFont="1" applyFill="1" applyBorder="1" applyAlignment="1" applyProtection="1">
      <alignment horizontal="center" vertical="center"/>
    </xf>
    <xf numFmtId="0" fontId="18" fillId="29" borderId="24" xfId="144" applyFont="1" applyFill="1" applyBorder="1" applyAlignment="1" applyProtection="1">
      <alignment horizontal="left" vertical="center"/>
    </xf>
    <xf numFmtId="166" fontId="7" fillId="25" borderId="46" xfId="30" applyNumberFormat="1" applyFont="1" applyFill="1" applyBorder="1" applyAlignment="1" applyProtection="1">
      <alignment vertical="center" wrapText="1"/>
      <protection locked="0"/>
    </xf>
    <xf numFmtId="166" fontId="7" fillId="25" borderId="60" xfId="30" applyNumberFormat="1" applyFont="1" applyFill="1" applyBorder="1" applyAlignment="1" applyProtection="1">
      <alignment vertical="center" wrapText="1"/>
      <protection locked="0"/>
    </xf>
    <xf numFmtId="166" fontId="7" fillId="25" borderId="86" xfId="30" applyNumberFormat="1" applyFont="1" applyFill="1" applyBorder="1" applyAlignment="1" applyProtection="1">
      <alignment vertical="center" wrapText="1"/>
      <protection locked="0"/>
    </xf>
    <xf numFmtId="166" fontId="7" fillId="25" borderId="78" xfId="30" applyNumberFormat="1" applyFont="1" applyFill="1" applyBorder="1" applyAlignment="1" applyProtection="1">
      <alignment vertical="center" wrapText="1"/>
      <protection locked="0"/>
    </xf>
    <xf numFmtId="166" fontId="7" fillId="25" borderId="79" xfId="30" applyNumberFormat="1" applyFont="1" applyFill="1" applyBorder="1" applyAlignment="1" applyProtection="1">
      <alignment vertical="center" wrapText="1"/>
      <protection locked="0"/>
    </xf>
    <xf numFmtId="166" fontId="7" fillId="25" borderId="87" xfId="30" applyNumberFormat="1" applyFont="1" applyFill="1" applyBorder="1" applyAlignment="1" applyProtection="1">
      <alignment vertical="center" wrapText="1"/>
      <protection locked="0"/>
    </xf>
    <xf numFmtId="166" fontId="7" fillId="25" borderId="207" xfId="30" applyNumberFormat="1" applyFont="1" applyFill="1" applyBorder="1" applyAlignment="1" applyProtection="1">
      <alignment vertical="center" wrapText="1"/>
      <protection locked="0"/>
    </xf>
    <xf numFmtId="166" fontId="7" fillId="25" borderId="64" xfId="30" applyNumberFormat="1" applyFont="1" applyFill="1" applyBorder="1" applyAlignment="1" applyProtection="1">
      <alignment vertical="center" wrapText="1"/>
      <protection locked="0"/>
    </xf>
    <xf numFmtId="166" fontId="7" fillId="25" borderId="88" xfId="30" applyNumberFormat="1" applyFont="1" applyFill="1" applyBorder="1" applyAlignment="1" applyProtection="1">
      <alignment vertical="center" wrapText="1"/>
      <protection locked="0"/>
    </xf>
    <xf numFmtId="166" fontId="51" fillId="57" borderId="249" xfId="30" applyNumberFormat="1" applyFont="1" applyFill="1" applyBorder="1" applyAlignment="1" applyProtection="1">
      <alignment vertical="center"/>
    </xf>
    <xf numFmtId="166" fontId="51" fillId="57" borderId="254" xfId="30" applyNumberFormat="1" applyFont="1" applyFill="1" applyBorder="1" applyAlignment="1" applyProtection="1">
      <alignment vertical="center"/>
    </xf>
    <xf numFmtId="166" fontId="51" fillId="57" borderId="91" xfId="30" applyNumberFormat="1" applyFont="1" applyFill="1" applyBorder="1" applyAlignment="1" applyProtection="1">
      <alignment horizontal="right" wrapText="1"/>
    </xf>
    <xf numFmtId="166" fontId="51" fillId="57" borderId="201" xfId="30" applyNumberFormat="1" applyFont="1" applyFill="1" applyBorder="1" applyAlignment="1" applyProtection="1">
      <alignment vertical="center"/>
    </xf>
    <xf numFmtId="166" fontId="10" fillId="25" borderId="206" xfId="144" applyNumberFormat="1" applyFont="1" applyFill="1" applyBorder="1" applyAlignment="1" applyProtection="1">
      <alignment vertical="center" wrapText="1"/>
      <protection locked="0"/>
    </xf>
    <xf numFmtId="166" fontId="10" fillId="25" borderId="82" xfId="144" applyNumberFormat="1" applyFont="1" applyFill="1" applyBorder="1" applyAlignment="1" applyProtection="1">
      <alignment vertical="center" wrapText="1"/>
      <protection locked="0"/>
    </xf>
    <xf numFmtId="166" fontId="10" fillId="25" borderId="206" xfId="30" applyNumberFormat="1" applyFont="1" applyFill="1" applyBorder="1" applyAlignment="1" applyProtection="1">
      <alignment vertical="center" wrapText="1"/>
      <protection locked="0"/>
    </xf>
    <xf numFmtId="166" fontId="10" fillId="25" borderId="82" xfId="30" applyNumberFormat="1" applyFont="1" applyFill="1" applyBorder="1" applyAlignment="1" applyProtection="1">
      <alignment vertical="center" wrapText="1"/>
      <protection locked="0"/>
    </xf>
    <xf numFmtId="166" fontId="10" fillId="25" borderId="85" xfId="30" applyNumberFormat="1" applyFont="1" applyFill="1" applyBorder="1" applyAlignment="1" applyProtection="1">
      <alignment vertical="center" wrapText="1"/>
      <protection locked="0"/>
    </xf>
    <xf numFmtId="43" fontId="62" fillId="33" borderId="0" xfId="144" applyNumberFormat="1" applyFont="1" applyFill="1"/>
    <xf numFmtId="0" fontId="7" fillId="33" borderId="50" xfId="0" applyFont="1" applyFill="1" applyBorder="1" applyAlignment="1">
      <alignment horizontal="left" vertical="center" wrapText="1" indent="4"/>
    </xf>
    <xf numFmtId="0" fontId="7" fillId="43" borderId="50" xfId="0" applyFont="1" applyFill="1" applyBorder="1" applyAlignment="1">
      <alignment horizontal="left" vertical="center" wrapText="1" indent="4"/>
    </xf>
    <xf numFmtId="0" fontId="10" fillId="43" borderId="50" xfId="0" applyFont="1" applyFill="1" applyBorder="1"/>
    <xf numFmtId="0" fontId="10" fillId="43" borderId="68" xfId="0" applyFont="1" applyFill="1" applyBorder="1"/>
    <xf numFmtId="0" fontId="10" fillId="33" borderId="50" xfId="0" applyFont="1" applyFill="1" applyBorder="1" applyAlignment="1">
      <alignment horizontal="left" vertical="center" wrapText="1"/>
    </xf>
    <xf numFmtId="0" fontId="10" fillId="43" borderId="50" xfId="0" applyFont="1" applyFill="1" applyBorder="1" applyAlignment="1">
      <alignment horizontal="left" vertical="center" wrapText="1"/>
    </xf>
    <xf numFmtId="43" fontId="7" fillId="0" borderId="0" xfId="0" applyNumberFormat="1" applyFont="1"/>
    <xf numFmtId="168" fontId="0" fillId="0" borderId="0" xfId="0" applyNumberFormat="1"/>
    <xf numFmtId="43" fontId="0" fillId="0" borderId="0" xfId="0" applyNumberFormat="1"/>
    <xf numFmtId="43" fontId="49" fillId="0" borderId="0" xfId="0" applyNumberFormat="1" applyFont="1"/>
    <xf numFmtId="0" fontId="15" fillId="111" borderId="35" xfId="0" applyFont="1" applyFill="1" applyBorder="1" applyAlignment="1">
      <alignment vertical="center"/>
    </xf>
    <xf numFmtId="0" fontId="15" fillId="111" borderId="34" xfId="0" applyFont="1" applyFill="1" applyBorder="1" applyAlignment="1">
      <alignment vertical="center"/>
    </xf>
    <xf numFmtId="0" fontId="67" fillId="111" borderId="48" xfId="0" applyFont="1" applyFill="1" applyBorder="1" applyAlignment="1">
      <alignment horizontal="center" vertical="center" wrapText="1"/>
    </xf>
    <xf numFmtId="0" fontId="67" fillId="111" borderId="64" xfId="0" applyFont="1" applyFill="1" applyBorder="1" applyAlignment="1">
      <alignment horizontal="center" vertical="center" wrapText="1"/>
    </xf>
    <xf numFmtId="0" fontId="67" fillId="111" borderId="67" xfId="0" applyFont="1" applyFill="1" applyBorder="1" applyAlignment="1">
      <alignment horizontal="center" vertical="center" wrapText="1"/>
    </xf>
    <xf numFmtId="0" fontId="7" fillId="111" borderId="50" xfId="0" applyFont="1" applyFill="1" applyBorder="1" applyAlignment="1">
      <alignment horizontal="left" vertical="center" wrapText="1" indent="1"/>
    </xf>
    <xf numFmtId="168" fontId="7" fillId="111" borderId="46" xfId="30" applyNumberFormat="1" applyFont="1" applyFill="1" applyBorder="1"/>
    <xf numFmtId="168" fontId="7" fillId="111" borderId="60" xfId="30" applyNumberFormat="1" applyFont="1" applyFill="1" applyBorder="1"/>
    <xf numFmtId="0" fontId="7" fillId="111" borderId="36" xfId="0" applyFont="1" applyFill="1" applyBorder="1" applyAlignment="1" applyProtection="1">
      <alignment vertical="center" wrapText="1"/>
      <protection locked="0"/>
    </xf>
    <xf numFmtId="0" fontId="7" fillId="111" borderId="35" xfId="0" applyFont="1" applyFill="1" applyBorder="1" applyAlignment="1" applyProtection="1">
      <alignment vertical="center" wrapText="1"/>
      <protection locked="0"/>
    </xf>
    <xf numFmtId="0" fontId="7" fillId="111" borderId="34" xfId="0" applyFont="1" applyFill="1" applyBorder="1" applyAlignment="1" applyProtection="1">
      <alignment vertical="center" wrapText="1"/>
      <protection locked="0"/>
    </xf>
    <xf numFmtId="0" fontId="0" fillId="111" borderId="0" xfId="0" applyFill="1"/>
    <xf numFmtId="0" fontId="7" fillId="111" borderId="46" xfId="0" applyFont="1" applyFill="1" applyBorder="1" applyAlignment="1" applyProtection="1">
      <alignment horizontal="right" vertical="center" wrapText="1"/>
      <protection locked="0"/>
    </xf>
    <xf numFmtId="0" fontId="7" fillId="111" borderId="60" xfId="0" applyFont="1" applyFill="1" applyBorder="1" applyAlignment="1" applyProtection="1">
      <alignment horizontal="right" vertical="center" wrapText="1"/>
      <protection locked="0"/>
    </xf>
    <xf numFmtId="0" fontId="7" fillId="111" borderId="63" xfId="0" applyFont="1" applyFill="1" applyBorder="1" applyAlignment="1" applyProtection="1">
      <alignment horizontal="right" vertical="center" wrapText="1"/>
      <protection locked="0"/>
    </xf>
    <xf numFmtId="0" fontId="67" fillId="111" borderId="36" xfId="0" applyFont="1" applyFill="1" applyBorder="1" applyAlignment="1">
      <alignment vertical="center"/>
    </xf>
    <xf numFmtId="0" fontId="10" fillId="111" borderId="126" xfId="0" applyFont="1" applyFill="1" applyBorder="1" applyAlignment="1">
      <alignment horizontal="left" vertical="center" wrapText="1" indent="1"/>
    </xf>
    <xf numFmtId="0" fontId="15" fillId="111" borderId="130" xfId="0" applyFont="1" applyFill="1" applyBorder="1" applyAlignment="1">
      <alignment vertical="center"/>
    </xf>
    <xf numFmtId="0" fontId="15" fillId="111" borderId="131" xfId="0" applyFont="1" applyFill="1" applyBorder="1" applyAlignment="1">
      <alignment vertical="center"/>
    </xf>
    <xf numFmtId="43" fontId="10" fillId="111" borderId="50" xfId="0" applyNumberFormat="1" applyFont="1" applyFill="1" applyBorder="1" applyAlignment="1">
      <alignment horizontal="left" vertical="center" wrapText="1" indent="1"/>
    </xf>
    <xf numFmtId="0" fontId="7" fillId="111" borderId="55" xfId="0" applyFont="1" applyFill="1" applyBorder="1" applyAlignment="1" applyProtection="1">
      <alignment horizontal="right" vertical="center" wrapText="1"/>
      <protection locked="0"/>
    </xf>
    <xf numFmtId="0" fontId="7" fillId="111" borderId="56" xfId="0" applyFont="1" applyFill="1" applyBorder="1" applyAlignment="1" applyProtection="1">
      <alignment horizontal="right" vertical="center" wrapText="1"/>
      <protection locked="0"/>
    </xf>
    <xf numFmtId="0" fontId="7" fillId="111" borderId="59" xfId="0" applyFont="1" applyFill="1" applyBorder="1" applyAlignment="1" applyProtection="1">
      <alignment horizontal="right" vertical="center" wrapText="1"/>
      <protection locked="0"/>
    </xf>
    <xf numFmtId="0" fontId="49" fillId="111" borderId="70" xfId="0" applyFont="1" applyFill="1" applyBorder="1" applyAlignment="1">
      <alignment horizontal="left" vertical="center" wrapText="1" indent="3"/>
    </xf>
    <xf numFmtId="43" fontId="7" fillId="111" borderId="50" xfId="0" applyNumberFormat="1" applyFont="1" applyFill="1" applyBorder="1" applyAlignment="1">
      <alignment horizontal="left" vertical="center" wrapText="1" indent="1"/>
    </xf>
    <xf numFmtId="43" fontId="10" fillId="111" borderId="48" xfId="30" applyFont="1" applyFill="1" applyBorder="1" applyAlignment="1">
      <alignment horizontal="left" vertical="center" wrapText="1"/>
    </xf>
    <xf numFmtId="43" fontId="10" fillId="111" borderId="64" xfId="30" applyFont="1" applyFill="1" applyBorder="1" applyAlignment="1">
      <alignment horizontal="left" vertical="center" wrapText="1"/>
    </xf>
    <xf numFmtId="43" fontId="10" fillId="111" borderId="67" xfId="30" applyFont="1" applyFill="1" applyBorder="1" applyAlignment="1">
      <alignment horizontal="left" vertical="center" wrapText="1"/>
    </xf>
    <xf numFmtId="0" fontId="7" fillId="111" borderId="50" xfId="0" applyFont="1" applyFill="1" applyBorder="1" applyAlignment="1">
      <alignment horizontal="left" vertical="center" wrapText="1" indent="3"/>
    </xf>
    <xf numFmtId="0" fontId="17" fillId="111" borderId="60" xfId="0" applyFont="1" applyFill="1" applyBorder="1" applyAlignment="1">
      <alignment horizontal="right" vertical="center" wrapText="1"/>
    </xf>
    <xf numFmtId="43" fontId="7" fillId="111" borderId="83" xfId="0" applyNumberFormat="1" applyFont="1" applyFill="1" applyBorder="1" applyAlignment="1">
      <alignment horizontal="left" vertical="center" wrapText="1" indent="1"/>
    </xf>
    <xf numFmtId="43" fontId="10" fillId="111" borderId="78" xfId="0" applyNumberFormat="1" applyFont="1" applyFill="1" applyBorder="1" applyAlignment="1">
      <alignment horizontal="right" vertical="center" wrapText="1"/>
    </xf>
    <xf numFmtId="43" fontId="10" fillId="111" borderId="79" xfId="0" applyNumberFormat="1" applyFont="1" applyFill="1" applyBorder="1" applyAlignment="1">
      <alignment horizontal="right" vertical="center" wrapText="1"/>
    </xf>
    <xf numFmtId="43" fontId="10" fillId="111" borderId="80" xfId="0" applyNumberFormat="1" applyFont="1" applyFill="1" applyBorder="1" applyAlignment="1">
      <alignment horizontal="right" vertical="center" wrapText="1"/>
    </xf>
    <xf numFmtId="0" fontId="7" fillId="111" borderId="45" xfId="0" applyFont="1" applyFill="1" applyBorder="1" applyAlignment="1">
      <alignment horizontal="left" vertical="center" wrapText="1"/>
    </xf>
    <xf numFmtId="168" fontId="10" fillId="111" borderId="51" xfId="0" applyNumberFormat="1" applyFont="1" applyFill="1" applyBorder="1" applyAlignment="1">
      <alignment horizontal="right" vertical="center" wrapText="1"/>
    </xf>
    <xf numFmtId="168" fontId="10" fillId="111" borderId="52" xfId="0" applyNumberFormat="1" applyFont="1" applyFill="1" applyBorder="1" applyAlignment="1">
      <alignment horizontal="right" vertical="center" wrapText="1"/>
    </xf>
    <xf numFmtId="168" fontId="10" fillId="111" borderId="53" xfId="0" applyNumberFormat="1" applyFont="1" applyFill="1" applyBorder="1" applyAlignment="1">
      <alignment horizontal="right" vertical="center" wrapText="1"/>
    </xf>
    <xf numFmtId="0" fontId="7" fillId="111" borderId="36" xfId="0" applyFont="1" applyFill="1" applyBorder="1" applyAlignment="1" applyProtection="1">
      <alignment horizontal="right" vertical="center" wrapText="1"/>
      <protection locked="0"/>
    </xf>
    <xf numFmtId="0" fontId="94" fillId="111" borderId="36" xfId="144" applyFont="1" applyFill="1" applyBorder="1" applyAlignment="1" applyProtection="1">
      <alignment horizontal="left" vertical="center"/>
      <protection locked="0"/>
    </xf>
    <xf numFmtId="0" fontId="7" fillId="111" borderId="22" xfId="144" applyFill="1" applyBorder="1"/>
    <xf numFmtId="0" fontId="7" fillId="111" borderId="23" xfId="144" applyFill="1" applyBorder="1"/>
    <xf numFmtId="0" fontId="7" fillId="111" borderId="19" xfId="144" applyFill="1" applyBorder="1"/>
    <xf numFmtId="0" fontId="69" fillId="111" borderId="23" xfId="144" applyFont="1" applyFill="1" applyBorder="1" applyAlignment="1" applyProtection="1">
      <alignment horizontal="right" vertical="center" wrapText="1"/>
    </xf>
    <xf numFmtId="0" fontId="69" fillId="111" borderId="24" xfId="144" applyFont="1" applyFill="1" applyBorder="1" applyAlignment="1">
      <alignment horizontal="right" vertical="center" wrapText="1"/>
    </xf>
    <xf numFmtId="0" fontId="10" fillId="111" borderId="186" xfId="144" applyFont="1" applyFill="1" applyBorder="1" applyAlignment="1" applyProtection="1">
      <alignment horizontal="right" vertical="center"/>
    </xf>
    <xf numFmtId="0" fontId="10" fillId="111" borderId="179" xfId="144" applyFont="1" applyFill="1" applyBorder="1" applyAlignment="1" applyProtection="1">
      <alignment horizontal="right" vertical="center"/>
    </xf>
    <xf numFmtId="0" fontId="10" fillId="111" borderId="37" xfId="144" applyFont="1" applyFill="1" applyBorder="1" applyAlignment="1" applyProtection="1">
      <alignment horizontal="right" vertical="center"/>
    </xf>
    <xf numFmtId="0" fontId="10" fillId="111" borderId="140" xfId="144" applyFont="1" applyFill="1" applyBorder="1" applyAlignment="1" applyProtection="1">
      <alignment vertical="center" wrapText="1"/>
    </xf>
    <xf numFmtId="2" fontId="10" fillId="111" borderId="187" xfId="144" applyNumberFormat="1" applyFont="1" applyFill="1" applyBorder="1" applyAlignment="1" applyProtection="1">
      <alignment vertical="center" wrapText="1"/>
      <protection locked="0"/>
    </xf>
    <xf numFmtId="167" fontId="51" fillId="111" borderId="188" xfId="144" applyNumberFormat="1" applyFont="1" applyFill="1" applyBorder="1" applyAlignment="1" applyProtection="1">
      <alignment horizontal="right" vertical="center" wrapText="1"/>
    </xf>
    <xf numFmtId="0" fontId="83" fillId="111" borderId="141" xfId="144" applyFont="1" applyFill="1" applyBorder="1" applyAlignment="1" applyProtection="1">
      <alignment horizontal="left" vertical="center" wrapText="1" indent="1"/>
    </xf>
    <xf numFmtId="0" fontId="7" fillId="111" borderId="189" xfId="144" applyFont="1" applyFill="1" applyBorder="1" applyAlignment="1" applyProtection="1">
      <alignment horizontal="right" vertical="center" wrapText="1"/>
    </xf>
    <xf numFmtId="167" fontId="7" fillId="111" borderId="190" xfId="144" applyNumberFormat="1" applyFont="1" applyFill="1" applyBorder="1" applyAlignment="1" applyProtection="1">
      <alignment horizontal="right" vertical="center" wrapText="1"/>
    </xf>
    <xf numFmtId="2" fontId="7" fillId="111" borderId="141" xfId="144" applyNumberFormat="1" applyFont="1" applyFill="1" applyBorder="1" applyAlignment="1" applyProtection="1">
      <alignment horizontal="left" vertical="top" wrapText="1" indent="1"/>
      <protection locked="0"/>
    </xf>
    <xf numFmtId="2" fontId="7" fillId="111" borderId="189" xfId="144" applyNumberFormat="1" applyFont="1" applyFill="1" applyBorder="1" applyAlignment="1" applyProtection="1">
      <alignment vertical="center" wrapText="1"/>
      <protection locked="0"/>
    </xf>
    <xf numFmtId="167" fontId="51" fillId="111" borderId="190" xfId="144" applyNumberFormat="1" applyFont="1" applyFill="1" applyBorder="1" applyAlignment="1" applyProtection="1">
      <alignment horizontal="right" vertical="center" wrapText="1"/>
    </xf>
    <xf numFmtId="2" fontId="7" fillId="111" borderId="141" xfId="144" applyNumberFormat="1" applyFont="1" applyFill="1" applyBorder="1" applyAlignment="1" applyProtection="1">
      <alignment horizontal="left" vertical="center" wrapText="1" indent="2"/>
      <protection locked="0"/>
    </xf>
    <xf numFmtId="2" fontId="7" fillId="111" borderId="146" xfId="144" applyNumberFormat="1" applyFont="1" applyFill="1" applyBorder="1" applyAlignment="1" applyProtection="1">
      <alignment horizontal="left" vertical="center" wrapText="1" indent="2"/>
      <protection locked="0"/>
    </xf>
    <xf numFmtId="0" fontId="69" fillId="111" borderId="249" xfId="144" applyFont="1" applyFill="1" applyBorder="1" applyAlignment="1" applyProtection="1">
      <alignment vertical="center" wrapText="1"/>
    </xf>
    <xf numFmtId="167" fontId="69" fillId="111" borderId="191" xfId="144" applyNumberFormat="1" applyFont="1" applyFill="1" applyBorder="1" applyAlignment="1" applyProtection="1">
      <alignment horizontal="right" vertical="center" wrapText="1"/>
    </xf>
    <xf numFmtId="167" fontId="69" fillId="111" borderId="192" xfId="144" applyNumberFormat="1" applyFont="1" applyFill="1" applyBorder="1" applyAlignment="1" applyProtection="1">
      <alignment horizontal="right" vertical="center" wrapText="1"/>
    </xf>
    <xf numFmtId="0" fontId="7" fillId="111" borderId="36" xfId="0" applyFont="1" applyFill="1" applyBorder="1" applyAlignment="1" applyProtection="1">
      <alignment horizontal="right" vertical="center" wrapText="1"/>
      <protection locked="0"/>
    </xf>
    <xf numFmtId="0" fontId="7" fillId="33" borderId="246" xfId="0" applyFont="1" applyFill="1" applyBorder="1" applyAlignment="1">
      <alignment vertical="center"/>
    </xf>
    <xf numFmtId="206" fontId="7" fillId="18" borderId="46" xfId="30" applyNumberFormat="1" applyFont="1" applyFill="1" applyBorder="1" applyAlignment="1">
      <alignment horizontal="right"/>
    </xf>
    <xf numFmtId="168" fontId="10" fillId="30" borderId="207" xfId="0" applyNumberFormat="1" applyFont="1" applyFill="1" applyBorder="1" applyAlignment="1">
      <alignment horizontal="left" vertical="center" wrapText="1"/>
    </xf>
    <xf numFmtId="168" fontId="10" fillId="30" borderId="66" xfId="30" applyNumberFormat="1" applyFont="1" applyFill="1" applyBorder="1"/>
    <xf numFmtId="168" fontId="10" fillId="30" borderId="64" xfId="30" applyNumberFormat="1" applyFont="1" applyFill="1" applyBorder="1"/>
    <xf numFmtId="168" fontId="10" fillId="30" borderId="67" xfId="30" applyNumberFormat="1" applyFont="1" applyFill="1" applyBorder="1"/>
    <xf numFmtId="168" fontId="7" fillId="25" borderId="72" xfId="30" applyNumberFormat="1" applyFont="1" applyFill="1" applyBorder="1" applyAlignment="1">
      <alignment wrapText="1"/>
    </xf>
    <xf numFmtId="0" fontId="0" fillId="25" borderId="73" xfId="0" applyFill="1" applyBorder="1" applyAlignment="1">
      <alignment wrapText="1"/>
    </xf>
    <xf numFmtId="44" fontId="87" fillId="25" borderId="73" xfId="31" applyFont="1" applyFill="1" applyBorder="1"/>
    <xf numFmtId="44" fontId="10" fillId="25" borderId="73" xfId="31" applyFont="1" applyFill="1" applyBorder="1"/>
    <xf numFmtId="44" fontId="10" fillId="25" borderId="73" xfId="0" applyNumberFormat="1" applyFont="1" applyFill="1" applyBorder="1"/>
    <xf numFmtId="0" fontId="7" fillId="22" borderId="19" xfId="0" applyFont="1" applyFill="1" applyBorder="1" applyAlignment="1" applyProtection="1">
      <alignment vertical="center" wrapText="1"/>
      <protection locked="0"/>
    </xf>
    <xf numFmtId="0" fontId="7" fillId="22" borderId="24" xfId="0" applyFont="1" applyFill="1" applyBorder="1" applyAlignment="1" applyProtection="1">
      <alignment vertical="center" wrapText="1"/>
      <protection locked="0"/>
    </xf>
    <xf numFmtId="0" fontId="7" fillId="33" borderId="71" xfId="305" applyFont="1" applyFill="1" applyBorder="1" applyAlignment="1">
      <alignment horizontal="left" vertical="center" wrapText="1" indent="2"/>
    </xf>
    <xf numFmtId="0" fontId="7" fillId="33" borderId="61" xfId="305" applyFont="1" applyFill="1" applyBorder="1" applyAlignment="1">
      <alignment horizontal="left" vertical="center" wrapText="1" indent="2"/>
    </xf>
    <xf numFmtId="0" fontId="10" fillId="33" borderId="227" xfId="305" applyFont="1" applyFill="1" applyBorder="1" applyAlignment="1">
      <alignment horizontal="left" vertical="center" wrapText="1" indent="2"/>
    </xf>
    <xf numFmtId="0" fontId="7" fillId="33" borderId="57" xfId="305" applyFont="1" applyFill="1" applyBorder="1" applyAlignment="1">
      <alignment horizontal="left" vertical="center" wrapText="1" indent="2"/>
    </xf>
    <xf numFmtId="0" fontId="10" fillId="33" borderId="65" xfId="305" applyFont="1" applyFill="1" applyBorder="1" applyAlignment="1">
      <alignment horizontal="left" vertical="center" wrapText="1" indent="2"/>
    </xf>
    <xf numFmtId="43" fontId="10" fillId="29" borderId="207" xfId="305" applyNumberFormat="1" applyFont="1" applyFill="1" applyBorder="1"/>
    <xf numFmtId="43" fontId="10" fillId="29" borderId="64" xfId="305" applyNumberFormat="1" applyFont="1" applyFill="1" applyBorder="1"/>
    <xf numFmtId="43" fontId="10" fillId="29" borderId="67" xfId="305" applyNumberFormat="1" applyFont="1" applyFill="1" applyBorder="1"/>
    <xf numFmtId="43" fontId="10" fillId="29" borderId="81" xfId="305" applyNumberFormat="1" applyFont="1" applyFill="1" applyBorder="1"/>
    <xf numFmtId="43" fontId="10" fillId="29" borderId="79" xfId="305" applyNumberFormat="1" applyFont="1" applyFill="1" applyBorder="1"/>
    <xf numFmtId="43" fontId="10" fillId="29" borderId="84" xfId="305" applyNumberFormat="1" applyFont="1" applyFill="1" applyBorder="1"/>
    <xf numFmtId="0" fontId="67" fillId="41" borderId="79" xfId="305" applyFont="1" applyFill="1" applyBorder="1" applyAlignment="1">
      <alignment horizontal="center" vertical="center" wrapText="1"/>
    </xf>
    <xf numFmtId="0" fontId="67" fillId="41" borderId="67" xfId="305" applyFont="1" applyFill="1" applyBorder="1" applyAlignment="1">
      <alignment horizontal="center" vertical="center" wrapText="1"/>
    </xf>
    <xf numFmtId="168" fontId="7" fillId="25" borderId="46" xfId="305" applyNumberFormat="1" applyFont="1" applyFill="1" applyBorder="1"/>
    <xf numFmtId="168" fontId="7" fillId="25" borderId="60" xfId="305" applyNumberFormat="1" applyFont="1" applyFill="1" applyBorder="1"/>
    <xf numFmtId="168" fontId="7" fillId="25" borderId="86" xfId="305" applyNumberFormat="1" applyFont="1" applyFill="1" applyBorder="1"/>
    <xf numFmtId="43" fontId="10" fillId="29" borderId="46" xfId="305" applyNumberFormat="1" applyFont="1" applyFill="1" applyBorder="1"/>
    <xf numFmtId="43" fontId="10" fillId="29" borderId="60" xfId="305" applyNumberFormat="1" applyFont="1" applyFill="1" applyBorder="1"/>
    <xf numFmtId="43" fontId="10" fillId="29" borderId="63" xfId="305" applyNumberFormat="1" applyFont="1" applyFill="1" applyBorder="1"/>
    <xf numFmtId="0" fontId="67" fillId="29" borderId="36" xfId="305" applyFont="1" applyFill="1" applyBorder="1" applyAlignment="1">
      <alignment vertical="center"/>
    </xf>
    <xf numFmtId="0" fontId="67" fillId="29" borderId="35" xfId="305" applyFont="1" applyFill="1" applyBorder="1" applyAlignment="1">
      <alignment vertical="center"/>
    </xf>
    <xf numFmtId="0" fontId="15" fillId="29" borderId="35" xfId="305" applyFont="1" applyFill="1" applyBorder="1" applyAlignment="1">
      <alignment vertical="center"/>
    </xf>
    <xf numFmtId="0" fontId="15" fillId="29" borderId="34" xfId="305" applyFont="1" applyFill="1" applyBorder="1" applyAlignment="1">
      <alignment vertical="center"/>
    </xf>
    <xf numFmtId="0" fontId="7" fillId="25" borderId="46" xfId="305" applyNumberFormat="1" applyFont="1" applyFill="1" applyBorder="1"/>
    <xf numFmtId="0" fontId="7" fillId="25" borderId="60" xfId="305" applyNumberFormat="1" applyFont="1" applyFill="1" applyBorder="1"/>
    <xf numFmtId="0" fontId="7" fillId="25" borderId="63" xfId="305" applyNumberFormat="1" applyFont="1" applyFill="1" applyBorder="1"/>
    <xf numFmtId="43" fontId="10" fillId="29" borderId="86" xfId="305" applyNumberFormat="1" applyFont="1" applyFill="1" applyBorder="1"/>
    <xf numFmtId="43" fontId="10" fillId="29" borderId="88" xfId="305" applyNumberFormat="1" applyFont="1" applyFill="1" applyBorder="1"/>
    <xf numFmtId="168" fontId="7" fillId="25" borderId="63" xfId="305" applyNumberFormat="1" applyFont="1" applyFill="1" applyBorder="1"/>
    <xf numFmtId="43" fontId="10" fillId="29" borderId="46" xfId="305" applyNumberFormat="1" applyFont="1" applyFill="1" applyBorder="1" applyAlignment="1">
      <alignment horizontal="right"/>
    </xf>
    <xf numFmtId="43" fontId="10" fillId="29" borderId="60" xfId="305" applyNumberFormat="1" applyFont="1" applyFill="1" applyBorder="1" applyAlignment="1">
      <alignment horizontal="right"/>
    </xf>
    <xf numFmtId="43" fontId="10" fillId="29" borderId="63" xfId="305" applyNumberFormat="1" applyFont="1" applyFill="1" applyBorder="1" applyAlignment="1">
      <alignment horizontal="right"/>
    </xf>
    <xf numFmtId="43" fontId="10" fillId="29" borderId="207" xfId="305" applyNumberFormat="1" applyFont="1" applyFill="1" applyBorder="1" applyAlignment="1">
      <alignment horizontal="right"/>
    </xf>
    <xf numFmtId="43" fontId="10" fillId="29" borderId="64" xfId="305" applyNumberFormat="1" applyFont="1" applyFill="1" applyBorder="1" applyAlignment="1">
      <alignment horizontal="right"/>
    </xf>
    <xf numFmtId="43" fontId="10" fillId="29" borderId="67" xfId="305" applyNumberFormat="1" applyFont="1" applyFill="1" applyBorder="1" applyAlignment="1">
      <alignment horizontal="right"/>
    </xf>
    <xf numFmtId="0" fontId="7" fillId="18" borderId="36" xfId="305" applyFont="1" applyFill="1" applyBorder="1" applyAlignment="1" applyProtection="1">
      <alignment vertical="center" wrapText="1"/>
      <protection locked="0"/>
    </xf>
    <xf numFmtId="0" fontId="7" fillId="18" borderId="35" xfId="305" applyFont="1" applyFill="1" applyBorder="1" applyAlignment="1" applyProtection="1">
      <alignment vertical="center" wrapText="1"/>
      <protection locked="0"/>
    </xf>
    <xf numFmtId="0" fontId="7" fillId="33" borderId="92" xfId="305" applyFont="1" applyFill="1" applyBorder="1" applyAlignment="1">
      <alignment horizontal="left" vertical="center" wrapText="1" indent="4"/>
    </xf>
    <xf numFmtId="0" fontId="7" fillId="33" borderId="93" xfId="305" applyFont="1" applyFill="1" applyBorder="1" applyAlignment="1">
      <alignment horizontal="left" vertical="center" wrapText="1" indent="4"/>
    </xf>
    <xf numFmtId="0" fontId="10" fillId="33" borderId="93" xfId="305" applyFont="1" applyFill="1" applyBorder="1" applyAlignment="1">
      <alignment horizontal="left" vertical="center" wrapText="1"/>
    </xf>
    <xf numFmtId="0" fontId="10" fillId="33" borderId="93" xfId="305" applyFont="1" applyFill="1" applyBorder="1"/>
    <xf numFmtId="168" fontId="10" fillId="29" borderId="46" xfId="305" applyNumberFormat="1" applyFont="1" applyFill="1" applyBorder="1"/>
    <xf numFmtId="0" fontId="10" fillId="33" borderId="94" xfId="305" applyFont="1" applyFill="1" applyBorder="1"/>
    <xf numFmtId="168" fontId="10" fillId="29" borderId="207" xfId="305" applyNumberFormat="1" applyFont="1" applyFill="1" applyBorder="1"/>
    <xf numFmtId="0" fontId="7" fillId="38" borderId="92" xfId="305" applyFont="1" applyFill="1" applyBorder="1" applyAlignment="1">
      <alignment horizontal="left" vertical="center" wrapText="1" indent="4"/>
    </xf>
    <xf numFmtId="168" fontId="10" fillId="38" borderId="55" xfId="305" applyNumberFormat="1" applyFont="1" applyFill="1" applyBorder="1" applyAlignment="1">
      <alignment horizontal="left" vertical="center" wrapText="1"/>
    </xf>
    <xf numFmtId="168" fontId="10" fillId="38" borderId="56" xfId="305" applyNumberFormat="1" applyFont="1" applyFill="1" applyBorder="1" applyAlignment="1">
      <alignment horizontal="left" vertical="center" wrapText="1"/>
    </xf>
    <xf numFmtId="168" fontId="10" fillId="38" borderId="59" xfId="305" applyNumberFormat="1" applyFont="1" applyFill="1" applyBorder="1" applyAlignment="1">
      <alignment horizontal="left" vertical="center" wrapText="1"/>
    </xf>
    <xf numFmtId="0" fontId="7" fillId="38" borderId="93" xfId="305" applyFont="1" applyFill="1" applyBorder="1" applyAlignment="1">
      <alignment horizontal="left" vertical="center" wrapText="1" indent="4"/>
    </xf>
    <xf numFmtId="168" fontId="10" fillId="38" borderId="46" xfId="305" applyNumberFormat="1" applyFont="1" applyFill="1" applyBorder="1" applyAlignment="1">
      <alignment horizontal="left" vertical="center" wrapText="1"/>
    </xf>
    <xf numFmtId="168" fontId="10" fillId="38" borderId="60" xfId="305" applyNumberFormat="1" applyFont="1" applyFill="1" applyBorder="1" applyAlignment="1">
      <alignment horizontal="left" vertical="center" wrapText="1"/>
    </xf>
    <xf numFmtId="168" fontId="10" fillId="38" borderId="63" xfId="305" applyNumberFormat="1" applyFont="1" applyFill="1" applyBorder="1" applyAlignment="1">
      <alignment horizontal="left" vertical="center" wrapText="1"/>
    </xf>
    <xf numFmtId="0" fontId="10" fillId="38" borderId="93" xfId="305" applyFont="1" applyFill="1" applyBorder="1" applyAlignment="1">
      <alignment horizontal="left" vertical="center" wrapText="1"/>
    </xf>
    <xf numFmtId="0" fontId="10" fillId="38" borderId="93" xfId="305" applyFont="1" applyFill="1" applyBorder="1"/>
    <xf numFmtId="168" fontId="10" fillId="29" borderId="46" xfId="305" applyNumberFormat="1" applyFont="1" applyFill="1" applyBorder="1" applyAlignment="1">
      <alignment horizontal="left" vertical="center" wrapText="1"/>
    </xf>
    <xf numFmtId="0" fontId="10" fillId="38" borderId="94" xfId="305" applyFont="1" applyFill="1" applyBorder="1"/>
    <xf numFmtId="168" fontId="10" fillId="29" borderId="207" xfId="305" applyNumberFormat="1" applyFont="1" applyFill="1" applyBorder="1" applyAlignment="1">
      <alignment horizontal="left" vertical="center" wrapText="1"/>
    </xf>
    <xf numFmtId="0" fontId="7" fillId="33" borderId="70" xfId="305" applyFont="1" applyFill="1" applyBorder="1" applyAlignment="1">
      <alignment horizontal="left" vertical="center" wrapText="1" indent="4"/>
    </xf>
    <xf numFmtId="0" fontId="10" fillId="33" borderId="50" xfId="305" applyFont="1" applyFill="1" applyBorder="1" applyAlignment="1">
      <alignment horizontal="left" vertical="center" wrapText="1" indent="2"/>
    </xf>
    <xf numFmtId="0" fontId="10" fillId="33" borderId="50" xfId="305" applyFont="1" applyFill="1" applyBorder="1" applyAlignment="1">
      <alignment horizontal="left" indent="2"/>
    </xf>
    <xf numFmtId="0" fontId="7" fillId="33" borderId="68" xfId="305" applyFont="1" applyFill="1" applyBorder="1" applyAlignment="1">
      <alignment horizontal="left" vertical="center" wrapText="1" indent="4"/>
    </xf>
    <xf numFmtId="168" fontId="10" fillId="38" borderId="206" xfId="305" applyNumberFormat="1" applyFont="1" applyFill="1" applyBorder="1"/>
    <xf numFmtId="168" fontId="10" fillId="38" borderId="82" xfId="305" applyNumberFormat="1" applyFont="1" applyFill="1" applyBorder="1"/>
    <xf numFmtId="168" fontId="10" fillId="38" borderId="90" xfId="305" applyNumberFormat="1" applyFont="1" applyFill="1" applyBorder="1"/>
    <xf numFmtId="168" fontId="10" fillId="38" borderId="207" xfId="305" applyNumberFormat="1" applyFont="1" applyFill="1" applyBorder="1"/>
    <xf numFmtId="168" fontId="10" fillId="38" borderId="64" xfId="305" applyNumberFormat="1" applyFont="1" applyFill="1" applyBorder="1"/>
    <xf numFmtId="168" fontId="10" fillId="38" borderId="67" xfId="305" applyNumberFormat="1" applyFont="1" applyFill="1" applyBorder="1"/>
    <xf numFmtId="0" fontId="7" fillId="33" borderId="92" xfId="305" applyFont="1" applyFill="1" applyBorder="1" applyAlignment="1">
      <alignment horizontal="left" vertical="center" wrapText="1" indent="2"/>
    </xf>
    <xf numFmtId="0" fontId="10" fillId="33" borderId="93" xfId="305" applyFont="1" applyFill="1" applyBorder="1" applyAlignment="1">
      <alignment horizontal="left" vertical="center" wrapText="1" indent="2"/>
    </xf>
    <xf numFmtId="0" fontId="10" fillId="33" borderId="93" xfId="305" applyFont="1" applyFill="1" applyBorder="1" applyAlignment="1">
      <alignment horizontal="left" indent="2"/>
    </xf>
    <xf numFmtId="0" fontId="10" fillId="33" borderId="94" xfId="305" applyFont="1" applyFill="1" applyBorder="1" applyAlignment="1">
      <alignment horizontal="left" indent="2"/>
    </xf>
    <xf numFmtId="0" fontId="7" fillId="33" borderId="94" xfId="305" applyFont="1" applyFill="1" applyBorder="1" applyAlignment="1">
      <alignment horizontal="left" vertical="center" wrapText="1" indent="4"/>
    </xf>
    <xf numFmtId="0" fontId="7" fillId="33" borderId="70" xfId="305" applyFont="1" applyFill="1" applyBorder="1" applyAlignment="1">
      <alignment horizontal="left" vertical="center" wrapText="1" indent="2"/>
    </xf>
    <xf numFmtId="168" fontId="10" fillId="29" borderId="55" xfId="305" applyNumberFormat="1" applyFont="1" applyFill="1" applyBorder="1"/>
    <xf numFmtId="168" fontId="10" fillId="29" borderId="56" xfId="305" applyNumberFormat="1" applyFont="1" applyFill="1" applyBorder="1"/>
    <xf numFmtId="168" fontId="10" fillId="29" borderId="59" xfId="305" applyNumberFormat="1" applyFont="1" applyFill="1" applyBorder="1"/>
    <xf numFmtId="168" fontId="10" fillId="29" borderId="64" xfId="305" applyNumberFormat="1" applyFont="1" applyFill="1" applyBorder="1"/>
    <xf numFmtId="168" fontId="10" fillId="29" borderId="67" xfId="305" applyNumberFormat="1" applyFont="1" applyFill="1" applyBorder="1"/>
    <xf numFmtId="0" fontId="10" fillId="39" borderId="207" xfId="305" applyFont="1" applyFill="1" applyBorder="1" applyAlignment="1" applyProtection="1">
      <alignment horizontal="center" vertical="center" wrapText="1"/>
      <protection locked="0"/>
    </xf>
    <xf numFmtId="0" fontId="10" fillId="39" borderId="64" xfId="305" applyFont="1" applyFill="1" applyBorder="1" applyAlignment="1" applyProtection="1">
      <alignment horizontal="center" vertical="center" wrapText="1"/>
      <protection locked="0"/>
    </xf>
    <xf numFmtId="0" fontId="10" fillId="39" borderId="67" xfId="305" applyFont="1" applyFill="1" applyBorder="1" applyAlignment="1" applyProtection="1">
      <alignment horizontal="center" vertical="center" wrapText="1"/>
      <protection locked="0"/>
    </xf>
    <xf numFmtId="0" fontId="10" fillId="40" borderId="55" xfId="305" applyFont="1" applyFill="1" applyBorder="1" applyAlignment="1" applyProtection="1">
      <alignment horizontal="center" vertical="center" wrapText="1"/>
      <protection locked="0"/>
    </xf>
    <xf numFmtId="0" fontId="10" fillId="40" borderId="56" xfId="305" applyFont="1" applyFill="1" applyBorder="1" applyAlignment="1" applyProtection="1">
      <alignment horizontal="center" vertical="center" wrapText="1"/>
      <protection locked="0"/>
    </xf>
    <xf numFmtId="0" fontId="10" fillId="40" borderId="133" xfId="305" applyFont="1" applyFill="1" applyBorder="1" applyAlignment="1" applyProtection="1">
      <alignment horizontal="center" vertical="center" wrapText="1"/>
      <protection locked="0"/>
    </xf>
    <xf numFmtId="0" fontId="10" fillId="39" borderId="85" xfId="305" applyFont="1" applyFill="1" applyBorder="1" applyAlignment="1" applyProtection="1">
      <alignment horizontal="center" vertical="center" wrapText="1"/>
      <protection locked="0"/>
    </xf>
    <xf numFmtId="0" fontId="10" fillId="40" borderId="206" xfId="305" applyFont="1" applyFill="1" applyBorder="1" applyAlignment="1" applyProtection="1">
      <alignment horizontal="center" vertical="center" wrapText="1"/>
      <protection locked="0"/>
    </xf>
    <xf numFmtId="0" fontId="10" fillId="40" borderId="82" xfId="305" applyFont="1" applyFill="1" applyBorder="1" applyAlignment="1" applyProtection="1">
      <alignment horizontal="center" vertical="center" wrapText="1"/>
      <protection locked="0"/>
    </xf>
    <xf numFmtId="0" fontId="10" fillId="40" borderId="85" xfId="305" applyFont="1" applyFill="1" applyBorder="1" applyAlignment="1" applyProtection="1">
      <alignment horizontal="center" vertical="center" wrapText="1"/>
      <protection locked="0"/>
    </xf>
    <xf numFmtId="0" fontId="10" fillId="40" borderId="207" xfId="305" applyFont="1" applyFill="1" applyBorder="1" applyAlignment="1" applyProtection="1">
      <alignment horizontal="center" vertical="center" wrapText="1"/>
      <protection locked="0"/>
    </xf>
    <xf numFmtId="0" fontId="10" fillId="40" borderId="64" xfId="305" applyFont="1" applyFill="1" applyBorder="1" applyAlignment="1" applyProtection="1">
      <alignment horizontal="center" vertical="center" wrapText="1"/>
      <protection locked="0"/>
    </xf>
    <xf numFmtId="0" fontId="10" fillId="40" borderId="88" xfId="305" applyFont="1" applyFill="1" applyBorder="1" applyAlignment="1" applyProtection="1">
      <alignment horizontal="center" vertical="center" wrapText="1"/>
      <protection locked="0"/>
    </xf>
    <xf numFmtId="0" fontId="10" fillId="39" borderId="88" xfId="305" applyFont="1" applyFill="1" applyBorder="1" applyAlignment="1" applyProtection="1">
      <alignment horizontal="center" vertical="center" wrapText="1"/>
      <protection locked="0"/>
    </xf>
    <xf numFmtId="0" fontId="7" fillId="18" borderId="55" xfId="30" applyNumberFormat="1" applyFont="1" applyFill="1" applyBorder="1"/>
    <xf numFmtId="0" fontId="7" fillId="18" borderId="78" xfId="30" applyNumberFormat="1" applyFont="1" applyFill="1" applyBorder="1"/>
    <xf numFmtId="168" fontId="7" fillId="18" borderId="108" xfId="30" applyNumberFormat="1" applyFont="1" applyFill="1" applyBorder="1"/>
    <xf numFmtId="0" fontId="7" fillId="18" borderId="207" xfId="30" applyNumberFormat="1" applyFont="1" applyFill="1" applyBorder="1"/>
    <xf numFmtId="0" fontId="7" fillId="18" borderId="206" xfId="30" applyNumberFormat="1" applyFont="1" applyFill="1" applyBorder="1"/>
    <xf numFmtId="168" fontId="7" fillId="29" borderId="19" xfId="30" applyNumberFormat="1" applyFont="1" applyFill="1" applyBorder="1"/>
    <xf numFmtId="168" fontId="7" fillId="29" borderId="0" xfId="30" applyNumberFormat="1" applyFont="1" applyFill="1" applyBorder="1"/>
    <xf numFmtId="168" fontId="7" fillId="29" borderId="24" xfId="30" applyNumberFormat="1" applyFont="1" applyFill="1" applyBorder="1"/>
    <xf numFmtId="0" fontId="10" fillId="33" borderId="0" xfId="305" applyFont="1" applyFill="1" applyBorder="1"/>
    <xf numFmtId="0" fontId="7" fillId="33" borderId="76" xfId="305" applyFont="1" applyFill="1" applyBorder="1" applyAlignment="1">
      <alignment horizontal="left" vertical="center" wrapText="1" indent="4"/>
    </xf>
    <xf numFmtId="0" fontId="10" fillId="33" borderId="76" xfId="305" applyFont="1" applyFill="1" applyBorder="1" applyAlignment="1">
      <alignment horizontal="left" vertical="center" wrapText="1"/>
    </xf>
    <xf numFmtId="0" fontId="10" fillId="33" borderId="116" xfId="305" applyFont="1" applyFill="1" applyBorder="1" applyAlignment="1">
      <alignment horizontal="left" vertical="center" wrapText="1"/>
    </xf>
    <xf numFmtId="0" fontId="7" fillId="0" borderId="0" xfId="305" applyFont="1" applyFill="1" applyBorder="1" applyAlignment="1" applyProtection="1">
      <alignment vertical="center" wrapText="1"/>
      <protection locked="0"/>
    </xf>
    <xf numFmtId="168" fontId="7" fillId="38" borderId="46" xfId="305" applyNumberFormat="1" applyFont="1" applyFill="1" applyBorder="1"/>
    <xf numFmtId="168" fontId="7" fillId="38" borderId="60" xfId="305" applyNumberFormat="1" applyFont="1" applyFill="1" applyBorder="1"/>
    <xf numFmtId="168" fontId="7" fillId="38" borderId="63" xfId="305" applyNumberFormat="1" applyFont="1" applyFill="1" applyBorder="1"/>
    <xf numFmtId="0" fontId="10" fillId="38" borderId="92" xfId="305" applyFont="1" applyFill="1" applyBorder="1" applyAlignment="1">
      <alignment horizontal="left" vertical="center" wrapText="1"/>
    </xf>
    <xf numFmtId="168" fontId="10" fillId="31" borderId="62" xfId="305" applyNumberFormat="1" applyFont="1" applyFill="1" applyBorder="1" applyAlignment="1">
      <alignment horizontal="left" vertical="center"/>
    </xf>
    <xf numFmtId="168" fontId="10" fillId="31" borderId="60" xfId="305" applyNumberFormat="1" applyFont="1" applyFill="1" applyBorder="1" applyAlignment="1">
      <alignment horizontal="left" vertical="center"/>
    </xf>
    <xf numFmtId="168" fontId="10" fillId="31" borderId="86" xfId="305" applyNumberFormat="1" applyFont="1" applyFill="1" applyBorder="1" applyAlignment="1">
      <alignment horizontal="left" vertical="center"/>
    </xf>
    <xf numFmtId="168" fontId="10" fillId="31" borderId="46" xfId="305" applyNumberFormat="1" applyFont="1" applyFill="1" applyBorder="1" applyAlignment="1">
      <alignment horizontal="left" vertical="center"/>
    </xf>
    <xf numFmtId="0" fontId="7" fillId="31" borderId="73" xfId="305" applyFill="1" applyBorder="1"/>
    <xf numFmtId="0" fontId="7" fillId="38" borderId="93" xfId="305" applyFont="1" applyFill="1" applyBorder="1" applyAlignment="1">
      <alignment horizontal="left" vertical="center" wrapText="1" indent="2"/>
    </xf>
    <xf numFmtId="0" fontId="7" fillId="25" borderId="36" xfId="305" applyFont="1" applyFill="1" applyBorder="1" applyAlignment="1" applyProtection="1">
      <alignment horizontal="left" vertical="center" wrapText="1"/>
      <protection locked="0"/>
    </xf>
    <xf numFmtId="0" fontId="7" fillId="25" borderId="35" xfId="305" applyFont="1" applyFill="1" applyBorder="1" applyAlignment="1" applyProtection="1">
      <alignment horizontal="left" vertical="center" wrapText="1"/>
      <protection locked="0"/>
    </xf>
    <xf numFmtId="0" fontId="7" fillId="25" borderId="34" xfId="305" applyFont="1" applyFill="1" applyBorder="1" applyAlignment="1" applyProtection="1">
      <alignment horizontal="left" vertical="center" wrapText="1"/>
      <protection locked="0"/>
    </xf>
    <xf numFmtId="168" fontId="7" fillId="29" borderId="207" xfId="30" applyNumberFormat="1" applyFont="1" applyFill="1" applyBorder="1" applyAlignment="1"/>
    <xf numFmtId="168" fontId="10" fillId="38" borderId="55" xfId="305" applyNumberFormat="1" applyFont="1" applyFill="1" applyBorder="1" applyAlignment="1">
      <alignment horizontal="left" vertical="center"/>
    </xf>
    <xf numFmtId="168" fontId="10" fillId="38" borderId="56" xfId="305" applyNumberFormat="1" applyFont="1" applyFill="1" applyBorder="1" applyAlignment="1">
      <alignment horizontal="left" vertical="center"/>
    </xf>
    <xf numFmtId="168" fontId="10" fillId="38" borderId="133" xfId="305" applyNumberFormat="1" applyFont="1" applyFill="1" applyBorder="1" applyAlignment="1">
      <alignment horizontal="left" vertical="center"/>
    </xf>
    <xf numFmtId="168" fontId="10" fillId="38" borderId="59" xfId="305" applyNumberFormat="1" applyFont="1" applyFill="1" applyBorder="1" applyAlignment="1">
      <alignment horizontal="left" vertical="center"/>
    </xf>
    <xf numFmtId="168" fontId="10" fillId="38" borderId="46" xfId="305" applyNumberFormat="1" applyFont="1" applyFill="1" applyBorder="1" applyAlignment="1">
      <alignment horizontal="left" vertical="center"/>
    </xf>
    <xf numFmtId="168" fontId="10" fillId="38" borderId="60" xfId="305" applyNumberFormat="1" applyFont="1" applyFill="1" applyBorder="1" applyAlignment="1">
      <alignment horizontal="left" vertical="center"/>
    </xf>
    <xf numFmtId="168" fontId="10" fillId="38" borderId="86" xfId="305" applyNumberFormat="1" applyFont="1" applyFill="1" applyBorder="1" applyAlignment="1">
      <alignment horizontal="left" vertical="center"/>
    </xf>
    <xf numFmtId="168" fontId="10" fillId="38" borderId="63" xfId="305" applyNumberFormat="1" applyFont="1" applyFill="1" applyBorder="1" applyAlignment="1">
      <alignment horizontal="left" vertical="center"/>
    </xf>
    <xf numFmtId="168" fontId="51" fillId="33" borderId="0" xfId="0" applyNumberFormat="1" applyFont="1" applyFill="1" applyBorder="1" applyAlignment="1" applyProtection="1">
      <alignment horizontal="left" vertical="center" wrapText="1"/>
      <protection locked="0"/>
    </xf>
    <xf numFmtId="168" fontId="7" fillId="0" borderId="0" xfId="0" applyNumberFormat="1" applyFont="1" applyFill="1" applyBorder="1" applyAlignment="1" applyProtection="1">
      <alignment horizontal="right" vertical="center" wrapText="1"/>
      <protection locked="0"/>
    </xf>
    <xf numFmtId="168" fontId="54" fillId="33" borderId="0" xfId="0" applyNumberFormat="1" applyFont="1" applyFill="1" applyBorder="1" applyAlignment="1" applyProtection="1">
      <alignment horizontal="left" vertical="center" wrapText="1"/>
      <protection locked="0"/>
    </xf>
    <xf numFmtId="43" fontId="10" fillId="111" borderId="207" xfId="30" applyFont="1" applyFill="1" applyBorder="1" applyAlignment="1">
      <alignment horizontal="left" vertical="center" wrapText="1"/>
    </xf>
    <xf numFmtId="0" fontId="79" fillId="33" borderId="21" xfId="0" applyFont="1" applyFill="1" applyBorder="1" applyAlignment="1">
      <alignment vertical="center"/>
    </xf>
    <xf numFmtId="0" fontId="79" fillId="33" borderId="22" xfId="0" applyFont="1" applyFill="1" applyBorder="1" applyAlignment="1">
      <alignment vertical="center"/>
    </xf>
    <xf numFmtId="0" fontId="79" fillId="33" borderId="23" xfId="0" applyFont="1" applyFill="1" applyBorder="1" applyAlignment="1">
      <alignment vertical="center"/>
    </xf>
    <xf numFmtId="0" fontId="15" fillId="33" borderId="36" xfId="0" applyFont="1" applyFill="1" applyBorder="1" applyAlignment="1">
      <alignment vertical="center"/>
    </xf>
    <xf numFmtId="0" fontId="15" fillId="33" borderId="35" xfId="0" applyFont="1" applyFill="1" applyBorder="1" applyAlignment="1">
      <alignment vertical="center"/>
    </xf>
    <xf numFmtId="0" fontId="15" fillId="33" borderId="34" xfId="0" applyFont="1" applyFill="1" applyBorder="1" applyAlignment="1">
      <alignment vertical="center"/>
    </xf>
    <xf numFmtId="0" fontId="10" fillId="33" borderId="207" xfId="0" applyFont="1" applyFill="1" applyBorder="1" applyAlignment="1">
      <alignment horizontal="center" vertical="center" wrapText="1"/>
    </xf>
    <xf numFmtId="0" fontId="10" fillId="33" borderId="64" xfId="0" applyFont="1" applyFill="1" applyBorder="1" applyAlignment="1">
      <alignment horizontal="center" vertical="center" wrapText="1"/>
    </xf>
    <xf numFmtId="0" fontId="10" fillId="33" borderId="67" xfId="0" applyFont="1" applyFill="1" applyBorder="1" applyAlignment="1">
      <alignment horizontal="center" vertical="center" wrapText="1"/>
    </xf>
    <xf numFmtId="0" fontId="7" fillId="113" borderId="44" xfId="0" applyFont="1" applyFill="1" applyBorder="1" applyAlignment="1" applyProtection="1">
      <alignment horizontal="right" vertical="center" wrapText="1"/>
      <protection locked="0"/>
    </xf>
    <xf numFmtId="0" fontId="7" fillId="113" borderId="82" xfId="0" applyFont="1" applyFill="1" applyBorder="1" applyAlignment="1" applyProtection="1">
      <alignment horizontal="right" vertical="center" wrapText="1"/>
      <protection locked="0"/>
    </xf>
    <xf numFmtId="0" fontId="7" fillId="113" borderId="90" xfId="0" applyFont="1" applyFill="1" applyBorder="1" applyAlignment="1" applyProtection="1">
      <alignment horizontal="right" vertical="center" wrapText="1"/>
      <protection locked="0"/>
    </xf>
    <xf numFmtId="0" fontId="7" fillId="113" borderId="50" xfId="0" applyFont="1" applyFill="1" applyBorder="1" applyAlignment="1" applyProtection="1">
      <alignment horizontal="right" vertical="center" wrapText="1"/>
      <protection locked="0"/>
    </xf>
    <xf numFmtId="0" fontId="7" fillId="113" borderId="46" xfId="0" applyFont="1" applyFill="1" applyBorder="1" applyAlignment="1" applyProtection="1">
      <alignment horizontal="right" vertical="center" wrapText="1"/>
      <protection locked="0"/>
    </xf>
    <xf numFmtId="0" fontId="7" fillId="113" borderId="60" xfId="0" applyFont="1" applyFill="1" applyBorder="1" applyAlignment="1" applyProtection="1">
      <alignment horizontal="right" vertical="center" wrapText="1"/>
      <protection locked="0"/>
    </xf>
    <xf numFmtId="0" fontId="7" fillId="113" borderId="63" xfId="0" applyFont="1" applyFill="1" applyBorder="1" applyAlignment="1" applyProtection="1">
      <alignment horizontal="right" vertical="center" wrapText="1"/>
      <protection locked="0"/>
    </xf>
    <xf numFmtId="0" fontId="7" fillId="113" borderId="83" xfId="0" applyFont="1" applyFill="1" applyBorder="1" applyAlignment="1" applyProtection="1">
      <alignment horizontal="right" vertical="center" wrapText="1"/>
      <protection locked="0"/>
    </xf>
    <xf numFmtId="0" fontId="7" fillId="113" borderId="78" xfId="0" applyFont="1" applyFill="1" applyBorder="1" applyAlignment="1" applyProtection="1">
      <alignment horizontal="right" vertical="center" wrapText="1"/>
      <protection locked="0"/>
    </xf>
    <xf numFmtId="0" fontId="7" fillId="113" borderId="79" xfId="0" applyFont="1" applyFill="1" applyBorder="1" applyAlignment="1" applyProtection="1">
      <alignment horizontal="right" vertical="center" wrapText="1"/>
      <protection locked="0"/>
    </xf>
    <xf numFmtId="0" fontId="7" fillId="113" borderId="80" xfId="0" applyFont="1" applyFill="1" applyBorder="1" applyAlignment="1" applyProtection="1">
      <alignment horizontal="right" vertical="center" wrapText="1"/>
      <protection locked="0"/>
    </xf>
    <xf numFmtId="41" fontId="10" fillId="113" borderId="36" xfId="0" applyNumberFormat="1" applyFont="1" applyFill="1" applyBorder="1"/>
    <xf numFmtId="43" fontId="10" fillId="113" borderId="51" xfId="0" applyNumberFormat="1" applyFont="1" applyFill="1" applyBorder="1"/>
    <xf numFmtId="43" fontId="10" fillId="113" borderId="52" xfId="0" applyNumberFormat="1" applyFont="1" applyFill="1" applyBorder="1"/>
    <xf numFmtId="43" fontId="10" fillId="113" borderId="53" xfId="0" applyNumberFormat="1" applyFont="1" applyFill="1" applyBorder="1"/>
    <xf numFmtId="0" fontId="7" fillId="113" borderId="45" xfId="0" applyFont="1" applyFill="1" applyBorder="1" applyAlignment="1" applyProtection="1">
      <alignment horizontal="right" vertical="center" wrapText="1"/>
      <protection locked="0"/>
    </xf>
    <xf numFmtId="0" fontId="7" fillId="113" borderId="36" xfId="0" applyFont="1" applyFill="1" applyBorder="1" applyAlignment="1" applyProtection="1">
      <alignment vertical="center" wrapText="1"/>
      <protection locked="0"/>
    </xf>
    <xf numFmtId="0" fontId="7" fillId="113" borderId="35" xfId="0" applyFont="1" applyFill="1" applyBorder="1" applyAlignment="1" applyProtection="1">
      <alignment vertical="center" wrapText="1"/>
      <protection locked="0"/>
    </xf>
    <xf numFmtId="0" fontId="7" fillId="113" borderId="34" xfId="0" applyFont="1" applyFill="1" applyBorder="1" applyAlignment="1" applyProtection="1">
      <alignment vertical="center" wrapText="1"/>
      <protection locked="0"/>
    </xf>
    <xf numFmtId="0" fontId="89" fillId="33" borderId="0" xfId="0" applyFont="1" applyFill="1"/>
    <xf numFmtId="0" fontId="89" fillId="18" borderId="55" xfId="0" applyFont="1" applyFill="1" applyBorder="1" applyAlignment="1">
      <alignment wrapText="1"/>
    </xf>
    <xf numFmtId="0" fontId="89" fillId="18" borderId="56" xfId="0" applyFont="1" applyFill="1" applyBorder="1" applyAlignment="1">
      <alignment wrapText="1"/>
    </xf>
    <xf numFmtId="168" fontId="89" fillId="38" borderId="206" xfId="30" applyNumberFormat="1" applyFont="1" applyFill="1" applyBorder="1"/>
    <xf numFmtId="168" fontId="89" fillId="38" borderId="82" xfId="30" applyNumberFormat="1" applyFont="1" applyFill="1" applyBorder="1"/>
    <xf numFmtId="168" fontId="89" fillId="38" borderId="90" xfId="30" applyNumberFormat="1" applyFont="1" applyFill="1" applyBorder="1"/>
    <xf numFmtId="164" fontId="89" fillId="38" borderId="206" xfId="44" applyNumberFormat="1" applyFont="1" applyFill="1" applyBorder="1"/>
    <xf numFmtId="164" fontId="89" fillId="38" borderId="82" xfId="44" applyNumberFormat="1" applyFont="1" applyFill="1" applyBorder="1"/>
    <xf numFmtId="164" fontId="89" fillId="38" borderId="90" xfId="44" applyNumberFormat="1" applyFont="1" applyFill="1" applyBorder="1"/>
    <xf numFmtId="0" fontId="89" fillId="0" borderId="0" xfId="0" applyFont="1"/>
    <xf numFmtId="41" fontId="89" fillId="38" borderId="46" xfId="0" applyNumberFormat="1" applyFont="1" applyFill="1" applyBorder="1" applyAlignment="1">
      <alignment wrapText="1"/>
    </xf>
    <xf numFmtId="41" fontId="89" fillId="38" borderId="60" xfId="0" applyNumberFormat="1" applyFont="1" applyFill="1" applyBorder="1" applyAlignment="1">
      <alignment wrapText="1"/>
    </xf>
    <xf numFmtId="168" fontId="89" fillId="38" borderId="55" xfId="30" applyNumberFormat="1" applyFont="1" applyFill="1" applyBorder="1"/>
    <xf numFmtId="168" fontId="89" fillId="38" borderId="56" xfId="30" applyNumberFormat="1" applyFont="1" applyFill="1" applyBorder="1"/>
    <xf numFmtId="168" fontId="89" fillId="38" borderId="59" xfId="30" applyNumberFormat="1" applyFont="1" applyFill="1" applyBorder="1"/>
    <xf numFmtId="164" fontId="89" fillId="38" borderId="55" xfId="44" applyNumberFormat="1" applyFont="1" applyFill="1" applyBorder="1"/>
    <xf numFmtId="164" fontId="89" fillId="38" borderId="56" xfId="44" applyNumberFormat="1" applyFont="1" applyFill="1" applyBorder="1"/>
    <xf numFmtId="164" fontId="89" fillId="38" borderId="59" xfId="44" applyNumberFormat="1" applyFont="1" applyFill="1" applyBorder="1"/>
    <xf numFmtId="0" fontId="89" fillId="18" borderId="46" xfId="0" applyFont="1" applyFill="1" applyBorder="1" applyAlignment="1">
      <alignment wrapText="1"/>
    </xf>
    <xf numFmtId="0" fontId="89" fillId="18" borderId="60" xfId="0" applyFont="1" applyFill="1" applyBorder="1" applyAlignment="1">
      <alignment wrapText="1"/>
    </xf>
    <xf numFmtId="168" fontId="89" fillId="38" borderId="46" xfId="30" applyNumberFormat="1" applyFont="1" applyFill="1" applyBorder="1"/>
    <xf numFmtId="168" fontId="89" fillId="38" borderId="60" xfId="30" applyNumberFormat="1" applyFont="1" applyFill="1" applyBorder="1"/>
    <xf numFmtId="168" fontId="89" fillId="38" borderId="63" xfId="30" applyNumberFormat="1" applyFont="1" applyFill="1" applyBorder="1"/>
    <xf numFmtId="164" fontId="89" fillId="38" borderId="46" xfId="44" applyNumberFormat="1" applyFont="1" applyFill="1" applyBorder="1"/>
    <xf numFmtId="164" fontId="89" fillId="38" borderId="60" xfId="44" applyNumberFormat="1" applyFont="1" applyFill="1" applyBorder="1"/>
    <xf numFmtId="164" fontId="89" fillId="38" borderId="63" xfId="44" applyNumberFormat="1" applyFont="1" applyFill="1" applyBorder="1"/>
    <xf numFmtId="168" fontId="89" fillId="38" borderId="207" xfId="30" applyNumberFormat="1" applyFont="1" applyFill="1" applyBorder="1"/>
    <xf numFmtId="168" fontId="89" fillId="38" borderId="64" xfId="30" applyNumberFormat="1" applyFont="1" applyFill="1" applyBorder="1"/>
    <xf numFmtId="168" fontId="89" fillId="38" borderId="67" xfId="30" applyNumberFormat="1" applyFont="1" applyFill="1" applyBorder="1"/>
    <xf numFmtId="164" fontId="89" fillId="38" borderId="207" xfId="44" applyNumberFormat="1" applyFont="1" applyFill="1" applyBorder="1"/>
    <xf numFmtId="164" fontId="89" fillId="38" borderId="64" xfId="44" applyNumberFormat="1" applyFont="1" applyFill="1" applyBorder="1"/>
    <xf numFmtId="164" fontId="89" fillId="38" borderId="67" xfId="44" applyNumberFormat="1" applyFont="1" applyFill="1" applyBorder="1"/>
    <xf numFmtId="0" fontId="89" fillId="33" borderId="0" xfId="0" applyFont="1" applyFill="1" applyBorder="1"/>
    <xf numFmtId="0" fontId="89" fillId="33" borderId="36" xfId="0" applyFont="1" applyFill="1" applyBorder="1" applyAlignment="1" applyProtection="1">
      <alignment horizontal="right" vertical="center" wrapText="1"/>
      <protection locked="0"/>
    </xf>
    <xf numFmtId="0" fontId="89" fillId="25" borderId="36" xfId="0" applyFont="1" applyFill="1" applyBorder="1" applyAlignment="1" applyProtection="1">
      <alignment vertical="center" wrapText="1"/>
      <protection locked="0"/>
    </xf>
    <xf numFmtId="0" fontId="89" fillId="25" borderId="35" xfId="0" applyFont="1" applyFill="1" applyBorder="1" applyAlignment="1" applyProtection="1">
      <alignment vertical="center" wrapText="1"/>
      <protection locked="0"/>
    </xf>
    <xf numFmtId="0" fontId="89" fillId="25" borderId="34" xfId="0" applyFont="1" applyFill="1" applyBorder="1" applyAlignment="1" applyProtection="1">
      <alignment vertical="center" wrapText="1"/>
      <protection locked="0"/>
    </xf>
    <xf numFmtId="0" fontId="89" fillId="38" borderId="36" xfId="0" applyFont="1" applyFill="1" applyBorder="1" applyAlignment="1" applyProtection="1">
      <alignment vertical="center" wrapText="1"/>
      <protection locked="0"/>
    </xf>
    <xf numFmtId="0" fontId="89" fillId="38" borderId="35" xfId="0" applyFont="1" applyFill="1" applyBorder="1" applyAlignment="1" applyProtection="1">
      <alignment vertical="center" wrapText="1"/>
      <protection locked="0"/>
    </xf>
    <xf numFmtId="0" fontId="89" fillId="38" borderId="34" xfId="0" applyFont="1" applyFill="1" applyBorder="1" applyAlignment="1" applyProtection="1">
      <alignment vertical="center" wrapText="1"/>
      <protection locked="0"/>
    </xf>
    <xf numFmtId="0" fontId="89" fillId="38" borderId="133" xfId="0" applyFont="1" applyFill="1" applyBorder="1" applyAlignment="1">
      <alignment horizontal="left" vertical="center" wrapText="1"/>
    </xf>
    <xf numFmtId="0" fontId="17" fillId="38" borderId="359" xfId="0" applyFont="1" applyFill="1" applyBorder="1" applyAlignment="1">
      <alignment horizontal="center" vertical="center" wrapText="1"/>
    </xf>
    <xf numFmtId="0" fontId="7" fillId="38" borderId="133" xfId="0" applyFont="1" applyFill="1" applyBorder="1" applyAlignment="1">
      <alignment horizontal="left" vertical="center" wrapText="1"/>
    </xf>
    <xf numFmtId="164" fontId="89" fillId="18" borderId="82" xfId="44" applyNumberFormat="1" applyFont="1" applyFill="1" applyBorder="1"/>
    <xf numFmtId="164" fontId="89" fillId="18" borderId="90" xfId="44" applyNumberFormat="1" applyFont="1" applyFill="1" applyBorder="1"/>
    <xf numFmtId="164" fontId="89" fillId="18" borderId="44" xfId="44" applyNumberFormat="1" applyFont="1" applyFill="1" applyBorder="1"/>
    <xf numFmtId="168" fontId="89" fillId="18" borderId="44" xfId="30" applyNumberFormat="1" applyFont="1" applyFill="1" applyBorder="1"/>
    <xf numFmtId="43" fontId="89" fillId="18" borderId="82" xfId="30" applyFont="1" applyFill="1" applyBorder="1"/>
    <xf numFmtId="43" fontId="89" fillId="18" borderId="369" xfId="30" applyFont="1" applyFill="1" applyBorder="1"/>
    <xf numFmtId="168" fontId="89" fillId="18" borderId="46" xfId="30" applyNumberFormat="1" applyFont="1" applyFill="1" applyBorder="1"/>
    <xf numFmtId="43" fontId="89" fillId="18" borderId="60" xfId="30" applyFont="1" applyFill="1" applyBorder="1"/>
    <xf numFmtId="164" fontId="89" fillId="18" borderId="60" xfId="44" applyNumberFormat="1" applyFont="1" applyFill="1" applyBorder="1"/>
    <xf numFmtId="164" fontId="89" fillId="18" borderId="46" xfId="44" applyNumberFormat="1" applyFont="1" applyFill="1" applyBorder="1"/>
    <xf numFmtId="43" fontId="89" fillId="18" borderId="366" xfId="30" applyFont="1" applyFill="1" applyBorder="1"/>
    <xf numFmtId="0" fontId="89" fillId="33" borderId="83" xfId="0" applyFont="1" applyFill="1" applyBorder="1" applyAlignment="1">
      <alignment horizontal="right" vertical="center" wrapText="1"/>
    </xf>
    <xf numFmtId="0" fontId="89" fillId="33" borderId="134" xfId="0" applyFont="1" applyFill="1" applyBorder="1" applyAlignment="1">
      <alignment horizontal="right" vertical="center" wrapText="1"/>
    </xf>
    <xf numFmtId="0" fontId="89" fillId="33" borderId="166" xfId="0" applyFont="1" applyFill="1" applyBorder="1" applyAlignment="1">
      <alignment horizontal="right" vertical="center" wrapText="1"/>
    </xf>
    <xf numFmtId="168" fontId="89" fillId="18" borderId="82" xfId="30" applyNumberFormat="1" applyFont="1" applyFill="1" applyBorder="1"/>
    <xf numFmtId="168" fontId="89" fillId="18" borderId="90" xfId="30" applyNumberFormat="1" applyFont="1" applyFill="1" applyBorder="1"/>
    <xf numFmtId="1" fontId="89" fillId="38" borderId="206" xfId="30" applyNumberFormat="1" applyFont="1" applyFill="1" applyBorder="1"/>
    <xf numFmtId="1" fontId="89" fillId="38" borderId="82" xfId="30" applyNumberFormat="1" applyFont="1" applyFill="1" applyBorder="1"/>
    <xf numFmtId="1" fontId="89" fillId="38" borderId="90" xfId="30" applyNumberFormat="1" applyFont="1" applyFill="1" applyBorder="1"/>
    <xf numFmtId="168" fontId="89" fillId="18" borderId="60" xfId="30" applyNumberFormat="1" applyFont="1" applyFill="1" applyBorder="1"/>
    <xf numFmtId="168" fontId="89" fillId="18" borderId="63" xfId="30" applyNumberFormat="1" applyFont="1" applyFill="1" applyBorder="1"/>
    <xf numFmtId="1" fontId="89" fillId="38" borderId="46" xfId="30" applyNumberFormat="1" applyFont="1" applyFill="1" applyBorder="1"/>
    <xf numFmtId="1" fontId="89" fillId="38" borderId="60" xfId="30" applyNumberFormat="1" applyFont="1" applyFill="1" applyBorder="1"/>
    <xf numFmtId="1" fontId="89" fillId="38" borderId="63" xfId="30" applyNumberFormat="1" applyFont="1" applyFill="1" applyBorder="1"/>
    <xf numFmtId="0" fontId="67" fillId="33" borderId="0" xfId="0" applyFont="1" applyFill="1"/>
    <xf numFmtId="168" fontId="67" fillId="38" borderId="48" xfId="30" applyNumberFormat="1" applyFont="1" applyFill="1" applyBorder="1"/>
    <xf numFmtId="1" fontId="67" fillId="38" borderId="64" xfId="44" applyNumberFormat="1" applyFont="1" applyFill="1" applyBorder="1"/>
    <xf numFmtId="168" fontId="67" fillId="38" borderId="64" xfId="30" applyNumberFormat="1" applyFont="1" applyFill="1" applyBorder="1"/>
    <xf numFmtId="168" fontId="67" fillId="38" borderId="67" xfId="30" applyNumberFormat="1" applyFont="1" applyFill="1" applyBorder="1"/>
    <xf numFmtId="1" fontId="67" fillId="38" borderId="48" xfId="44" applyNumberFormat="1" applyFont="1" applyFill="1" applyBorder="1"/>
    <xf numFmtId="168" fontId="67" fillId="38" borderId="370" xfId="30" applyNumberFormat="1" applyFont="1" applyFill="1" applyBorder="1"/>
    <xf numFmtId="1" fontId="67" fillId="38" borderId="207" xfId="44" applyNumberFormat="1" applyFont="1" applyFill="1" applyBorder="1"/>
    <xf numFmtId="1" fontId="67" fillId="38" borderId="67" xfId="44" applyNumberFormat="1" applyFont="1" applyFill="1" applyBorder="1"/>
    <xf numFmtId="0" fontId="67" fillId="0" borderId="0" xfId="0" applyFont="1"/>
    <xf numFmtId="164" fontId="89" fillId="18" borderId="63" xfId="44" applyNumberFormat="1" applyFont="1" applyFill="1" applyBorder="1"/>
    <xf numFmtId="164" fontId="89" fillId="18" borderId="89" xfId="44" applyNumberFormat="1" applyFont="1" applyFill="1" applyBorder="1"/>
    <xf numFmtId="164" fontId="89" fillId="18" borderId="62" xfId="44" applyNumberFormat="1" applyFont="1" applyFill="1" applyBorder="1"/>
    <xf numFmtId="164" fontId="89" fillId="18" borderId="67" xfId="44" applyNumberFormat="1" applyFont="1" applyFill="1" applyBorder="1"/>
    <xf numFmtId="41" fontId="7" fillId="38" borderId="63" xfId="0" applyNumberFormat="1" applyFont="1" applyFill="1" applyBorder="1"/>
    <xf numFmtId="3" fontId="7" fillId="18" borderId="63" xfId="0" applyNumberFormat="1" applyFont="1" applyFill="1" applyBorder="1"/>
    <xf numFmtId="41" fontId="10" fillId="29" borderId="67" xfId="0" applyNumberFormat="1" applyFont="1" applyFill="1" applyBorder="1"/>
    <xf numFmtId="0" fontId="17" fillId="38" borderId="78" xfId="0" applyFont="1" applyFill="1" applyBorder="1" applyAlignment="1">
      <alignment horizontal="right" vertical="center" wrapText="1"/>
    </xf>
    <xf numFmtId="0" fontId="17" fillId="38" borderId="79" xfId="0" applyFont="1" applyFill="1" applyBorder="1" applyAlignment="1">
      <alignment horizontal="right" vertical="center" wrapText="1"/>
    </xf>
    <xf numFmtId="0" fontId="17" fillId="38" borderId="80" xfId="0" applyFont="1" applyFill="1" applyBorder="1" applyAlignment="1">
      <alignment horizontal="right" vertical="center" wrapText="1"/>
    </xf>
    <xf numFmtId="0" fontId="7" fillId="33" borderId="46" xfId="0" applyFont="1" applyFill="1" applyBorder="1" applyAlignment="1">
      <alignment horizontal="left" vertical="center" wrapText="1"/>
    </xf>
    <xf numFmtId="0" fontId="7" fillId="33" borderId="206" xfId="0" applyFont="1" applyFill="1" applyBorder="1" applyAlignment="1">
      <alignment horizontal="left" vertical="center" wrapText="1"/>
    </xf>
    <xf numFmtId="0" fontId="7" fillId="18" borderId="71" xfId="0" applyFont="1" applyFill="1" applyBorder="1" applyAlignment="1" applyProtection="1">
      <alignment horizontal="right" vertical="center"/>
      <protection locked="0"/>
    </xf>
    <xf numFmtId="0" fontId="7" fillId="33" borderId="55" xfId="0" applyFont="1" applyFill="1" applyBorder="1" applyAlignment="1">
      <alignment horizontal="left" vertical="center" wrapText="1"/>
    </xf>
    <xf numFmtId="0" fontId="7" fillId="18" borderId="57" xfId="0" applyFont="1" applyFill="1" applyBorder="1" applyAlignment="1" applyProtection="1">
      <alignment horizontal="right" vertical="center"/>
      <protection locked="0"/>
    </xf>
    <xf numFmtId="0" fontId="7" fillId="18" borderId="61" xfId="0" applyFont="1" applyFill="1" applyBorder="1" applyAlignment="1" applyProtection="1">
      <alignment horizontal="right" vertical="center"/>
      <protection locked="0"/>
    </xf>
    <xf numFmtId="0" fontId="7" fillId="33" borderId="207" xfId="0" applyFont="1" applyFill="1" applyBorder="1" applyAlignment="1">
      <alignment horizontal="left" vertical="center" wrapText="1"/>
    </xf>
    <xf numFmtId="10" fontId="7" fillId="18" borderId="61" xfId="0" applyNumberFormat="1" applyFont="1" applyFill="1" applyBorder="1" applyAlignment="1" applyProtection="1">
      <alignment horizontal="right" vertical="center"/>
      <protection locked="0"/>
    </xf>
    <xf numFmtId="10" fontId="49" fillId="18" borderId="61" xfId="0" applyNumberFormat="1" applyFont="1" applyFill="1" applyBorder="1" applyAlignment="1" applyProtection="1">
      <alignment horizontal="right" vertical="center"/>
      <protection locked="0"/>
    </xf>
    <xf numFmtId="0" fontId="49" fillId="18" borderId="61" xfId="0" applyFont="1" applyFill="1" applyBorder="1" applyAlignment="1" applyProtection="1">
      <alignment horizontal="right" vertical="center"/>
      <protection locked="0"/>
    </xf>
    <xf numFmtId="10" fontId="49" fillId="18" borderId="65" xfId="0" applyNumberFormat="1" applyFont="1" applyFill="1" applyBorder="1" applyAlignment="1" applyProtection="1">
      <alignment horizontal="right" vertical="center"/>
      <protection locked="0"/>
    </xf>
    <xf numFmtId="0" fontId="7" fillId="33" borderId="46" xfId="0" applyFont="1" applyFill="1" applyBorder="1" applyAlignment="1">
      <alignment horizontal="left" vertical="center" wrapText="1"/>
    </xf>
    <xf numFmtId="0" fontId="7" fillId="18" borderId="65" xfId="0" applyFont="1" applyFill="1" applyBorder="1" applyAlignment="1" applyProtection="1">
      <alignment horizontal="right" vertical="center" wrapText="1"/>
      <protection locked="0"/>
    </xf>
    <xf numFmtId="0" fontId="7" fillId="18" borderId="84" xfId="0" applyFont="1" applyFill="1" applyBorder="1" applyAlignment="1" applyProtection="1">
      <alignment horizontal="right" vertical="center" wrapText="1"/>
      <protection locked="0"/>
    </xf>
    <xf numFmtId="0" fontId="7" fillId="33" borderId="78" xfId="0" applyFont="1" applyFill="1" applyBorder="1" applyAlignment="1">
      <alignment horizontal="left" vertical="center" wrapText="1"/>
    </xf>
    <xf numFmtId="0" fontId="7" fillId="18" borderId="71" xfId="0" applyFont="1" applyFill="1" applyBorder="1" applyAlignment="1" applyProtection="1">
      <alignment horizontal="right" vertical="center"/>
      <protection locked="0"/>
    </xf>
    <xf numFmtId="0" fontId="7" fillId="18" borderId="57" xfId="0" applyFont="1" applyFill="1" applyBorder="1" applyAlignment="1" applyProtection="1">
      <alignment horizontal="right" vertical="center"/>
      <protection locked="0"/>
    </xf>
    <xf numFmtId="0" fontId="7" fillId="18" borderId="61" xfId="0" applyFont="1" applyFill="1" applyBorder="1" applyAlignment="1" applyProtection="1">
      <alignment horizontal="right" vertical="center"/>
      <protection locked="0"/>
    </xf>
    <xf numFmtId="0" fontId="7" fillId="33" borderId="207" xfId="0" applyFont="1" applyFill="1" applyBorder="1" applyAlignment="1">
      <alignment horizontal="left" vertical="center" wrapText="1"/>
    </xf>
    <xf numFmtId="0" fontId="7" fillId="33" borderId="46" xfId="0" applyFont="1" applyFill="1" applyBorder="1" applyAlignment="1">
      <alignment horizontal="left" vertical="center" wrapText="1"/>
    </xf>
    <xf numFmtId="0" fontId="7" fillId="33" borderId="206" xfId="0" applyFont="1" applyFill="1" applyBorder="1" applyAlignment="1">
      <alignment horizontal="left" vertical="center" wrapText="1"/>
    </xf>
    <xf numFmtId="0" fontId="7" fillId="33" borderId="207" xfId="0" applyFont="1" applyFill="1" applyBorder="1" applyAlignment="1">
      <alignment horizontal="left" vertical="center" wrapText="1"/>
    </xf>
    <xf numFmtId="0" fontId="49" fillId="18" borderId="61" xfId="0" applyFont="1" applyFill="1" applyBorder="1" applyAlignment="1" applyProtection="1">
      <alignment horizontal="right" vertical="center"/>
      <protection locked="0"/>
    </xf>
    <xf numFmtId="0" fontId="49" fillId="18" borderId="71" xfId="0" applyFont="1" applyFill="1" applyBorder="1" applyAlignment="1" applyProtection="1">
      <alignment horizontal="right" vertical="center"/>
      <protection locked="0"/>
    </xf>
    <xf numFmtId="9" fontId="49" fillId="18" borderId="65" xfId="0" applyNumberFormat="1" applyFont="1" applyFill="1" applyBorder="1" applyAlignment="1" applyProtection="1">
      <alignment horizontal="right" vertical="center"/>
      <protection locked="0"/>
    </xf>
    <xf numFmtId="0" fontId="7" fillId="33" borderId="206" xfId="0" applyFont="1" applyFill="1" applyBorder="1" applyAlignment="1">
      <alignment horizontal="left" vertical="center" wrapText="1"/>
    </xf>
    <xf numFmtId="0" fontId="7" fillId="18" borderId="71" xfId="0" applyFont="1" applyFill="1" applyBorder="1" applyAlignment="1" applyProtection="1">
      <alignment horizontal="right" vertical="center"/>
      <protection locked="0"/>
    </xf>
    <xf numFmtId="0" fontId="7" fillId="33" borderId="207" xfId="0" applyFont="1" applyFill="1" applyBorder="1" applyAlignment="1">
      <alignment horizontal="left" vertical="center" wrapText="1"/>
    </xf>
    <xf numFmtId="0" fontId="7" fillId="18" borderId="65" xfId="0" applyFont="1" applyFill="1" applyBorder="1" applyAlignment="1" applyProtection="1">
      <alignment horizontal="right" vertical="center"/>
      <protection locked="0"/>
    </xf>
    <xf numFmtId="0" fontId="7" fillId="33" borderId="206" xfId="0" applyFont="1" applyFill="1" applyBorder="1" applyAlignment="1">
      <alignment horizontal="left" vertical="center" wrapText="1"/>
    </xf>
    <xf numFmtId="0" fontId="7" fillId="33" borderId="207" xfId="0" applyFont="1" applyFill="1" applyBorder="1" applyAlignment="1">
      <alignment horizontal="left" vertical="center" wrapText="1"/>
    </xf>
    <xf numFmtId="0" fontId="7" fillId="33" borderId="142" xfId="0" applyFont="1" applyFill="1" applyBorder="1" applyAlignment="1">
      <alignment horizontal="left" vertical="center" wrapText="1"/>
    </xf>
    <xf numFmtId="10" fontId="49" fillId="18" borderId="65" xfId="0" applyNumberFormat="1" applyFont="1" applyFill="1" applyBorder="1" applyAlignment="1" applyProtection="1">
      <alignment horizontal="right" vertical="center"/>
      <protection locked="0"/>
    </xf>
    <xf numFmtId="10" fontId="49" fillId="18" borderId="71" xfId="0" applyNumberFormat="1" applyFont="1" applyFill="1" applyBorder="1" applyAlignment="1" applyProtection="1">
      <alignment horizontal="right" vertical="center"/>
      <protection locked="0"/>
    </xf>
    <xf numFmtId="10" fontId="49" fillId="18" borderId="352" xfId="0" applyNumberFormat="1" applyFont="1" applyFill="1" applyBorder="1" applyAlignment="1" applyProtection="1">
      <alignment horizontal="right" vertical="center"/>
      <protection locked="0"/>
    </xf>
    <xf numFmtId="0" fontId="7" fillId="33" borderId="36" xfId="0" applyFont="1" applyFill="1" applyBorder="1" applyAlignment="1" applyProtection="1">
      <alignment horizontal="right" vertical="center" wrapText="1"/>
      <protection locked="0"/>
    </xf>
    <xf numFmtId="0" fontId="38" fillId="33" borderId="19" xfId="0" applyFont="1" applyFill="1" applyBorder="1" applyAlignment="1">
      <alignment horizontal="center" vertical="center" wrapText="1"/>
    </xf>
    <xf numFmtId="0" fontId="7" fillId="33" borderId="50" xfId="0" applyFont="1" applyFill="1" applyBorder="1" applyAlignment="1">
      <alignment horizontal="left" vertical="center" wrapText="1" indent="2"/>
    </xf>
    <xf numFmtId="0" fontId="7" fillId="33" borderId="49" xfId="0" applyFont="1" applyFill="1" applyBorder="1" applyAlignment="1">
      <alignment horizontal="left" vertical="center" wrapText="1" indent="2"/>
    </xf>
    <xf numFmtId="0" fontId="7" fillId="110" borderId="46" xfId="0" applyFont="1" applyFill="1" applyBorder="1"/>
    <xf numFmtId="0" fontId="7" fillId="110" borderId="63" xfId="0" applyFont="1" applyFill="1" applyBorder="1"/>
    <xf numFmtId="164" fontId="7" fillId="18" borderId="53" xfId="44" applyNumberFormat="1" applyFont="1" applyFill="1" applyBorder="1" applyAlignment="1">
      <alignment vertical="center" wrapText="1"/>
    </xf>
    <xf numFmtId="164" fontId="12" fillId="18" borderId="34" xfId="44" applyNumberFormat="1" applyFont="1" applyFill="1" applyBorder="1" applyAlignment="1">
      <alignment vertical="center" wrapText="1"/>
    </xf>
    <xf numFmtId="0" fontId="10" fillId="39" borderId="207" xfId="0" applyFont="1" applyFill="1" applyBorder="1" applyAlignment="1">
      <alignment horizontal="center" vertical="center" wrapText="1"/>
    </xf>
    <xf numFmtId="0" fontId="67" fillId="29" borderId="383" xfId="0" applyFont="1" applyFill="1" applyBorder="1" applyAlignment="1">
      <alignment vertical="center"/>
    </xf>
    <xf numFmtId="168" fontId="7" fillId="18" borderId="46" xfId="0" applyNumberFormat="1" applyFont="1" applyFill="1" applyBorder="1"/>
    <xf numFmtId="168" fontId="7" fillId="18" borderId="60" xfId="0" applyNumberFormat="1" applyFont="1" applyFill="1" applyBorder="1"/>
    <xf numFmtId="168" fontId="7" fillId="18" borderId="86" xfId="0" applyNumberFormat="1" applyFont="1" applyFill="1" applyBorder="1"/>
    <xf numFmtId="168" fontId="7" fillId="18" borderId="63" xfId="0" applyNumberFormat="1" applyFont="1" applyFill="1" applyBorder="1"/>
    <xf numFmtId="0" fontId="7" fillId="29" borderId="68" xfId="0" applyFont="1" applyFill="1" applyBorder="1" applyAlignment="1">
      <alignment wrapText="1"/>
    </xf>
    <xf numFmtId="0" fontId="7" fillId="29" borderId="116" xfId="0" applyFont="1" applyFill="1" applyBorder="1" applyAlignment="1">
      <alignment wrapText="1"/>
    </xf>
    <xf numFmtId="168" fontId="7" fillId="29" borderId="67" xfId="0" applyNumberFormat="1" applyFont="1" applyFill="1" applyBorder="1" applyAlignment="1">
      <alignment horizontal="center"/>
    </xf>
    <xf numFmtId="0" fontId="7" fillId="29" borderId="147" xfId="0" applyFont="1" applyFill="1" applyBorder="1" applyAlignment="1">
      <alignment wrapText="1"/>
    </xf>
    <xf numFmtId="0" fontId="10" fillId="30" borderId="250" xfId="0" applyFont="1" applyFill="1" applyBorder="1" applyAlignment="1">
      <alignment horizontal="left" wrapText="1" indent="1"/>
    </xf>
    <xf numFmtId="0" fontId="7" fillId="30" borderId="203" xfId="0" applyFont="1" applyFill="1" applyBorder="1" applyAlignment="1">
      <alignment horizontal="left" indent="1"/>
    </xf>
    <xf numFmtId="168" fontId="10" fillId="30" borderId="207" xfId="0" applyNumberFormat="1" applyFont="1" applyFill="1" applyBorder="1" applyAlignment="1">
      <alignment horizontal="center"/>
    </xf>
    <xf numFmtId="168" fontId="10" fillId="30" borderId="64" xfId="0" applyNumberFormat="1" applyFont="1" applyFill="1" applyBorder="1" applyAlignment="1">
      <alignment horizontal="center"/>
    </xf>
    <xf numFmtId="168" fontId="10" fillId="30" borderId="88" xfId="0" applyNumberFormat="1" applyFont="1" applyFill="1" applyBorder="1" applyAlignment="1">
      <alignment horizontal="center"/>
    </xf>
    <xf numFmtId="168" fontId="10" fillId="30" borderId="65" xfId="0" applyNumberFormat="1" applyFont="1" applyFill="1" applyBorder="1" applyAlignment="1">
      <alignment horizontal="center"/>
    </xf>
    <xf numFmtId="1" fontId="7" fillId="18" borderId="86" xfId="0" applyNumberFormat="1" applyFont="1" applyFill="1" applyBorder="1"/>
    <xf numFmtId="1" fontId="7" fillId="18" borderId="63" xfId="0" applyNumberFormat="1" applyFont="1" applyFill="1" applyBorder="1"/>
    <xf numFmtId="0" fontId="10" fillId="30" borderId="51" xfId="0" applyFont="1" applyFill="1" applyBorder="1" applyAlignment="1">
      <alignment horizontal="left" wrapText="1" indent="1"/>
    </xf>
    <xf numFmtId="0" fontId="7" fillId="30" borderId="128" xfId="0" applyFont="1" applyFill="1" applyBorder="1" applyAlignment="1">
      <alignment horizontal="left" indent="1"/>
    </xf>
    <xf numFmtId="0" fontId="7" fillId="30" borderId="53" xfId="0" applyFont="1" applyFill="1" applyBorder="1" applyAlignment="1">
      <alignment horizontal="left" indent="1"/>
    </xf>
    <xf numFmtId="0" fontId="7" fillId="30" borderId="252" xfId="0" applyFont="1" applyFill="1" applyBorder="1" applyAlignment="1">
      <alignment horizontal="left" indent="1"/>
    </xf>
    <xf numFmtId="168" fontId="7" fillId="30" borderId="51" xfId="0" applyNumberFormat="1" applyFont="1" applyFill="1" applyBorder="1" applyAlignment="1">
      <alignment horizontal="center"/>
    </xf>
    <xf numFmtId="168" fontId="7" fillId="30" borderId="52" xfId="0" applyNumberFormat="1" applyFont="1" applyFill="1" applyBorder="1" applyAlignment="1">
      <alignment horizontal="center"/>
    </xf>
    <xf numFmtId="168" fontId="7" fillId="30" borderId="128" xfId="0" applyNumberFormat="1" applyFont="1" applyFill="1" applyBorder="1" applyAlignment="1">
      <alignment horizontal="center"/>
    </xf>
    <xf numFmtId="168" fontId="7" fillId="30" borderId="53" xfId="0" applyNumberFormat="1" applyFont="1" applyFill="1" applyBorder="1" applyAlignment="1">
      <alignment horizontal="center"/>
    </xf>
    <xf numFmtId="0" fontId="7" fillId="0" borderId="246" xfId="0" applyFont="1" applyFill="1" applyBorder="1" applyAlignment="1">
      <alignment vertical="center"/>
    </xf>
    <xf numFmtId="0" fontId="67" fillId="39" borderId="207" xfId="0" applyFont="1" applyFill="1" applyBorder="1" applyAlignment="1">
      <alignment horizontal="center" vertical="center" wrapText="1"/>
    </xf>
    <xf numFmtId="168" fontId="7" fillId="18" borderId="206" xfId="30" applyNumberFormat="1" applyFont="1" applyFill="1" applyBorder="1" applyAlignment="1">
      <alignment horizontal="right"/>
    </xf>
    <xf numFmtId="168" fontId="7" fillId="29" borderId="207" xfId="30" applyNumberFormat="1" applyFont="1" applyFill="1" applyBorder="1" applyAlignment="1">
      <alignment horizontal="right"/>
    </xf>
    <xf numFmtId="0" fontId="10" fillId="29" borderId="206" xfId="0" applyFont="1" applyFill="1" applyBorder="1" applyAlignment="1">
      <alignment horizontal="left" vertical="center" wrapText="1"/>
    </xf>
    <xf numFmtId="207" fontId="7" fillId="18" borderId="46" xfId="30" applyNumberFormat="1" applyFont="1" applyFill="1" applyBorder="1" applyAlignment="1">
      <alignment horizontal="right"/>
    </xf>
    <xf numFmtId="207" fontId="7" fillId="18" borderId="60" xfId="30" applyNumberFormat="1" applyFont="1" applyFill="1" applyBorder="1" applyAlignment="1">
      <alignment horizontal="right"/>
    </xf>
    <xf numFmtId="207" fontId="7" fillId="18" borderId="63" xfId="30" applyNumberFormat="1" applyFont="1" applyFill="1" applyBorder="1" applyAlignment="1">
      <alignment horizontal="right"/>
    </xf>
    <xf numFmtId="168" fontId="7" fillId="29" borderId="50" xfId="30" applyNumberFormat="1" applyFont="1" applyFill="1" applyBorder="1" applyAlignment="1">
      <alignment horizontal="right" wrapText="1"/>
    </xf>
    <xf numFmtId="168" fontId="7" fillId="29" borderId="76" xfId="30" applyNumberFormat="1" applyFont="1" applyFill="1" applyBorder="1" applyAlignment="1">
      <alignment horizontal="right" wrapText="1"/>
    </xf>
    <xf numFmtId="168" fontId="7" fillId="29" borderId="77" xfId="30" applyNumberFormat="1" applyFont="1" applyFill="1" applyBorder="1" applyAlignment="1">
      <alignment horizontal="right" wrapText="1"/>
    </xf>
    <xf numFmtId="174" fontId="7" fillId="18" borderId="46" xfId="30" applyNumberFormat="1" applyFont="1" applyFill="1" applyBorder="1" applyAlignment="1">
      <alignment horizontal="right"/>
    </xf>
    <xf numFmtId="174" fontId="7" fillId="18" borderId="60" xfId="30" applyNumberFormat="1" applyFont="1" applyFill="1" applyBorder="1" applyAlignment="1">
      <alignment horizontal="right"/>
    </xf>
    <xf numFmtId="174" fontId="7" fillId="18" borderId="63" xfId="30" applyNumberFormat="1" applyFont="1" applyFill="1" applyBorder="1" applyAlignment="1">
      <alignment horizontal="right"/>
    </xf>
    <xf numFmtId="168" fontId="7" fillId="114" borderId="60" xfId="30" applyNumberFormat="1" applyFont="1" applyFill="1" applyBorder="1" applyAlignment="1">
      <alignment horizontal="right"/>
    </xf>
    <xf numFmtId="43" fontId="0" fillId="33" borderId="0" xfId="0" applyNumberFormat="1" applyFill="1"/>
    <xf numFmtId="0" fontId="0" fillId="114" borderId="0" xfId="0" applyFill="1"/>
    <xf numFmtId="0" fontId="10" fillId="38" borderId="206" xfId="0" applyFont="1" applyFill="1" applyBorder="1" applyAlignment="1">
      <alignment horizontal="left" vertical="center" wrapText="1"/>
    </xf>
    <xf numFmtId="0" fontId="7" fillId="38" borderId="385" xfId="0" applyFont="1" applyFill="1" applyBorder="1" applyAlignment="1" applyProtection="1">
      <alignment vertical="center" wrapText="1"/>
      <protection locked="0"/>
    </xf>
    <xf numFmtId="168" fontId="7" fillId="114" borderId="60" xfId="30" applyNumberFormat="1" applyFont="1" applyFill="1" applyBorder="1"/>
    <xf numFmtId="0" fontId="17" fillId="114" borderId="0" xfId="0" applyFont="1" applyFill="1"/>
    <xf numFmtId="0" fontId="17" fillId="111" borderId="0" xfId="0" applyFont="1" applyFill="1"/>
    <xf numFmtId="0" fontId="0" fillId="25" borderId="383" xfId="0" applyFill="1" applyBorder="1" applyAlignment="1">
      <alignment vertical="center" wrapText="1"/>
    </xf>
    <xf numFmtId="0" fontId="0" fillId="25" borderId="385" xfId="0" applyFill="1" applyBorder="1" applyAlignment="1">
      <alignment vertical="center" wrapText="1"/>
    </xf>
    <xf numFmtId="0" fontId="54" fillId="0" borderId="92" xfId="0" applyFont="1" applyFill="1" applyBorder="1" applyAlignment="1">
      <alignment horizontal="left"/>
    </xf>
    <xf numFmtId="0" fontId="54" fillId="0" borderId="121" xfId="0" applyFont="1" applyFill="1" applyBorder="1" applyAlignment="1">
      <alignment horizontal="left" vertical="center" wrapText="1"/>
    </xf>
    <xf numFmtId="0" fontId="49" fillId="0" borderId="121" xfId="0" applyFont="1" applyFill="1" applyBorder="1" applyAlignment="1">
      <alignment horizontal="left" vertical="center" wrapText="1" indent="4"/>
    </xf>
    <xf numFmtId="0" fontId="54" fillId="0" borderId="224" xfId="0" applyFont="1" applyFill="1" applyBorder="1" applyAlignment="1">
      <alignment horizontal="left" vertical="center" wrapText="1" indent="4"/>
    </xf>
    <xf numFmtId="0" fontId="49" fillId="0" borderId="226" xfId="0" applyFont="1" applyFill="1" applyBorder="1" applyAlignment="1">
      <alignment horizontal="left" vertical="center" wrapText="1"/>
    </xf>
    <xf numFmtId="0" fontId="49" fillId="0" borderId="70" xfId="0" applyFont="1" applyFill="1" applyBorder="1" applyAlignment="1">
      <alignment horizontal="left" vertical="center" wrapText="1"/>
    </xf>
    <xf numFmtId="0" fontId="54" fillId="0" borderId="93" xfId="0" applyFont="1" applyFill="1" applyBorder="1" applyAlignment="1">
      <alignment horizontal="left" vertical="center" wrapText="1"/>
    </xf>
    <xf numFmtId="0" fontId="49" fillId="0" borderId="120" xfId="0" applyFont="1" applyFill="1" applyBorder="1" applyAlignment="1">
      <alignment horizontal="left" vertical="center" wrapText="1" indent="3"/>
    </xf>
    <xf numFmtId="0" fontId="54" fillId="0" borderId="94" xfId="0" applyFont="1" applyFill="1" applyBorder="1" applyAlignment="1">
      <alignment horizontal="left" vertical="center" wrapText="1"/>
    </xf>
    <xf numFmtId="0" fontId="7" fillId="25" borderId="383" xfId="0" applyFont="1" applyFill="1" applyBorder="1" applyAlignment="1" applyProtection="1">
      <alignment vertical="center" wrapText="1"/>
      <protection locked="0"/>
    </xf>
    <xf numFmtId="0" fontId="7" fillId="25" borderId="385" xfId="0" applyFont="1" applyFill="1" applyBorder="1" applyAlignment="1" applyProtection="1">
      <alignment vertical="center" wrapText="1"/>
      <protection locked="0"/>
    </xf>
    <xf numFmtId="0" fontId="7" fillId="33" borderId="246" xfId="0" applyFont="1" applyFill="1" applyBorder="1" applyAlignment="1" applyProtection="1">
      <alignment horizontal="right" vertical="center" wrapText="1"/>
      <protection locked="0"/>
    </xf>
    <xf numFmtId="0" fontId="7" fillId="25" borderId="246" xfId="0" applyFont="1" applyFill="1" applyBorder="1" applyAlignment="1" applyProtection="1">
      <alignment vertical="center"/>
      <protection locked="0"/>
    </xf>
    <xf numFmtId="0" fontId="0" fillId="33" borderId="385" xfId="0" applyFill="1" applyBorder="1"/>
    <xf numFmtId="0" fontId="42" fillId="33" borderId="383" xfId="0" applyFont="1" applyFill="1" applyBorder="1" applyAlignment="1">
      <alignment horizontal="center" vertical="center" wrapText="1"/>
    </xf>
    <xf numFmtId="0" fontId="7" fillId="43" borderId="383" xfId="0" applyFont="1" applyFill="1" applyBorder="1" applyAlignment="1" applyProtection="1">
      <alignment vertical="center" wrapText="1"/>
      <protection locked="0"/>
    </xf>
    <xf numFmtId="0" fontId="7" fillId="43" borderId="385" xfId="0" applyFont="1" applyFill="1" applyBorder="1" applyAlignment="1" applyProtection="1">
      <alignment vertical="center" wrapText="1"/>
      <protection locked="0"/>
    </xf>
    <xf numFmtId="0" fontId="79" fillId="27" borderId="36" xfId="305" applyFont="1" applyFill="1" applyBorder="1" applyAlignment="1">
      <alignment vertical="center"/>
    </xf>
    <xf numFmtId="0" fontId="79" fillId="27" borderId="21" xfId="305" applyFont="1" applyFill="1" applyBorder="1" applyAlignment="1">
      <alignment vertical="center"/>
    </xf>
    <xf numFmtId="0" fontId="15" fillId="30" borderId="36" xfId="305" applyFont="1" applyFill="1" applyBorder="1" applyAlignment="1">
      <alignment vertical="center"/>
    </xf>
    <xf numFmtId="0" fontId="15" fillId="30" borderId="35" xfId="305" applyFont="1" applyFill="1" applyBorder="1" applyAlignment="1">
      <alignment vertical="center"/>
    </xf>
    <xf numFmtId="0" fontId="15" fillId="30" borderId="34" xfId="305" applyFont="1" applyFill="1" applyBorder="1" applyAlignment="1">
      <alignment vertical="center"/>
    </xf>
    <xf numFmtId="0" fontId="67" fillId="111" borderId="207" xfId="305" applyFont="1" applyFill="1" applyBorder="1" applyAlignment="1">
      <alignment horizontal="center" vertical="center" wrapText="1"/>
    </xf>
    <xf numFmtId="0" fontId="67" fillId="111" borderId="64" xfId="305" applyFont="1" applyFill="1" applyBorder="1" applyAlignment="1">
      <alignment horizontal="center" vertical="center" wrapText="1"/>
    </xf>
    <xf numFmtId="0" fontId="67" fillId="111" borderId="65" xfId="305" applyFont="1" applyFill="1" applyBorder="1" applyAlignment="1">
      <alignment horizontal="center" vertical="center" wrapText="1"/>
    </xf>
    <xf numFmtId="0" fontId="7" fillId="18" borderId="34" xfId="305" applyFont="1" applyFill="1" applyBorder="1" applyAlignment="1" applyProtection="1">
      <alignment vertical="center" wrapText="1"/>
      <protection locked="0"/>
    </xf>
    <xf numFmtId="0" fontId="15" fillId="0" borderId="0" xfId="305" applyFont="1" applyFill="1"/>
    <xf numFmtId="0" fontId="19" fillId="0" borderId="0" xfId="305" applyNumberFormat="1" applyFont="1" applyFill="1"/>
    <xf numFmtId="0" fontId="7" fillId="0" borderId="0" xfId="305" applyFont="1" applyFill="1"/>
    <xf numFmtId="0" fontId="19" fillId="0" borderId="0" xfId="305" applyFont="1" applyFill="1"/>
    <xf numFmtId="0" fontId="19" fillId="33" borderId="0" xfId="305" applyNumberFormat="1" applyFont="1" applyFill="1"/>
    <xf numFmtId="0" fontId="7" fillId="33" borderId="0" xfId="305" applyFont="1" applyFill="1"/>
    <xf numFmtId="0" fontId="67" fillId="36" borderId="207" xfId="305" applyFont="1" applyFill="1" applyBorder="1" applyAlignment="1">
      <alignment horizontal="center" vertical="center" wrapText="1"/>
    </xf>
    <xf numFmtId="0" fontId="67" fillId="36" borderId="64" xfId="305" applyFont="1" applyFill="1" applyBorder="1" applyAlignment="1">
      <alignment horizontal="center" vertical="center" wrapText="1"/>
    </xf>
    <xf numFmtId="0" fontId="67" fillId="41" borderId="64" xfId="305" applyFont="1" applyFill="1" applyBorder="1" applyAlignment="1">
      <alignment horizontal="center" vertical="center" wrapText="1"/>
    </xf>
    <xf numFmtId="43" fontId="16" fillId="33" borderId="0" xfId="305" applyNumberFormat="1" applyFont="1" applyFill="1" applyBorder="1"/>
    <xf numFmtId="1" fontId="60" fillId="0" borderId="0" xfId="305" applyNumberFormat="1" applyFont="1" applyFill="1"/>
    <xf numFmtId="43" fontId="10" fillId="38" borderId="67" xfId="305" applyNumberFormat="1" applyFont="1" applyFill="1" applyBorder="1"/>
    <xf numFmtId="0" fontId="19" fillId="114" borderId="0" xfId="305" applyNumberFormat="1" applyFont="1" applyFill="1"/>
    <xf numFmtId="1" fontId="60" fillId="111" borderId="0" xfId="305" applyNumberFormat="1" applyFont="1" applyFill="1"/>
    <xf numFmtId="0" fontId="19" fillId="111" borderId="0" xfId="305" applyNumberFormat="1" applyFont="1" applyFill="1"/>
    <xf numFmtId="0" fontId="7" fillId="111" borderId="0" xfId="305" applyFont="1" applyFill="1"/>
    <xf numFmtId="0" fontId="19" fillId="33" borderId="0" xfId="305" applyFont="1" applyFill="1"/>
    <xf numFmtId="0" fontId="7" fillId="33" borderId="0" xfId="305" applyFill="1"/>
    <xf numFmtId="0" fontId="15" fillId="30" borderId="22" xfId="305" applyFont="1" applyFill="1" applyBorder="1" applyAlignment="1">
      <alignment vertical="center"/>
    </xf>
    <xf numFmtId="0" fontId="15" fillId="30" borderId="23" xfId="305" applyFont="1" applyFill="1" applyBorder="1" applyAlignment="1">
      <alignment vertical="center"/>
    </xf>
    <xf numFmtId="0" fontId="7" fillId="0" borderId="0" xfId="305" applyFont="1"/>
    <xf numFmtId="0" fontId="10" fillId="40" borderId="90" xfId="305" applyFont="1" applyFill="1" applyBorder="1" applyAlignment="1" applyProtection="1">
      <alignment horizontal="center" vertical="center" wrapText="1"/>
      <protection locked="0"/>
    </xf>
    <xf numFmtId="0" fontId="10" fillId="40" borderId="67" xfId="305" applyFont="1" applyFill="1" applyBorder="1" applyAlignment="1" applyProtection="1">
      <alignment horizontal="center" vertical="center" wrapText="1"/>
      <protection locked="0"/>
    </xf>
    <xf numFmtId="0" fontId="15" fillId="29" borderId="22" xfId="305" applyFont="1" applyFill="1" applyBorder="1" applyAlignment="1">
      <alignment vertical="center"/>
    </xf>
    <xf numFmtId="0" fontId="15" fillId="29" borderId="23" xfId="305" applyFont="1" applyFill="1" applyBorder="1" applyAlignment="1">
      <alignment vertical="center"/>
    </xf>
    <xf numFmtId="0" fontId="7" fillId="33" borderId="21" xfId="305" applyFill="1" applyBorder="1"/>
    <xf numFmtId="0" fontId="7" fillId="33" borderId="22" xfId="305" applyFill="1" applyBorder="1"/>
    <xf numFmtId="0" fontId="7" fillId="33" borderId="19" xfId="305" applyFill="1" applyBorder="1"/>
    <xf numFmtId="0" fontId="7" fillId="33" borderId="0" xfId="305" applyFill="1" applyBorder="1"/>
    <xf numFmtId="0" fontId="7" fillId="33" borderId="246" xfId="305" applyFill="1" applyBorder="1"/>
    <xf numFmtId="0" fontId="7" fillId="33" borderId="383" xfId="305" applyFill="1" applyBorder="1"/>
    <xf numFmtId="0" fontId="67" fillId="36" borderId="65" xfId="305" applyFont="1" applyFill="1" applyBorder="1" applyAlignment="1">
      <alignment horizontal="center" vertical="center" wrapText="1"/>
    </xf>
    <xf numFmtId="168" fontId="7" fillId="114" borderId="46" xfId="30" applyNumberFormat="1" applyFont="1" applyFill="1" applyBorder="1"/>
    <xf numFmtId="168" fontId="7" fillId="114" borderId="86" xfId="30" applyNumberFormat="1" applyFont="1" applyFill="1" applyBorder="1"/>
    <xf numFmtId="168" fontId="10" fillId="111" borderId="60" xfId="305" applyNumberFormat="1" applyFont="1" applyFill="1" applyBorder="1" applyAlignment="1">
      <alignment horizontal="left" vertical="center"/>
    </xf>
    <xf numFmtId="0" fontId="17" fillId="0" borderId="0" xfId="305" applyFont="1" applyFill="1"/>
    <xf numFmtId="168" fontId="7" fillId="114" borderId="0" xfId="305" applyNumberFormat="1" applyFont="1" applyFill="1"/>
    <xf numFmtId="0" fontId="17" fillId="111" borderId="0" xfId="305" applyFont="1" applyFill="1"/>
    <xf numFmtId="0" fontId="7" fillId="0" borderId="0" xfId="305" applyFont="1" applyFill="1" applyBorder="1" applyAlignment="1">
      <alignment horizontal="center" vertical="center" wrapText="1"/>
    </xf>
    <xf numFmtId="0" fontId="37" fillId="0" borderId="0" xfId="305" applyFont="1" applyFill="1" applyBorder="1" applyAlignment="1">
      <alignment horizontal="center" vertical="center"/>
    </xf>
    <xf numFmtId="0" fontId="17" fillId="0" borderId="0" xfId="305" applyFont="1" applyFill="1" applyBorder="1" applyAlignment="1">
      <alignment horizontal="center" vertical="center" wrapText="1"/>
    </xf>
    <xf numFmtId="43" fontId="17" fillId="0" borderId="0" xfId="305" applyNumberFormat="1" applyFont="1" applyFill="1" applyBorder="1"/>
    <xf numFmtId="0" fontId="7" fillId="0" borderId="0" xfId="305" applyFont="1" applyFill="1" applyBorder="1" applyAlignment="1" applyProtection="1">
      <alignment horizontal="center" vertical="center" wrapText="1"/>
      <protection locked="0"/>
    </xf>
    <xf numFmtId="0" fontId="10" fillId="0" borderId="0" xfId="305" applyFont="1" applyFill="1" applyBorder="1" applyAlignment="1" applyProtection="1">
      <alignment horizontal="left" vertical="center" wrapText="1"/>
      <protection locked="0"/>
    </xf>
    <xf numFmtId="0" fontId="51" fillId="0" borderId="0" xfId="305" applyFont="1" applyFill="1" applyBorder="1" applyAlignment="1" applyProtection="1">
      <alignment horizontal="left" vertical="center" wrapText="1"/>
      <protection locked="0"/>
    </xf>
    <xf numFmtId="0" fontId="15" fillId="33" borderId="0" xfId="0" applyFont="1" applyFill="1" applyAlignment="1">
      <alignment vertical="top"/>
    </xf>
    <xf numFmtId="0" fontId="10" fillId="18" borderId="206" xfId="0" applyFont="1" applyFill="1" applyBorder="1" applyAlignment="1">
      <alignment vertical="center" wrapText="1"/>
    </xf>
    <xf numFmtId="0" fontId="10" fillId="18" borderId="90" xfId="0" applyFont="1" applyFill="1" applyBorder="1" applyAlignment="1">
      <alignment vertical="center" wrapText="1"/>
    </xf>
    <xf numFmtId="0" fontId="10" fillId="18" borderId="63" xfId="0" applyFont="1" applyFill="1" applyBorder="1" applyAlignment="1">
      <alignment vertical="center" wrapText="1"/>
    </xf>
    <xf numFmtId="0" fontId="10" fillId="18" borderId="63" xfId="0" applyFont="1" applyFill="1" applyBorder="1" applyAlignment="1">
      <alignment vertical="center"/>
    </xf>
    <xf numFmtId="168" fontId="7" fillId="18" borderId="44" xfId="30" applyNumberFormat="1" applyFont="1" applyFill="1" applyBorder="1" applyProtection="1">
      <protection locked="0"/>
    </xf>
    <xf numFmtId="168" fontId="7" fillId="18" borderId="82" xfId="30" applyNumberFormat="1" applyFont="1" applyFill="1" applyBorder="1" applyProtection="1">
      <protection locked="0"/>
    </xf>
    <xf numFmtId="168" fontId="7" fillId="18" borderId="85" xfId="30" applyNumberFormat="1" applyFont="1" applyFill="1" applyBorder="1" applyProtection="1">
      <protection locked="0"/>
    </xf>
    <xf numFmtId="168" fontId="7" fillId="18" borderId="49" xfId="30" applyNumberFormat="1" applyFont="1" applyFill="1" applyBorder="1" applyProtection="1">
      <protection locked="0"/>
    </xf>
    <xf numFmtId="168" fontId="7" fillId="18" borderId="371" xfId="30" applyNumberFormat="1" applyFont="1" applyFill="1" applyBorder="1" applyProtection="1">
      <protection locked="0"/>
    </xf>
    <xf numFmtId="168" fontId="7" fillId="18" borderId="90" xfId="30" applyNumberFormat="1" applyFont="1" applyFill="1" applyBorder="1" applyProtection="1">
      <protection locked="0"/>
    </xf>
    <xf numFmtId="168" fontId="7" fillId="18" borderId="89" xfId="30" applyNumberFormat="1" applyFont="1" applyFill="1" applyBorder="1" applyProtection="1">
      <protection locked="0"/>
    </xf>
    <xf numFmtId="168" fontId="7" fillId="18" borderId="46" xfId="30" applyNumberFormat="1" applyFont="1" applyFill="1" applyBorder="1" applyProtection="1">
      <protection locked="0"/>
    </xf>
    <xf numFmtId="168" fontId="7" fillId="18" borderId="60" xfId="30" applyNumberFormat="1" applyFont="1" applyFill="1" applyBorder="1" applyProtection="1">
      <protection locked="0"/>
    </xf>
    <xf numFmtId="168" fontId="7" fillId="18" borderId="86" xfId="30" applyNumberFormat="1" applyFont="1" applyFill="1" applyBorder="1" applyProtection="1">
      <protection locked="0"/>
    </xf>
    <xf numFmtId="168" fontId="7" fillId="18" borderId="50" xfId="30" applyNumberFormat="1" applyFont="1" applyFill="1" applyBorder="1" applyProtection="1">
      <protection locked="0"/>
    </xf>
    <xf numFmtId="168" fontId="7" fillId="18" borderId="372" xfId="30" applyNumberFormat="1" applyFont="1" applyFill="1" applyBorder="1" applyProtection="1">
      <protection locked="0"/>
    </xf>
    <xf numFmtId="168" fontId="7" fillId="18" borderId="63" xfId="30" applyNumberFormat="1" applyFont="1" applyFill="1" applyBorder="1" applyProtection="1">
      <protection locked="0"/>
    </xf>
    <xf numFmtId="168" fontId="7" fillId="18" borderId="62" xfId="30" applyNumberFormat="1" applyFont="1" applyFill="1" applyBorder="1" applyProtection="1">
      <protection locked="0"/>
    </xf>
    <xf numFmtId="168" fontId="7" fillId="18" borderId="373" xfId="30" applyNumberFormat="1" applyFont="1" applyFill="1" applyBorder="1" applyProtection="1">
      <protection locked="0"/>
    </xf>
    <xf numFmtId="168" fontId="10" fillId="29" borderId="36" xfId="30" applyNumberFormat="1" applyFont="1" applyFill="1" applyBorder="1" applyAlignment="1">
      <alignment vertical="center"/>
    </xf>
    <xf numFmtId="168" fontId="10" fillId="29" borderId="35" xfId="30" applyNumberFormat="1" applyFont="1" applyFill="1" applyBorder="1" applyAlignment="1">
      <alignment vertical="center"/>
    </xf>
    <xf numFmtId="168" fontId="10" fillId="29" borderId="34" xfId="30" applyNumberFormat="1" applyFont="1" applyFill="1" applyBorder="1" applyAlignment="1">
      <alignment vertical="center"/>
    </xf>
    <xf numFmtId="168" fontId="67" fillId="29" borderId="35" xfId="30" applyNumberFormat="1" applyFont="1" applyFill="1" applyBorder="1" applyAlignment="1">
      <alignment vertical="center"/>
    </xf>
    <xf numFmtId="168" fontId="67" fillId="29" borderId="34" xfId="30" applyNumberFormat="1" applyFont="1" applyFill="1" applyBorder="1" applyAlignment="1">
      <alignment vertical="center"/>
    </xf>
    <xf numFmtId="168" fontId="7" fillId="18" borderId="78" xfId="30" applyNumberFormat="1" applyFont="1" applyFill="1" applyBorder="1" applyProtection="1">
      <protection locked="0"/>
    </xf>
    <xf numFmtId="168" fontId="7" fillId="18" borderId="79" xfId="30" applyNumberFormat="1" applyFont="1" applyFill="1" applyBorder="1" applyProtection="1">
      <protection locked="0"/>
    </xf>
    <xf numFmtId="168" fontId="7" fillId="18" borderId="87" xfId="30" applyNumberFormat="1" applyFont="1" applyFill="1" applyBorder="1" applyProtection="1">
      <protection locked="0"/>
    </xf>
    <xf numFmtId="168" fontId="7" fillId="18" borderId="80" xfId="30" applyNumberFormat="1" applyFont="1" applyFill="1" applyBorder="1" applyProtection="1">
      <protection locked="0"/>
    </xf>
    <xf numFmtId="168" fontId="7" fillId="18" borderId="81" xfId="30" applyNumberFormat="1" applyFont="1" applyFill="1" applyBorder="1" applyProtection="1">
      <protection locked="0"/>
    </xf>
    <xf numFmtId="168" fontId="10" fillId="29" borderId="210" xfId="30" applyNumberFormat="1" applyFont="1" applyFill="1" applyBorder="1" applyAlignment="1">
      <alignment horizontal="right" vertical="center" wrapText="1"/>
    </xf>
    <xf numFmtId="168" fontId="10" fillId="29" borderId="208" xfId="30" applyNumberFormat="1" applyFont="1" applyFill="1" applyBorder="1" applyAlignment="1">
      <alignment horizontal="right" vertical="center" wrapText="1"/>
    </xf>
    <xf numFmtId="168" fontId="10" fillId="29" borderId="209" xfId="30" applyNumberFormat="1" applyFont="1" applyFill="1" applyBorder="1" applyAlignment="1">
      <alignment horizontal="right" vertical="center" wrapText="1"/>
    </xf>
    <xf numFmtId="168" fontId="10" fillId="29" borderId="221" xfId="30" applyNumberFormat="1" applyFont="1" applyFill="1" applyBorder="1" applyAlignment="1">
      <alignment horizontal="right" vertical="center" wrapText="1"/>
    </xf>
    <xf numFmtId="168" fontId="9" fillId="0" borderId="0" xfId="0" applyNumberFormat="1" applyFont="1" applyFill="1" applyBorder="1"/>
    <xf numFmtId="168" fontId="9" fillId="0" borderId="0" xfId="30" applyNumberFormat="1" applyFont="1" applyFill="1" applyBorder="1"/>
    <xf numFmtId="168" fontId="10" fillId="29" borderId="207" xfId="0" applyNumberFormat="1" applyFont="1" applyFill="1" applyBorder="1" applyAlignment="1">
      <alignment wrapText="1"/>
    </xf>
    <xf numFmtId="0" fontId="51" fillId="35" borderId="96" xfId="0" applyFont="1" applyFill="1" applyBorder="1" applyAlignment="1">
      <alignment horizontal="center" vertical="center" wrapText="1"/>
    </xf>
    <xf numFmtId="168" fontId="52" fillId="25" borderId="72" xfId="30" applyNumberFormat="1" applyFont="1" applyFill="1" applyBorder="1"/>
    <xf numFmtId="168" fontId="48" fillId="18" borderId="50" xfId="30" applyNumberFormat="1" applyFont="1" applyFill="1" applyBorder="1" applyAlignment="1">
      <alignment horizontal="left" indent="1"/>
    </xf>
    <xf numFmtId="168" fontId="48" fillId="18" borderId="77" xfId="30" applyNumberFormat="1" applyFont="1" applyFill="1" applyBorder="1" applyAlignment="1">
      <alignment horizontal="left" indent="1"/>
    </xf>
    <xf numFmtId="168" fontId="48" fillId="18" borderId="46" xfId="30" applyNumberFormat="1" applyFont="1" applyFill="1" applyBorder="1" applyAlignment="1">
      <alignment horizontal="left" indent="1"/>
    </xf>
    <xf numFmtId="168" fontId="48" fillId="18" borderId="61" xfId="30" applyNumberFormat="1" applyFont="1" applyFill="1" applyBorder="1" applyAlignment="1">
      <alignment horizontal="left" indent="1"/>
    </xf>
    <xf numFmtId="0" fontId="7" fillId="33" borderId="50" xfId="305" applyFont="1" applyFill="1" applyBorder="1" applyAlignment="1">
      <alignment horizontal="left" vertical="center" wrapText="1" indent="4"/>
    </xf>
    <xf numFmtId="0" fontId="7" fillId="33" borderId="49" xfId="305" applyFont="1" applyFill="1" applyBorder="1" applyAlignment="1">
      <alignment horizontal="left" vertical="center" wrapText="1" indent="2"/>
    </xf>
    <xf numFmtId="0" fontId="10" fillId="39" borderId="206" xfId="305" applyFont="1" applyFill="1" applyBorder="1" applyAlignment="1" applyProtection="1">
      <alignment horizontal="center" vertical="center" wrapText="1"/>
      <protection locked="0"/>
    </xf>
    <xf numFmtId="0" fontId="10" fillId="39" borderId="82" xfId="305" applyFont="1" applyFill="1" applyBorder="1" applyAlignment="1" applyProtection="1">
      <alignment horizontal="center" vertical="center" wrapText="1"/>
      <protection locked="0"/>
    </xf>
    <xf numFmtId="0" fontId="7" fillId="25" borderId="34" xfId="0" applyFont="1" applyFill="1" applyBorder="1" applyAlignment="1" applyProtection="1">
      <alignment horizontal="center" vertical="center" wrapText="1"/>
      <protection locked="0"/>
    </xf>
    <xf numFmtId="0" fontId="7" fillId="33" borderId="50" xfId="0" applyFont="1" applyFill="1" applyBorder="1" applyAlignment="1">
      <alignment horizontal="left" vertical="center" wrapText="1" indent="2"/>
    </xf>
    <xf numFmtId="0" fontId="7" fillId="38" borderId="50" xfId="0" applyFont="1" applyFill="1" applyBorder="1" applyAlignment="1">
      <alignment horizontal="left" vertical="center" wrapText="1" indent="1"/>
    </xf>
    <xf numFmtId="0" fontId="7" fillId="114" borderId="21" xfId="0" applyFont="1" applyFill="1" applyBorder="1"/>
    <xf numFmtId="0" fontId="7" fillId="114" borderId="19" xfId="0" applyFont="1" applyFill="1" applyBorder="1" applyAlignment="1">
      <alignment horizontal="left"/>
    </xf>
    <xf numFmtId="0" fontId="7" fillId="114" borderId="19" xfId="0" applyFont="1" applyFill="1" applyBorder="1"/>
    <xf numFmtId="43" fontId="7" fillId="30" borderId="207" xfId="0" applyNumberFormat="1" applyFont="1" applyFill="1" applyBorder="1"/>
    <xf numFmtId="43" fontId="7" fillId="30" borderId="64" xfId="0" applyNumberFormat="1" applyFont="1" applyFill="1" applyBorder="1"/>
    <xf numFmtId="43" fontId="7" fillId="30" borderId="67" xfId="0" applyNumberFormat="1" applyFont="1" applyFill="1" applyBorder="1"/>
    <xf numFmtId="0" fontId="19" fillId="19" borderId="0" xfId="305" applyFont="1" applyFill="1" applyBorder="1" applyAlignment="1" applyProtection="1">
      <alignment vertical="center"/>
      <protection locked="0"/>
    </xf>
    <xf numFmtId="0" fontId="85" fillId="30" borderId="0" xfId="305" applyFont="1" applyFill="1"/>
    <xf numFmtId="0" fontId="7" fillId="20" borderId="0" xfId="305" applyFont="1" applyFill="1"/>
    <xf numFmtId="0" fontId="79" fillId="27" borderId="22" xfId="305" applyFont="1" applyFill="1" applyBorder="1" applyAlignment="1">
      <alignment vertical="center"/>
    </xf>
    <xf numFmtId="0" fontId="79" fillId="27" borderId="23" xfId="305" applyFont="1" applyFill="1" applyBorder="1" applyAlignment="1">
      <alignment vertical="center"/>
    </xf>
    <xf numFmtId="0" fontId="10" fillId="39" borderId="207" xfId="305" applyFont="1" applyFill="1" applyBorder="1" applyAlignment="1">
      <alignment horizontal="center" vertical="center" wrapText="1"/>
    </xf>
    <xf numFmtId="0" fontId="10" fillId="39" borderId="64" xfId="305" applyFont="1" applyFill="1" applyBorder="1" applyAlignment="1">
      <alignment horizontal="center" vertical="center" wrapText="1"/>
    </xf>
    <xf numFmtId="0" fontId="10" fillId="40" borderId="64" xfId="305" applyFont="1" applyFill="1" applyBorder="1" applyAlignment="1">
      <alignment horizontal="center" vertical="center" wrapText="1"/>
    </xf>
    <xf numFmtId="0" fontId="10" fillId="39" borderId="65" xfId="305" applyFont="1" applyFill="1" applyBorder="1" applyAlignment="1">
      <alignment horizontal="center" vertical="center" wrapText="1"/>
    </xf>
    <xf numFmtId="0" fontId="38" fillId="33" borderId="19" xfId="305" applyFont="1" applyFill="1" applyBorder="1" applyAlignment="1">
      <alignment horizontal="center" vertical="center" wrapText="1"/>
    </xf>
    <xf numFmtId="0" fontId="38" fillId="33" borderId="0" xfId="305" applyFont="1" applyFill="1" applyBorder="1" applyAlignment="1">
      <alignment horizontal="center" vertical="center" wrapText="1"/>
    </xf>
    <xf numFmtId="0" fontId="10" fillId="39" borderId="0" xfId="305" applyFont="1" applyFill="1" applyBorder="1" applyAlignment="1">
      <alignment horizontal="center" vertical="center" wrapText="1"/>
    </xf>
    <xf numFmtId="0" fontId="10" fillId="40" borderId="0" xfId="305" applyFont="1" applyFill="1" applyBorder="1" applyAlignment="1">
      <alignment horizontal="center" vertical="center" wrapText="1"/>
    </xf>
    <xf numFmtId="0" fontId="38" fillId="33" borderId="22" xfId="305" applyFont="1" applyFill="1" applyBorder="1" applyAlignment="1">
      <alignment horizontal="center" vertical="center" wrapText="1"/>
    </xf>
    <xf numFmtId="0" fontId="10" fillId="39" borderId="22" xfId="305" applyFont="1" applyFill="1" applyBorder="1" applyAlignment="1">
      <alignment horizontal="center" vertical="center" wrapText="1"/>
    </xf>
    <xf numFmtId="0" fontId="10" fillId="40" borderId="22" xfId="305" applyFont="1" applyFill="1" applyBorder="1" applyAlignment="1">
      <alignment horizontal="center" vertical="center" wrapText="1"/>
    </xf>
    <xf numFmtId="0" fontId="10" fillId="39" borderId="23" xfId="305" applyFont="1" applyFill="1" applyBorder="1" applyAlignment="1">
      <alignment horizontal="center" vertical="center" wrapText="1"/>
    </xf>
    <xf numFmtId="0" fontId="67" fillId="25" borderId="45" xfId="305" applyFont="1" applyFill="1" applyBorder="1" applyAlignment="1"/>
    <xf numFmtId="0" fontId="7" fillId="20" borderId="0" xfId="305" applyFont="1" applyFill="1" applyBorder="1"/>
    <xf numFmtId="0" fontId="7" fillId="0" borderId="24" xfId="305" applyBorder="1"/>
    <xf numFmtId="0" fontId="67" fillId="25" borderId="72" xfId="305" applyFont="1" applyFill="1" applyBorder="1" applyAlignment="1"/>
    <xf numFmtId="0" fontId="7" fillId="20" borderId="22" xfId="305" applyFont="1" applyFill="1" applyBorder="1"/>
    <xf numFmtId="0" fontId="7" fillId="0" borderId="23" xfId="305" applyBorder="1"/>
    <xf numFmtId="0" fontId="67" fillId="31" borderId="45" xfId="305" applyFont="1" applyFill="1" applyBorder="1" applyAlignment="1"/>
    <xf numFmtId="0" fontId="67" fillId="31" borderId="36" xfId="305" applyFont="1" applyFill="1" applyBorder="1" applyAlignment="1"/>
    <xf numFmtId="0" fontId="7" fillId="31" borderId="35" xfId="305" applyFont="1" applyFill="1" applyBorder="1"/>
    <xf numFmtId="0" fontId="7" fillId="31" borderId="34" xfId="305" applyFill="1" applyBorder="1"/>
    <xf numFmtId="0" fontId="7" fillId="33" borderId="50" xfId="305" applyFont="1" applyFill="1" applyBorder="1" applyAlignment="1">
      <alignment horizontal="left" vertical="center" wrapText="1" indent="2"/>
    </xf>
    <xf numFmtId="0" fontId="7" fillId="33" borderId="233" xfId="305" applyFont="1" applyFill="1" applyBorder="1" applyAlignment="1">
      <alignment horizontal="left" vertical="center" wrapText="1" indent="2"/>
    </xf>
    <xf numFmtId="0" fontId="7" fillId="20" borderId="19" xfId="305" applyFont="1" applyFill="1" applyBorder="1"/>
    <xf numFmtId="168" fontId="7" fillId="20" borderId="0" xfId="305" applyNumberFormat="1" applyFont="1" applyFill="1" applyBorder="1"/>
    <xf numFmtId="0" fontId="79" fillId="27" borderId="22" xfId="305" applyFont="1" applyFill="1" applyBorder="1" applyAlignment="1">
      <alignment horizontal="center" vertical="center" wrapText="1"/>
    </xf>
    <xf numFmtId="0" fontId="79" fillId="27" borderId="22" xfId="305" applyFont="1" applyFill="1" applyBorder="1" applyAlignment="1">
      <alignment horizontal="center" vertical="center"/>
    </xf>
    <xf numFmtId="0" fontId="15" fillId="30" borderId="35" xfId="305" applyFont="1" applyFill="1" applyBorder="1" applyAlignment="1">
      <alignment horizontal="center" vertical="center" wrapText="1"/>
    </xf>
    <xf numFmtId="0" fontId="15" fillId="30" borderId="35" xfId="305" applyFont="1" applyFill="1" applyBorder="1" applyAlignment="1">
      <alignment horizontal="center" vertical="center"/>
    </xf>
    <xf numFmtId="0" fontId="10" fillId="39" borderId="78" xfId="305" applyFont="1" applyFill="1" applyBorder="1" applyAlignment="1">
      <alignment horizontal="center" vertical="center" wrapText="1"/>
    </xf>
    <xf numFmtId="0" fontId="10" fillId="39" borderId="79" xfId="305" applyFont="1" applyFill="1" applyBorder="1" applyAlignment="1">
      <alignment horizontal="center" vertical="center" wrapText="1"/>
    </xf>
    <xf numFmtId="0" fontId="10" fillId="40" borderId="79" xfId="305" applyFont="1" applyFill="1" applyBorder="1" applyAlignment="1">
      <alignment horizontal="center" vertical="center" wrapText="1"/>
    </xf>
    <xf numFmtId="0" fontId="10" fillId="39" borderId="84" xfId="305" applyFont="1" applyFill="1" applyBorder="1" applyAlignment="1">
      <alignment horizontal="center" vertical="center" wrapText="1"/>
    </xf>
    <xf numFmtId="0" fontId="10" fillId="29" borderId="49" xfId="305" applyFont="1" applyFill="1" applyBorder="1" applyAlignment="1">
      <alignment vertical="center" wrapText="1"/>
    </xf>
    <xf numFmtId="0" fontId="7" fillId="29" borderId="49" xfId="305" applyFont="1" applyFill="1" applyBorder="1" applyAlignment="1">
      <alignment wrapText="1"/>
    </xf>
    <xf numFmtId="0" fontId="7" fillId="29" borderId="74" xfId="305" applyFont="1" applyFill="1" applyBorder="1" applyAlignment="1">
      <alignment wrapText="1"/>
    </xf>
    <xf numFmtId="0" fontId="7" fillId="29" borderId="75" xfId="305" applyFont="1" applyFill="1" applyBorder="1" applyAlignment="1">
      <alignment wrapText="1"/>
    </xf>
    <xf numFmtId="0" fontId="7" fillId="29" borderId="49" xfId="305" applyFont="1" applyFill="1" applyBorder="1" applyAlignment="1">
      <alignment horizontal="center" wrapText="1"/>
    </xf>
    <xf numFmtId="0" fontId="7" fillId="29" borderId="74" xfId="305" applyFont="1" applyFill="1" applyBorder="1" applyAlignment="1">
      <alignment horizontal="center" wrapText="1"/>
    </xf>
    <xf numFmtId="0" fontId="7" fillId="33" borderId="50" xfId="305" applyFont="1" applyFill="1" applyBorder="1" applyAlignment="1">
      <alignment horizontal="left" vertical="center" wrapText="1" indent="1"/>
    </xf>
    <xf numFmtId="0" fontId="7" fillId="18" borderId="46" xfId="305" applyFont="1" applyFill="1" applyBorder="1" applyAlignment="1">
      <alignment horizontal="center"/>
    </xf>
    <xf numFmtId="0" fontId="7" fillId="18" borderId="60" xfId="305" applyFont="1" applyFill="1" applyBorder="1" applyAlignment="1">
      <alignment horizontal="center"/>
    </xf>
    <xf numFmtId="0" fontId="7" fillId="18" borderId="63" xfId="305" applyFont="1" applyFill="1" applyBorder="1" applyAlignment="1">
      <alignment horizontal="center"/>
    </xf>
    <xf numFmtId="0" fontId="7" fillId="18" borderId="46" xfId="305" applyFont="1" applyFill="1" applyBorder="1" applyAlignment="1">
      <alignment horizontal="center" wrapText="1"/>
    </xf>
    <xf numFmtId="0" fontId="7" fillId="18" borderId="63" xfId="305" applyFont="1" applyFill="1" applyBorder="1"/>
    <xf numFmtId="0" fontId="7" fillId="18" borderId="46" xfId="305" applyFont="1" applyFill="1" applyBorder="1"/>
    <xf numFmtId="0" fontId="7" fillId="18" borderId="60" xfId="305" applyFont="1" applyFill="1" applyBorder="1"/>
    <xf numFmtId="0" fontId="7" fillId="46" borderId="46" xfId="305" applyFont="1" applyFill="1" applyBorder="1" applyAlignment="1">
      <alignment horizontal="center"/>
    </xf>
    <xf numFmtId="0" fontId="7" fillId="46" borderId="60" xfId="305" applyFont="1" applyFill="1" applyBorder="1" applyAlignment="1">
      <alignment horizontal="center"/>
    </xf>
    <xf numFmtId="0" fontId="7" fillId="46" borderId="63" xfId="305" applyFont="1" applyFill="1" applyBorder="1" applyAlignment="1">
      <alignment horizontal="center"/>
    </xf>
    <xf numFmtId="0" fontId="7" fillId="46" borderId="46" xfId="305" applyFont="1" applyFill="1" applyBorder="1" applyAlignment="1">
      <alignment horizontal="center" wrapText="1"/>
    </xf>
    <xf numFmtId="0" fontId="7" fillId="46" borderId="63" xfId="305" applyFont="1" applyFill="1" applyBorder="1"/>
    <xf numFmtId="0" fontId="7" fillId="46" borderId="46" xfId="305" applyFont="1" applyFill="1" applyBorder="1"/>
    <xf numFmtId="0" fontId="7" fillId="46" borderId="60" xfId="305" applyFont="1" applyFill="1" applyBorder="1"/>
    <xf numFmtId="0" fontId="7" fillId="25" borderId="50" xfId="305" applyFont="1" applyFill="1" applyBorder="1" applyAlignment="1">
      <alignment horizontal="left" vertical="center" wrapText="1" indent="1"/>
    </xf>
    <xf numFmtId="0" fontId="7" fillId="25" borderId="68" xfId="305" applyFont="1" applyFill="1" applyBorder="1" applyAlignment="1">
      <alignment horizontal="left" vertical="center" wrapText="1" indent="1"/>
    </xf>
    <xf numFmtId="0" fontId="7" fillId="29" borderId="75" xfId="305" applyFont="1" applyFill="1" applyBorder="1" applyAlignment="1">
      <alignment horizontal="center" wrapText="1"/>
    </xf>
    <xf numFmtId="0" fontId="7" fillId="29" borderId="46" xfId="305" applyFont="1" applyFill="1" applyBorder="1"/>
    <xf numFmtId="0" fontId="7" fillId="29" borderId="60" xfId="305" applyFont="1" applyFill="1" applyBorder="1"/>
    <xf numFmtId="0" fontId="7" fillId="29" borderId="63" xfId="305" applyFont="1" applyFill="1" applyBorder="1"/>
    <xf numFmtId="0" fontId="7" fillId="29" borderId="46" xfId="305" applyFont="1" applyFill="1" applyBorder="1" applyAlignment="1">
      <alignment horizontal="center" wrapText="1"/>
    </xf>
    <xf numFmtId="0" fontId="7" fillId="29" borderId="60" xfId="305" applyFont="1" applyFill="1" applyBorder="1" applyAlignment="1">
      <alignment horizontal="center"/>
    </xf>
    <xf numFmtId="0" fontId="7" fillId="29" borderId="86" xfId="305" applyFont="1" applyFill="1" applyBorder="1" applyAlignment="1">
      <alignment horizontal="center"/>
    </xf>
    <xf numFmtId="0" fontId="7" fillId="29" borderId="155" xfId="305" applyFont="1" applyFill="1" applyBorder="1" applyAlignment="1">
      <alignment horizontal="center"/>
    </xf>
    <xf numFmtId="0" fontId="10" fillId="30" borderId="50" xfId="305" applyFont="1" applyFill="1" applyBorder="1" applyAlignment="1">
      <alignment horizontal="left" vertical="center" wrapText="1"/>
    </xf>
    <xf numFmtId="168" fontId="10" fillId="30" borderId="207" xfId="305" applyNumberFormat="1" applyFont="1" applyFill="1" applyBorder="1" applyAlignment="1">
      <alignment wrapText="1"/>
    </xf>
    <xf numFmtId="168" fontId="10" fillId="30" borderId="64" xfId="305" applyNumberFormat="1" applyFont="1" applyFill="1" applyBorder="1" applyAlignment="1">
      <alignment wrapText="1"/>
    </xf>
    <xf numFmtId="168" fontId="10" fillId="30" borderId="67" xfId="305" applyNumberFormat="1" applyFont="1" applyFill="1" applyBorder="1" applyAlignment="1">
      <alignment wrapText="1"/>
    </xf>
    <xf numFmtId="168" fontId="10" fillId="30" borderId="207" xfId="305" applyNumberFormat="1" applyFont="1" applyFill="1" applyBorder="1" applyAlignment="1">
      <alignment horizontal="center" wrapText="1"/>
    </xf>
    <xf numFmtId="168" fontId="10" fillId="30" borderId="64" xfId="305" applyNumberFormat="1" applyFont="1" applyFill="1" applyBorder="1" applyAlignment="1">
      <alignment horizontal="center" wrapText="1"/>
    </xf>
    <xf numFmtId="0" fontId="7" fillId="33" borderId="94" xfId="305" applyFont="1" applyFill="1" applyBorder="1" applyAlignment="1" applyProtection="1">
      <alignment horizontal="right" vertical="center" wrapText="1"/>
      <protection locked="0"/>
    </xf>
    <xf numFmtId="0" fontId="7" fillId="18" borderId="35" xfId="305" applyFont="1" applyFill="1" applyBorder="1" applyAlignment="1" applyProtection="1">
      <alignment horizontal="center" vertical="center" wrapText="1"/>
      <protection locked="0"/>
    </xf>
    <xf numFmtId="0" fontId="7" fillId="33" borderId="0" xfId="305" applyFont="1" applyFill="1" applyBorder="1" applyAlignment="1" applyProtection="1">
      <alignment horizontal="right" vertical="center" wrapText="1"/>
      <protection locked="0"/>
    </xf>
    <xf numFmtId="0" fontId="7" fillId="33" borderId="0" xfId="305" applyFont="1" applyFill="1" applyBorder="1" applyAlignment="1" applyProtection="1">
      <alignment horizontal="center" vertical="center" wrapText="1"/>
      <protection locked="0"/>
    </xf>
    <xf numFmtId="0" fontId="7" fillId="33" borderId="92" xfId="305" applyFont="1" applyFill="1" applyBorder="1" applyAlignment="1">
      <alignment horizontal="left" vertical="center" wrapText="1" indent="1"/>
    </xf>
    <xf numFmtId="0" fontId="7" fillId="18" borderId="206" xfId="305" applyFont="1" applyFill="1" applyBorder="1" applyAlignment="1">
      <alignment horizontal="center"/>
    </xf>
    <xf numFmtId="0" fontId="7" fillId="18" borderId="82" xfId="305" applyFont="1" applyFill="1" applyBorder="1" applyAlignment="1">
      <alignment horizontal="center"/>
    </xf>
    <xf numFmtId="0" fontId="7" fillId="18" borderId="90" xfId="305" applyFont="1" applyFill="1" applyBorder="1" applyAlignment="1">
      <alignment horizontal="center"/>
    </xf>
    <xf numFmtId="0" fontId="7" fillId="18" borderId="206" xfId="305" applyFont="1" applyFill="1" applyBorder="1" applyAlignment="1">
      <alignment horizontal="center" wrapText="1"/>
    </xf>
    <xf numFmtId="0" fontId="7" fillId="18" borderId="90" xfId="305" applyFont="1" applyFill="1" applyBorder="1" applyAlignment="1">
      <alignment horizontal="right"/>
    </xf>
    <xf numFmtId="0" fontId="7" fillId="18" borderId="206" xfId="305" applyFont="1" applyFill="1" applyBorder="1"/>
    <xf numFmtId="0" fontId="7" fillId="18" borderId="82" xfId="305" applyFont="1" applyFill="1" applyBorder="1"/>
    <xf numFmtId="0" fontId="7" fillId="18" borderId="90" xfId="305" applyFont="1" applyFill="1" applyBorder="1"/>
    <xf numFmtId="0" fontId="7" fillId="33" borderId="93" xfId="305" applyFont="1" applyFill="1" applyBorder="1" applyAlignment="1">
      <alignment horizontal="left" vertical="center" wrapText="1" indent="1"/>
    </xf>
    <xf numFmtId="0" fontId="7" fillId="18" borderId="63" xfId="305" applyFont="1" applyFill="1" applyBorder="1" applyAlignment="1">
      <alignment horizontal="right"/>
    </xf>
    <xf numFmtId="0" fontId="10" fillId="29" borderId="127" xfId="305" applyFont="1" applyFill="1" applyBorder="1" applyAlignment="1">
      <alignment horizontal="left" vertical="center" wrapText="1" indent="1"/>
    </xf>
    <xf numFmtId="168" fontId="10" fillId="29" borderId="207" xfId="305" applyNumberFormat="1" applyFont="1" applyFill="1" applyBorder="1" applyAlignment="1">
      <alignment wrapText="1"/>
    </xf>
    <xf numFmtId="168" fontId="10" fillId="29" borderId="64" xfId="305" applyNumberFormat="1" applyFont="1" applyFill="1" applyBorder="1" applyAlignment="1">
      <alignment horizontal="center" wrapText="1"/>
    </xf>
    <xf numFmtId="168" fontId="10" fillId="29" borderId="67" xfId="305" applyNumberFormat="1" applyFont="1" applyFill="1" applyBorder="1" applyAlignment="1">
      <alignment horizontal="center" wrapText="1"/>
    </xf>
    <xf numFmtId="168" fontId="10" fillId="29" borderId="207" xfId="305" applyNumberFormat="1" applyFont="1" applyFill="1" applyBorder="1" applyAlignment="1">
      <alignment horizontal="center" wrapText="1"/>
    </xf>
    <xf numFmtId="168" fontId="10" fillId="29" borderId="67" xfId="305" applyNumberFormat="1" applyFont="1" applyFill="1" applyBorder="1" applyAlignment="1">
      <alignment wrapText="1"/>
    </xf>
    <xf numFmtId="168" fontId="10" fillId="29" borderId="64" xfId="305" applyNumberFormat="1" applyFont="1" applyFill="1" applyBorder="1" applyAlignment="1">
      <alignment wrapText="1"/>
    </xf>
    <xf numFmtId="0" fontId="7" fillId="33" borderId="45" xfId="305" applyFont="1" applyFill="1" applyBorder="1" applyAlignment="1" applyProtection="1">
      <alignment horizontal="right" vertical="center" wrapText="1"/>
      <protection locked="0"/>
    </xf>
    <xf numFmtId="2" fontId="7" fillId="25" borderId="49" xfId="412" applyNumberFormat="1" applyFont="1" applyFill="1" applyBorder="1" applyAlignment="1">
      <alignment horizontal="right" vertical="center" wrapText="1"/>
    </xf>
    <xf numFmtId="167" fontId="7" fillId="25" borderId="49" xfId="412" applyNumberFormat="1" applyFont="1" applyFill="1" applyBorder="1" applyAlignment="1">
      <alignment horizontal="right" vertical="center" wrapText="1"/>
    </xf>
    <xf numFmtId="169" fontId="7" fillId="25" borderId="206" xfId="412" applyNumberFormat="1" applyFont="1" applyFill="1" applyBorder="1"/>
    <xf numFmtId="208" fontId="7" fillId="25" borderId="46" xfId="412" applyNumberFormat="1" applyFont="1" applyFill="1" applyBorder="1"/>
    <xf numFmtId="208" fontId="7" fillId="25" borderId="78" xfId="412" applyNumberFormat="1" applyFont="1" applyFill="1" applyBorder="1"/>
    <xf numFmtId="4" fontId="17" fillId="18" borderId="46" xfId="0" applyNumberFormat="1" applyFont="1" applyFill="1" applyBorder="1"/>
    <xf numFmtId="0" fontId="150" fillId="33" borderId="78" xfId="412" applyFont="1" applyFill="1" applyBorder="1" applyAlignment="1">
      <alignment vertical="center" wrapText="1"/>
    </xf>
    <xf numFmtId="43" fontId="7" fillId="18" borderId="46" xfId="30" applyNumberFormat="1" applyFont="1" applyFill="1" applyBorder="1"/>
    <xf numFmtId="168" fontId="7" fillId="25" borderId="82" xfId="30" applyNumberFormat="1" applyFont="1" applyFill="1" applyBorder="1"/>
    <xf numFmtId="168" fontId="7" fillId="25" borderId="90" xfId="30" applyNumberFormat="1" applyFont="1" applyFill="1" applyBorder="1"/>
    <xf numFmtId="164" fontId="7" fillId="25" borderId="206" xfId="44" applyNumberFormat="1" applyFont="1" applyFill="1" applyBorder="1"/>
    <xf numFmtId="164" fontId="7" fillId="25" borderId="82" xfId="44" applyNumberFormat="1" applyFont="1" applyFill="1" applyBorder="1"/>
    <xf numFmtId="164" fontId="7" fillId="25" borderId="90" xfId="44" applyNumberFormat="1" applyFont="1" applyFill="1" applyBorder="1"/>
    <xf numFmtId="164" fontId="7" fillId="25" borderId="46" xfId="44" applyNumberFormat="1" applyFont="1" applyFill="1" applyBorder="1"/>
    <xf numFmtId="164" fontId="7" fillId="25" borderId="60" xfId="44" applyNumberFormat="1" applyFont="1" applyFill="1" applyBorder="1"/>
    <xf numFmtId="164" fontId="7" fillId="25" borderId="63" xfId="44" applyNumberFormat="1" applyFont="1" applyFill="1" applyBorder="1"/>
    <xf numFmtId="168" fontId="10" fillId="25" borderId="46" xfId="30" applyNumberFormat="1" applyFont="1" applyFill="1" applyBorder="1"/>
    <xf numFmtId="168" fontId="10" fillId="25" borderId="60" xfId="30" applyNumberFormat="1" applyFont="1" applyFill="1" applyBorder="1"/>
    <xf numFmtId="168" fontId="10" fillId="25" borderId="63" xfId="30" applyNumberFormat="1" applyFont="1" applyFill="1" applyBorder="1"/>
    <xf numFmtId="164" fontId="10" fillId="25" borderId="46" xfId="44" applyNumberFormat="1" applyFont="1" applyFill="1" applyBorder="1"/>
    <xf numFmtId="164" fontId="10" fillId="25" borderId="60" xfId="44" applyNumberFormat="1" applyFont="1" applyFill="1" applyBorder="1"/>
    <xf numFmtId="164" fontId="10" fillId="25" borderId="63" xfId="44" applyNumberFormat="1" applyFont="1" applyFill="1" applyBorder="1"/>
    <xf numFmtId="0" fontId="7" fillId="25" borderId="36" xfId="0" applyFont="1" applyFill="1" applyBorder="1" applyAlignment="1" applyProtection="1">
      <alignment horizontal="left" vertical="center"/>
      <protection locked="0"/>
    </xf>
    <xf numFmtId="0" fontId="15" fillId="115" borderId="36" xfId="0" applyFont="1" applyFill="1" applyBorder="1" applyAlignment="1">
      <alignment vertical="center"/>
    </xf>
    <xf numFmtId="0" fontId="18" fillId="115" borderId="35" xfId="0" applyFont="1" applyFill="1" applyBorder="1" applyAlignment="1">
      <alignment vertical="center"/>
    </xf>
    <xf numFmtId="0" fontId="15" fillId="115" borderId="35" xfId="0" applyFont="1" applyFill="1" applyBorder="1" applyAlignment="1">
      <alignment vertical="center"/>
    </xf>
    <xf numFmtId="0" fontId="18" fillId="115" borderId="34" xfId="0" applyFont="1" applyFill="1" applyBorder="1" applyAlignment="1">
      <alignment vertical="center"/>
    </xf>
    <xf numFmtId="0" fontId="7" fillId="0" borderId="140" xfId="0" applyFont="1" applyFill="1" applyBorder="1" applyAlignment="1">
      <alignment horizontal="left" vertical="center" wrapText="1" indent="1"/>
    </xf>
    <xf numFmtId="0" fontId="7" fillId="0" borderId="141" xfId="0" applyFont="1" applyFill="1" applyBorder="1" applyAlignment="1">
      <alignment horizontal="left" vertical="center" wrapText="1" indent="1"/>
    </xf>
    <xf numFmtId="0" fontId="7" fillId="0" borderId="211" xfId="0" applyFont="1" applyFill="1" applyBorder="1" applyAlignment="1">
      <alignment horizontal="left" vertical="center" wrapText="1" indent="1"/>
    </xf>
    <xf numFmtId="0" fontId="7" fillId="0" borderId="146" xfId="0" applyFont="1" applyFill="1" applyBorder="1" applyAlignment="1">
      <alignment horizontal="left" vertical="center" wrapText="1" indent="1"/>
    </xf>
    <xf numFmtId="0" fontId="15" fillId="115" borderId="34" xfId="0" applyFont="1" applyFill="1" applyBorder="1" applyAlignment="1">
      <alignment vertical="center"/>
    </xf>
    <xf numFmtId="0" fontId="0" fillId="0" borderId="21" xfId="0" applyFill="1" applyBorder="1"/>
    <xf numFmtId="0" fontId="0" fillId="0" borderId="22" xfId="0" applyFill="1" applyBorder="1"/>
    <xf numFmtId="0" fontId="0" fillId="0" borderId="23" xfId="0" applyFill="1" applyBorder="1"/>
    <xf numFmtId="0" fontId="0" fillId="0" borderId="19" xfId="0" applyFill="1" applyBorder="1"/>
    <xf numFmtId="0" fontId="0" fillId="0" borderId="24" xfId="0" applyFill="1" applyBorder="1"/>
    <xf numFmtId="0" fontId="7" fillId="0" borderId="83" xfId="0" applyFont="1" applyFill="1" applyBorder="1" applyAlignment="1">
      <alignment horizontal="right" vertical="center" wrapText="1"/>
    </xf>
    <xf numFmtId="0" fontId="7" fillId="0" borderId="134" xfId="0" applyFont="1" applyFill="1" applyBorder="1" applyAlignment="1">
      <alignment horizontal="right" vertical="center" wrapText="1"/>
    </xf>
    <xf numFmtId="0" fontId="7" fillId="0" borderId="166" xfId="0" applyFont="1" applyFill="1" applyBorder="1" applyAlignment="1">
      <alignment horizontal="right" vertical="center" wrapText="1"/>
    </xf>
    <xf numFmtId="1" fontId="7" fillId="25" borderId="44" xfId="30" applyNumberFormat="1" applyFont="1" applyFill="1" applyBorder="1"/>
    <xf numFmtId="1" fontId="7" fillId="25" borderId="82" xfId="30" applyNumberFormat="1" applyFont="1" applyFill="1" applyBorder="1"/>
    <xf numFmtId="1" fontId="7" fillId="25" borderId="90" xfId="30" applyNumberFormat="1" applyFont="1" applyFill="1" applyBorder="1"/>
    <xf numFmtId="1" fontId="7" fillId="25" borderId="44" xfId="44" applyNumberFormat="1" applyFont="1" applyFill="1" applyBorder="1"/>
    <xf numFmtId="1" fontId="7" fillId="25" borderId="82" xfId="44" applyNumberFormat="1" applyFont="1" applyFill="1" applyBorder="1"/>
    <xf numFmtId="1" fontId="7" fillId="25" borderId="90" xfId="44" applyNumberFormat="1" applyFont="1" applyFill="1" applyBorder="1"/>
    <xf numFmtId="1" fontId="7" fillId="25" borderId="46" xfId="30" applyNumberFormat="1" applyFont="1" applyFill="1" applyBorder="1"/>
    <xf numFmtId="1" fontId="7" fillId="25" borderId="60" xfId="30" applyNumberFormat="1" applyFont="1" applyFill="1" applyBorder="1"/>
    <xf numFmtId="1" fontId="7" fillId="25" borderId="63" xfId="30" applyNumberFormat="1" applyFont="1" applyFill="1" applyBorder="1"/>
    <xf numFmtId="1" fontId="7" fillId="25" borderId="46" xfId="44" applyNumberFormat="1" applyFont="1" applyFill="1" applyBorder="1"/>
    <xf numFmtId="1" fontId="7" fillId="25" borderId="60" xfId="44" applyNumberFormat="1" applyFont="1" applyFill="1" applyBorder="1"/>
    <xf numFmtId="1" fontId="7" fillId="25" borderId="63" xfId="44" applyNumberFormat="1" applyFont="1" applyFill="1" applyBorder="1"/>
    <xf numFmtId="168" fontId="10" fillId="116" borderId="48" xfId="30" applyNumberFormat="1" applyFont="1" applyFill="1" applyBorder="1"/>
    <xf numFmtId="168" fontId="10" fillId="116" borderId="64" xfId="30" applyNumberFormat="1" applyFont="1" applyFill="1" applyBorder="1"/>
    <xf numFmtId="168" fontId="10" fillId="116" borderId="67" xfId="30" applyNumberFormat="1" applyFont="1" applyFill="1" applyBorder="1"/>
    <xf numFmtId="1" fontId="10" fillId="116" borderId="48" xfId="44" applyNumberFormat="1" applyFont="1" applyFill="1" applyBorder="1"/>
    <xf numFmtId="1" fontId="10" fillId="116" borderId="64" xfId="44" applyNumberFormat="1" applyFont="1" applyFill="1" applyBorder="1"/>
    <xf numFmtId="1" fontId="10" fillId="116" borderId="67" xfId="44" applyNumberFormat="1" applyFont="1" applyFill="1" applyBorder="1"/>
    <xf numFmtId="0" fontId="67" fillId="117" borderId="48" xfId="0" applyFont="1" applyFill="1" applyBorder="1" applyAlignment="1">
      <alignment horizontal="center" vertical="center" wrapText="1"/>
    </xf>
    <xf numFmtId="0" fontId="67" fillId="117" borderId="64" xfId="0" applyFont="1" applyFill="1" applyBorder="1" applyAlignment="1">
      <alignment horizontal="center" vertical="center" wrapText="1"/>
    </xf>
    <xf numFmtId="0" fontId="67" fillId="117" borderId="67" xfId="0" applyFont="1" applyFill="1" applyBorder="1" applyAlignment="1">
      <alignment horizontal="center" vertical="center" wrapText="1"/>
    </xf>
    <xf numFmtId="0" fontId="49" fillId="18" borderId="84" xfId="0" applyFont="1" applyFill="1" applyBorder="1" applyAlignment="1" applyProtection="1">
      <alignment horizontal="right" vertical="center"/>
      <protection locked="0"/>
    </xf>
    <xf numFmtId="0" fontId="15" fillId="0" borderId="36" xfId="0" applyFont="1" applyFill="1" applyBorder="1" applyAlignment="1">
      <alignment vertical="center"/>
    </xf>
    <xf numFmtId="0" fontId="15" fillId="0" borderId="35" xfId="0" applyFont="1" applyFill="1" applyBorder="1" applyAlignment="1">
      <alignment vertical="center"/>
    </xf>
    <xf numFmtId="0" fontId="15" fillId="0" borderId="34" xfId="0" applyFont="1" applyFill="1" applyBorder="1" applyAlignment="1">
      <alignment vertical="center"/>
    </xf>
    <xf numFmtId="0" fontId="10" fillId="0" borderId="207" xfId="0" applyFont="1" applyFill="1" applyBorder="1" applyAlignment="1">
      <alignment horizontal="center" vertical="center" wrapText="1"/>
    </xf>
    <xf numFmtId="0" fontId="10" fillId="0" borderId="64" xfId="0" applyFont="1" applyFill="1" applyBorder="1" applyAlignment="1">
      <alignment horizontal="center" vertical="center" wrapText="1"/>
    </xf>
    <xf numFmtId="0" fontId="10" fillId="0" borderId="67" xfId="0" applyFont="1" applyFill="1" applyBorder="1" applyAlignment="1">
      <alignment horizontal="center" vertical="center" wrapText="1"/>
    </xf>
    <xf numFmtId="0" fontId="7" fillId="0" borderId="49" xfId="0" applyFont="1" applyFill="1" applyBorder="1" applyAlignment="1" applyProtection="1">
      <alignment horizontal="right" vertical="center" wrapText="1"/>
      <protection locked="0"/>
    </xf>
    <xf numFmtId="0" fontId="7" fillId="0" borderId="206" xfId="0" applyFont="1" applyFill="1" applyBorder="1" applyAlignment="1" applyProtection="1">
      <alignment horizontal="right" vertical="center" wrapText="1"/>
      <protection locked="0"/>
    </xf>
    <xf numFmtId="0" fontId="7" fillId="0" borderId="82" xfId="0" applyFont="1" applyFill="1" applyBorder="1" applyAlignment="1" applyProtection="1">
      <alignment horizontal="right" vertical="center" wrapText="1"/>
      <protection locked="0"/>
    </xf>
    <xf numFmtId="0" fontId="7" fillId="0" borderId="90" xfId="0" applyFont="1" applyFill="1" applyBorder="1" applyAlignment="1" applyProtection="1">
      <alignment horizontal="right" vertical="center" wrapText="1"/>
      <protection locked="0"/>
    </xf>
    <xf numFmtId="0" fontId="7" fillId="0" borderId="50" xfId="0" applyFont="1" applyFill="1" applyBorder="1" applyAlignment="1" applyProtection="1">
      <alignment horizontal="right" vertical="center" wrapText="1"/>
      <protection locked="0"/>
    </xf>
    <xf numFmtId="0" fontId="7" fillId="0" borderId="46" xfId="0" applyFont="1" applyFill="1" applyBorder="1" applyAlignment="1" applyProtection="1">
      <alignment horizontal="right" vertical="center" wrapText="1"/>
      <protection locked="0"/>
    </xf>
    <xf numFmtId="0" fontId="7" fillId="0" borderId="60" xfId="0" applyFont="1" applyFill="1" applyBorder="1" applyAlignment="1" applyProtection="1">
      <alignment horizontal="right" vertical="center" wrapText="1"/>
      <protection locked="0"/>
    </xf>
    <xf numFmtId="0" fontId="7" fillId="0" borderId="63" xfId="0" applyFont="1" applyFill="1" applyBorder="1" applyAlignment="1" applyProtection="1">
      <alignment horizontal="right" vertical="center" wrapText="1"/>
      <protection locked="0"/>
    </xf>
    <xf numFmtId="0" fontId="7" fillId="0" borderId="68" xfId="0" applyFont="1" applyFill="1" applyBorder="1" applyAlignment="1" applyProtection="1">
      <alignment horizontal="right" vertical="center" wrapText="1"/>
      <protection locked="0"/>
    </xf>
    <xf numFmtId="0" fontId="7" fillId="0" borderId="78" xfId="0" applyFont="1" applyFill="1" applyBorder="1" applyAlignment="1" applyProtection="1">
      <alignment horizontal="right" vertical="center" wrapText="1"/>
      <protection locked="0"/>
    </xf>
    <xf numFmtId="0" fontId="7" fillId="0" borderId="79" xfId="0" applyFont="1" applyFill="1" applyBorder="1" applyAlignment="1" applyProtection="1">
      <alignment horizontal="right" vertical="center" wrapText="1"/>
      <protection locked="0"/>
    </xf>
    <xf numFmtId="0" fontId="7" fillId="0" borderId="80" xfId="0" applyFont="1" applyFill="1" applyBorder="1" applyAlignment="1" applyProtection="1">
      <alignment horizontal="right" vertical="center" wrapText="1"/>
      <protection locked="0"/>
    </xf>
    <xf numFmtId="41" fontId="10" fillId="0" borderId="36" xfId="0" applyNumberFormat="1" applyFont="1" applyFill="1" applyBorder="1"/>
    <xf numFmtId="43" fontId="10" fillId="0" borderId="51" xfId="0" applyNumberFormat="1" applyFont="1" applyFill="1" applyBorder="1"/>
    <xf numFmtId="43" fontId="10" fillId="0" borderId="52" xfId="0" applyNumberFormat="1" applyFont="1" applyFill="1" applyBorder="1"/>
    <xf numFmtId="43" fontId="10" fillId="0" borderId="53" xfId="0" applyNumberFormat="1" applyFont="1" applyFill="1" applyBorder="1"/>
    <xf numFmtId="0" fontId="7" fillId="0" borderId="45" xfId="0" applyFont="1" applyFill="1" applyBorder="1" applyAlignment="1" applyProtection="1">
      <alignment horizontal="right" vertical="center" wrapText="1"/>
      <protection locked="0"/>
    </xf>
    <xf numFmtId="0" fontId="7" fillId="0" borderId="35" xfId="0" applyFont="1" applyFill="1" applyBorder="1" applyAlignment="1" applyProtection="1">
      <alignment vertical="center" wrapText="1"/>
      <protection locked="0"/>
    </xf>
    <xf numFmtId="0" fontId="7" fillId="0" borderId="34" xfId="0" applyFont="1" applyFill="1" applyBorder="1" applyAlignment="1" applyProtection="1">
      <alignment vertical="center" wrapText="1"/>
      <protection locked="0"/>
    </xf>
    <xf numFmtId="0" fontId="7" fillId="0" borderId="36" xfId="0" applyFont="1" applyFill="1" applyBorder="1" applyAlignment="1" applyProtection="1">
      <alignment vertical="center"/>
      <protection locked="0"/>
    </xf>
    <xf numFmtId="168" fontId="7" fillId="0" borderId="206" xfId="30" applyNumberFormat="1" applyFont="1" applyFill="1" applyBorder="1" applyAlignment="1" applyProtection="1">
      <alignment horizontal="right" vertical="center" wrapText="1"/>
      <protection locked="0"/>
    </xf>
    <xf numFmtId="168" fontId="7" fillId="0" borderId="82" xfId="30" applyNumberFormat="1" applyFont="1" applyFill="1" applyBorder="1" applyAlignment="1" applyProtection="1">
      <alignment horizontal="right" vertical="center" wrapText="1"/>
      <protection locked="0"/>
    </xf>
    <xf numFmtId="168" fontId="7" fillId="0" borderId="90" xfId="30" applyNumberFormat="1" applyFont="1" applyFill="1" applyBorder="1" applyAlignment="1" applyProtection="1">
      <alignment horizontal="right" vertical="center" wrapText="1"/>
      <protection locked="0"/>
    </xf>
    <xf numFmtId="168" fontId="7" fillId="0" borderId="46" xfId="30" applyNumberFormat="1" applyFont="1" applyFill="1" applyBorder="1" applyAlignment="1" applyProtection="1">
      <alignment horizontal="right" vertical="center" wrapText="1"/>
      <protection locked="0"/>
    </xf>
    <xf numFmtId="168" fontId="7" fillId="0" borderId="60" xfId="30" applyNumberFormat="1" applyFont="1" applyFill="1" applyBorder="1" applyAlignment="1" applyProtection="1">
      <alignment horizontal="right" vertical="center" wrapText="1"/>
      <protection locked="0"/>
    </xf>
    <xf numFmtId="168" fontId="7" fillId="0" borderId="63" xfId="30" applyNumberFormat="1" applyFont="1" applyFill="1" applyBorder="1" applyAlignment="1" applyProtection="1">
      <alignment horizontal="right" vertical="center" wrapText="1"/>
      <protection locked="0"/>
    </xf>
    <xf numFmtId="168" fontId="7" fillId="0" borderId="207" xfId="30" applyNumberFormat="1" applyFont="1" applyFill="1" applyBorder="1" applyAlignment="1" applyProtection="1">
      <alignment horizontal="right" vertical="center" wrapText="1"/>
      <protection locked="0"/>
    </xf>
    <xf numFmtId="168" fontId="7" fillId="0" borderId="64" xfId="30" applyNumberFormat="1" applyFont="1" applyFill="1" applyBorder="1" applyAlignment="1" applyProtection="1">
      <alignment horizontal="right" vertical="center" wrapText="1"/>
      <protection locked="0"/>
    </xf>
    <xf numFmtId="168" fontId="7" fillId="0" borderId="67" xfId="30" applyNumberFormat="1" applyFont="1" applyFill="1" applyBorder="1" applyAlignment="1" applyProtection="1">
      <alignment horizontal="right" vertical="center" wrapText="1"/>
      <protection locked="0"/>
    </xf>
    <xf numFmtId="168" fontId="10" fillId="0" borderId="51" xfId="30" applyNumberFormat="1" applyFont="1" applyFill="1" applyBorder="1"/>
    <xf numFmtId="168" fontId="10" fillId="0" borderId="52" xfId="30" applyNumberFormat="1" applyFont="1" applyFill="1" applyBorder="1"/>
    <xf numFmtId="168" fontId="10" fillId="0" borderId="53" xfId="30" applyNumberFormat="1" applyFont="1" applyFill="1" applyBorder="1"/>
    <xf numFmtId="168" fontId="7" fillId="113" borderId="206" xfId="30" applyNumberFormat="1" applyFont="1" applyFill="1" applyBorder="1" applyAlignment="1" applyProtection="1">
      <alignment horizontal="right" vertical="center" wrapText="1"/>
      <protection locked="0"/>
    </xf>
    <xf numFmtId="168" fontId="7" fillId="113" borderId="82" xfId="30" applyNumberFormat="1" applyFont="1" applyFill="1" applyBorder="1" applyAlignment="1" applyProtection="1">
      <alignment horizontal="right" vertical="center" wrapText="1"/>
      <protection locked="0"/>
    </xf>
    <xf numFmtId="168" fontId="7" fillId="113" borderId="90" xfId="30" applyNumberFormat="1" applyFont="1" applyFill="1" applyBorder="1" applyAlignment="1" applyProtection="1">
      <alignment horizontal="right" vertical="center" wrapText="1"/>
      <protection locked="0"/>
    </xf>
    <xf numFmtId="168" fontId="7" fillId="113" borderId="46" xfId="30" applyNumberFormat="1" applyFont="1" applyFill="1" applyBorder="1" applyAlignment="1" applyProtection="1">
      <alignment horizontal="right" vertical="center" wrapText="1"/>
      <protection locked="0"/>
    </xf>
    <xf numFmtId="168" fontId="7" fillId="113" borderId="60" xfId="30" applyNumberFormat="1" applyFont="1" applyFill="1" applyBorder="1" applyAlignment="1" applyProtection="1">
      <alignment horizontal="right" vertical="center" wrapText="1"/>
      <protection locked="0"/>
    </xf>
    <xf numFmtId="168" fontId="7" fillId="113" borderId="63" xfId="30" applyNumberFormat="1" applyFont="1" applyFill="1" applyBorder="1" applyAlignment="1" applyProtection="1">
      <alignment horizontal="right" vertical="center" wrapText="1"/>
      <protection locked="0"/>
    </xf>
    <xf numFmtId="168" fontId="7" fillId="113" borderId="207" xfId="30" applyNumberFormat="1" applyFont="1" applyFill="1" applyBorder="1" applyAlignment="1" applyProtection="1">
      <alignment horizontal="right" vertical="center" wrapText="1"/>
      <protection locked="0"/>
    </xf>
    <xf numFmtId="168" fontId="7" fillId="113" borderId="64" xfId="30" applyNumberFormat="1" applyFont="1" applyFill="1" applyBorder="1" applyAlignment="1" applyProtection="1">
      <alignment horizontal="right" vertical="center" wrapText="1"/>
      <protection locked="0"/>
    </xf>
    <xf numFmtId="168" fontId="7" fillId="113" borderId="67" xfId="30" applyNumberFormat="1" applyFont="1" applyFill="1" applyBorder="1" applyAlignment="1" applyProtection="1">
      <alignment horizontal="right" vertical="center" wrapText="1"/>
      <protection locked="0"/>
    </xf>
    <xf numFmtId="168" fontId="10" fillId="113" borderId="51" xfId="30" applyNumberFormat="1" applyFont="1" applyFill="1" applyBorder="1"/>
    <xf numFmtId="168" fontId="10" fillId="113" borderId="52" xfId="30" applyNumberFormat="1" applyFont="1" applyFill="1" applyBorder="1"/>
    <xf numFmtId="168" fontId="10" fillId="113" borderId="53" xfId="30" applyNumberFormat="1" applyFont="1" applyFill="1" applyBorder="1"/>
    <xf numFmtId="168" fontId="7" fillId="18" borderId="206" xfId="30" applyNumberFormat="1" applyFont="1" applyFill="1" applyBorder="1" applyAlignment="1">
      <alignment vertical="center" wrapText="1"/>
    </xf>
    <xf numFmtId="168" fontId="7" fillId="18" borderId="82" xfId="30" applyNumberFormat="1" applyFont="1" applyFill="1" applyBorder="1" applyAlignment="1">
      <alignment vertical="center" wrapText="1"/>
    </xf>
    <xf numFmtId="168" fontId="7" fillId="18" borderId="90" xfId="30" applyNumberFormat="1" applyFont="1" applyFill="1" applyBorder="1" applyAlignment="1">
      <alignment vertical="center" wrapText="1"/>
    </xf>
    <xf numFmtId="168" fontId="7" fillId="18" borderId="46" xfId="30" applyNumberFormat="1" applyFont="1" applyFill="1" applyBorder="1" applyAlignment="1">
      <alignment vertical="center" wrapText="1"/>
    </xf>
    <xf numFmtId="168" fontId="7" fillId="18" borderId="60" xfId="30" applyNumberFormat="1" applyFont="1" applyFill="1" applyBorder="1" applyAlignment="1">
      <alignment vertical="center" wrapText="1"/>
    </xf>
    <xf numFmtId="168" fontId="7" fillId="18" borderId="63" xfId="30" applyNumberFormat="1" applyFont="1" applyFill="1" applyBorder="1" applyAlignment="1">
      <alignment vertical="center" wrapText="1"/>
    </xf>
    <xf numFmtId="168" fontId="7" fillId="18" borderId="46" xfId="30" applyNumberFormat="1" applyFont="1" applyFill="1" applyBorder="1" applyAlignment="1">
      <alignment vertical="center"/>
    </xf>
    <xf numFmtId="168" fontId="7" fillId="18" borderId="60" xfId="30" applyNumberFormat="1" applyFont="1" applyFill="1" applyBorder="1" applyAlignment="1">
      <alignment vertical="center"/>
    </xf>
    <xf numFmtId="168" fontId="7" fillId="18" borderId="63" xfId="30" applyNumberFormat="1" applyFont="1" applyFill="1" applyBorder="1" applyAlignment="1">
      <alignment vertical="center"/>
    </xf>
    <xf numFmtId="168" fontId="10" fillId="29" borderId="52" xfId="30" applyNumberFormat="1" applyFont="1" applyFill="1" applyBorder="1"/>
    <xf numFmtId="0" fontId="10" fillId="18" borderId="142" xfId="0" applyFont="1" applyFill="1" applyBorder="1" applyAlignment="1">
      <alignment horizontal="left" vertical="center" wrapText="1"/>
    </xf>
    <xf numFmtId="0" fontId="10" fillId="18" borderId="235" xfId="0" applyFont="1" applyFill="1" applyBorder="1" applyAlignment="1">
      <alignment horizontal="left" vertical="center" wrapText="1"/>
    </xf>
    <xf numFmtId="0" fontId="67" fillId="33" borderId="48" xfId="0" applyFont="1" applyFill="1" applyBorder="1" applyAlignment="1">
      <alignment horizontal="center" vertical="center" wrapText="1"/>
    </xf>
    <xf numFmtId="0" fontId="67" fillId="33" borderId="64" xfId="0" applyFont="1" applyFill="1" applyBorder="1" applyAlignment="1">
      <alignment horizontal="center" vertical="center" wrapText="1"/>
    </xf>
    <xf numFmtId="0" fontId="67" fillId="33" borderId="67" xfId="0" applyFont="1" applyFill="1" applyBorder="1" applyAlignment="1">
      <alignment horizontal="center" vertical="center" wrapText="1"/>
    </xf>
    <xf numFmtId="0" fontId="67" fillId="33" borderId="207" xfId="0" applyFont="1" applyFill="1" applyBorder="1" applyAlignment="1">
      <alignment horizontal="center" vertical="center" wrapText="1"/>
    </xf>
    <xf numFmtId="0" fontId="10" fillId="33" borderId="19" xfId="0" applyFont="1" applyFill="1" applyBorder="1" applyAlignment="1" applyProtection="1">
      <alignment horizontal="left" vertical="center" wrapText="1"/>
      <protection locked="0"/>
    </xf>
    <xf numFmtId="168" fontId="7" fillId="33" borderId="51" xfId="30" applyNumberFormat="1" applyFont="1" applyFill="1" applyBorder="1"/>
    <xf numFmtId="168" fontId="7" fillId="33" borderId="52" xfId="30" applyNumberFormat="1" applyFont="1" applyFill="1" applyBorder="1"/>
    <xf numFmtId="168" fontId="7" fillId="33" borderId="53" xfId="30" applyNumberFormat="1" applyFont="1" applyFill="1" applyBorder="1"/>
    <xf numFmtId="174" fontId="7" fillId="33" borderId="51" xfId="30" applyNumberFormat="1" applyFont="1" applyFill="1" applyBorder="1"/>
    <xf numFmtId="174" fontId="7" fillId="33" borderId="52" xfId="30" applyNumberFormat="1" applyFont="1" applyFill="1" applyBorder="1"/>
    <xf numFmtId="174" fontId="7" fillId="33" borderId="53" xfId="30" applyNumberFormat="1" applyFont="1" applyFill="1" applyBorder="1"/>
    <xf numFmtId="0" fontId="10" fillId="33" borderId="253" xfId="0" applyFont="1" applyFill="1" applyBorder="1" applyAlignment="1" applyProtection="1">
      <alignment wrapText="1"/>
      <protection locked="0"/>
    </xf>
    <xf numFmtId="168" fontId="7" fillId="33" borderId="44" xfId="30" applyNumberFormat="1" applyFont="1" applyFill="1" applyBorder="1"/>
    <xf numFmtId="168" fontId="7" fillId="33" borderId="82" xfId="30" applyNumberFormat="1" applyFont="1" applyFill="1" applyBorder="1"/>
    <xf numFmtId="168" fontId="7" fillId="33" borderId="90" xfId="30" applyNumberFormat="1" applyFont="1" applyFill="1" applyBorder="1"/>
    <xf numFmtId="168" fontId="7" fillId="33" borderId="206" xfId="30" applyNumberFormat="1" applyFont="1" applyFill="1" applyBorder="1"/>
    <xf numFmtId="168" fontId="7" fillId="33" borderId="46" xfId="30" applyNumberFormat="1" applyFont="1" applyFill="1" applyBorder="1"/>
    <xf numFmtId="168" fontId="7" fillId="33" borderId="60" xfId="30" applyNumberFormat="1" applyFont="1" applyFill="1" applyBorder="1"/>
    <xf numFmtId="168" fontId="7" fillId="33" borderId="63" xfId="30" applyNumberFormat="1" applyFont="1" applyFill="1" applyBorder="1"/>
    <xf numFmtId="0" fontId="7" fillId="33" borderId="233" xfId="0" applyFont="1" applyFill="1" applyBorder="1" applyAlignment="1">
      <alignment horizontal="left" vertical="center" wrapText="1" indent="1"/>
    </xf>
    <xf numFmtId="0" fontId="10" fillId="33" borderId="25" xfId="0" applyFont="1" applyFill="1" applyBorder="1" applyAlignment="1" applyProtection="1">
      <alignment horizontal="left" vertical="center" wrapText="1"/>
      <protection locked="0"/>
    </xf>
    <xf numFmtId="168" fontId="7" fillId="33" borderId="250" xfId="30" applyNumberFormat="1" applyFont="1" applyFill="1" applyBorder="1"/>
    <xf numFmtId="168" fontId="7" fillId="33" borderId="251" xfId="30" applyNumberFormat="1" applyFont="1" applyFill="1" applyBorder="1"/>
    <xf numFmtId="168" fontId="7" fillId="33" borderId="252" xfId="30" applyNumberFormat="1" applyFont="1" applyFill="1" applyBorder="1"/>
    <xf numFmtId="0" fontId="7" fillId="33" borderId="36" xfId="0" applyFont="1" applyFill="1" applyBorder="1" applyAlignment="1" applyProtection="1">
      <alignment vertical="center" wrapText="1"/>
      <protection locked="0"/>
    </xf>
    <xf numFmtId="0" fontId="7" fillId="33" borderId="35" xfId="0" applyFont="1" applyFill="1" applyBorder="1" applyAlignment="1" applyProtection="1">
      <alignment vertical="center" wrapText="1"/>
      <protection locked="0"/>
    </xf>
    <xf numFmtId="0" fontId="7" fillId="33" borderId="34" xfId="0" applyFont="1" applyFill="1" applyBorder="1" applyAlignment="1" applyProtection="1">
      <alignment vertical="center" wrapText="1"/>
      <protection locked="0"/>
    </xf>
    <xf numFmtId="0" fontId="10" fillId="33" borderId="70" xfId="0" applyFont="1" applyFill="1" applyBorder="1" applyAlignment="1" applyProtection="1">
      <alignment horizontal="left" vertical="center" wrapText="1"/>
      <protection locked="0"/>
    </xf>
    <xf numFmtId="9" fontId="7" fillId="33" borderId="142" xfId="44" applyFont="1" applyFill="1" applyBorder="1" applyAlignment="1">
      <alignment vertical="center"/>
    </xf>
    <xf numFmtId="9" fontId="7" fillId="33" borderId="96" xfId="44" applyFont="1" applyFill="1" applyBorder="1" applyAlignment="1">
      <alignment vertical="center"/>
    </xf>
    <xf numFmtId="9" fontId="7" fillId="33" borderId="108" xfId="44" applyFont="1" applyFill="1" applyBorder="1" applyAlignment="1">
      <alignment vertical="center"/>
    </xf>
    <xf numFmtId="9" fontId="7" fillId="33" borderId="51" xfId="44" applyFont="1" applyFill="1" applyBorder="1" applyAlignment="1">
      <alignment vertical="center"/>
    </xf>
    <xf numFmtId="9" fontId="7" fillId="33" borderId="52" xfId="44" applyFont="1" applyFill="1" applyBorder="1" applyAlignment="1">
      <alignment vertical="center"/>
    </xf>
    <xf numFmtId="9" fontId="7" fillId="33" borderId="53" xfId="44" applyFont="1" applyFill="1" applyBorder="1" applyAlignment="1">
      <alignment vertical="center"/>
    </xf>
    <xf numFmtId="168" fontId="10" fillId="33" borderId="153" xfId="30" applyNumberFormat="1" applyFont="1" applyFill="1" applyBorder="1"/>
    <xf numFmtId="168" fontId="10" fillId="33" borderId="144" xfId="30" applyNumberFormat="1" applyFont="1" applyFill="1" applyBorder="1"/>
    <xf numFmtId="168" fontId="10" fillId="33" borderId="203" xfId="30" applyNumberFormat="1" applyFont="1" applyFill="1" applyBorder="1"/>
    <xf numFmtId="168" fontId="10" fillId="33" borderId="176" xfId="30" applyNumberFormat="1" applyFont="1" applyFill="1" applyBorder="1"/>
    <xf numFmtId="0" fontId="18" fillId="33" borderId="35" xfId="0" applyFont="1" applyFill="1" applyBorder="1" applyAlignment="1">
      <alignment vertical="center"/>
    </xf>
    <xf numFmtId="0" fontId="18" fillId="33" borderId="34" xfId="0" applyFont="1" applyFill="1" applyBorder="1" applyAlignment="1">
      <alignment vertical="center"/>
    </xf>
    <xf numFmtId="0" fontId="7" fillId="33" borderId="44" xfId="0" applyFont="1" applyFill="1" applyBorder="1" applyAlignment="1" applyProtection="1">
      <alignment horizontal="right" vertical="center" wrapText="1"/>
      <protection locked="0"/>
    </xf>
    <xf numFmtId="0" fontId="7" fillId="33" borderId="82" xfId="0" applyFont="1" applyFill="1" applyBorder="1" applyAlignment="1" applyProtection="1">
      <alignment horizontal="right" vertical="center" wrapText="1"/>
      <protection locked="0"/>
    </xf>
    <xf numFmtId="0" fontId="7" fillId="33" borderId="71" xfId="0" applyFont="1" applyFill="1" applyBorder="1" applyAlignment="1" applyProtection="1">
      <alignment horizontal="right" vertical="center" wrapText="1"/>
      <protection locked="0"/>
    </xf>
    <xf numFmtId="0" fontId="7" fillId="33" borderId="89" xfId="0" applyFont="1" applyFill="1" applyBorder="1" applyAlignment="1" applyProtection="1">
      <alignment horizontal="right" vertical="center" wrapText="1"/>
      <protection locked="0"/>
    </xf>
    <xf numFmtId="0" fontId="7" fillId="33" borderId="90" xfId="0" applyFont="1" applyFill="1" applyBorder="1" applyAlignment="1" applyProtection="1">
      <alignment horizontal="right" vertical="center" wrapText="1"/>
      <protection locked="0"/>
    </xf>
    <xf numFmtId="0" fontId="7" fillId="33" borderId="46" xfId="0" applyFont="1" applyFill="1" applyBorder="1" applyAlignment="1" applyProtection="1">
      <alignment horizontal="right" vertical="center" wrapText="1"/>
      <protection locked="0"/>
    </xf>
    <xf numFmtId="0" fontId="7" fillId="33" borderId="60" xfId="0" applyFont="1" applyFill="1" applyBorder="1" applyAlignment="1" applyProtection="1">
      <alignment horizontal="right" vertical="center" wrapText="1"/>
      <protection locked="0"/>
    </xf>
    <xf numFmtId="0" fontId="7" fillId="33" borderId="61" xfId="0" applyFont="1" applyFill="1" applyBorder="1" applyAlignment="1" applyProtection="1">
      <alignment horizontal="right" vertical="center" wrapText="1"/>
      <protection locked="0"/>
    </xf>
    <xf numFmtId="0" fontId="7" fillId="33" borderId="62" xfId="0" applyFont="1" applyFill="1" applyBorder="1" applyAlignment="1" applyProtection="1">
      <alignment horizontal="right" vertical="center" wrapText="1"/>
      <protection locked="0"/>
    </xf>
    <xf numFmtId="0" fontId="7" fillId="33" borderId="63" xfId="0" applyFont="1" applyFill="1" applyBorder="1" applyAlignment="1" applyProtection="1">
      <alignment horizontal="right" vertical="center" wrapText="1"/>
      <protection locked="0"/>
    </xf>
    <xf numFmtId="0" fontId="7" fillId="33" borderId="78" xfId="0" applyFont="1" applyFill="1" applyBorder="1" applyAlignment="1" applyProtection="1">
      <alignment horizontal="right" vertical="center" wrapText="1"/>
      <protection locked="0"/>
    </xf>
    <xf numFmtId="0" fontId="7" fillId="33" borderId="79" xfId="0" applyFont="1" applyFill="1" applyBorder="1" applyAlignment="1" applyProtection="1">
      <alignment horizontal="right" vertical="center" wrapText="1"/>
      <protection locked="0"/>
    </xf>
    <xf numFmtId="0" fontId="7" fillId="33" borderId="84" xfId="0" applyFont="1" applyFill="1" applyBorder="1" applyAlignment="1" applyProtection="1">
      <alignment horizontal="right" vertical="center" wrapText="1"/>
      <protection locked="0"/>
    </xf>
    <xf numFmtId="0" fontId="7" fillId="33" borderId="81" xfId="0" applyFont="1" applyFill="1" applyBorder="1" applyAlignment="1" applyProtection="1">
      <alignment horizontal="right" vertical="center" wrapText="1"/>
      <protection locked="0"/>
    </xf>
    <xf numFmtId="0" fontId="7" fillId="33" borderId="80" xfId="0" applyFont="1" applyFill="1" applyBorder="1" applyAlignment="1" applyProtection="1">
      <alignment horizontal="right" vertical="center" wrapText="1"/>
      <protection locked="0"/>
    </xf>
    <xf numFmtId="0" fontId="7" fillId="33" borderId="48" xfId="0" applyFont="1" applyFill="1" applyBorder="1" applyAlignment="1" applyProtection="1">
      <alignment horizontal="right" vertical="center" wrapText="1"/>
      <protection locked="0"/>
    </xf>
    <xf numFmtId="0" fontId="7" fillId="33" borderId="64" xfId="0" applyFont="1" applyFill="1" applyBorder="1" applyAlignment="1" applyProtection="1">
      <alignment horizontal="right" vertical="center" wrapText="1"/>
      <protection locked="0"/>
    </xf>
    <xf numFmtId="0" fontId="7" fillId="33" borderId="65" xfId="0" applyFont="1" applyFill="1" applyBorder="1" applyAlignment="1" applyProtection="1">
      <alignment horizontal="right" vertical="center" wrapText="1"/>
      <protection locked="0"/>
    </xf>
    <xf numFmtId="0" fontId="7" fillId="33" borderId="66" xfId="0" applyFont="1" applyFill="1" applyBorder="1" applyAlignment="1" applyProtection="1">
      <alignment horizontal="right" vertical="center" wrapText="1"/>
      <protection locked="0"/>
    </xf>
    <xf numFmtId="0" fontId="7" fillId="33" borderId="67" xfId="0" applyFont="1" applyFill="1" applyBorder="1" applyAlignment="1" applyProtection="1">
      <alignment horizontal="right" vertical="center" wrapText="1"/>
      <protection locked="0"/>
    </xf>
    <xf numFmtId="168" fontId="0" fillId="33" borderId="0" xfId="0" applyNumberFormat="1" applyFill="1"/>
    <xf numFmtId="0" fontId="7" fillId="18" borderId="87" xfId="0" applyFont="1" applyFill="1" applyBorder="1" applyAlignment="1">
      <alignment horizontal="left" vertical="center" wrapText="1" indent="2"/>
    </xf>
    <xf numFmtId="0" fontId="7" fillId="18" borderId="78" xfId="0" applyFont="1" applyFill="1" applyBorder="1" applyAlignment="1">
      <alignment horizontal="left" vertical="center" wrapText="1"/>
    </xf>
    <xf numFmtId="0" fontId="7" fillId="18" borderId="80" xfId="0" applyFont="1" applyFill="1" applyBorder="1" applyAlignment="1">
      <alignment horizontal="left" vertical="center" wrapText="1"/>
    </xf>
    <xf numFmtId="0" fontId="7" fillId="18" borderId="81" xfId="0" applyFont="1" applyFill="1" applyBorder="1" applyAlignment="1" applyProtection="1">
      <alignment horizontal="right" vertical="center"/>
      <protection locked="0"/>
    </xf>
    <xf numFmtId="0" fontId="7" fillId="18" borderId="79" xfId="0" applyFont="1" applyFill="1" applyBorder="1" applyAlignment="1" applyProtection="1">
      <alignment horizontal="right" vertical="center"/>
      <protection locked="0"/>
    </xf>
    <xf numFmtId="168" fontId="7" fillId="18" borderId="90" xfId="30" applyNumberFormat="1" applyFont="1" applyFill="1" applyBorder="1" applyAlignment="1" applyProtection="1">
      <alignment horizontal="right" vertical="center"/>
      <protection locked="0"/>
    </xf>
    <xf numFmtId="168" fontId="7" fillId="18" borderId="89" xfId="30" applyNumberFormat="1" applyFont="1" applyFill="1" applyBorder="1" applyAlignment="1" applyProtection="1">
      <alignment horizontal="right" vertical="center"/>
      <protection locked="0"/>
    </xf>
    <xf numFmtId="168" fontId="7" fillId="18" borderId="82" xfId="30" applyNumberFormat="1" applyFont="1" applyFill="1" applyBorder="1" applyAlignment="1" applyProtection="1">
      <alignment horizontal="right" vertical="center"/>
      <protection locked="0"/>
    </xf>
    <xf numFmtId="168" fontId="7" fillId="18" borderId="59" xfId="30" applyNumberFormat="1" applyFont="1" applyFill="1" applyBorder="1" applyAlignment="1" applyProtection="1">
      <alignment horizontal="right" vertical="center"/>
      <protection locked="0"/>
    </xf>
    <xf numFmtId="168" fontId="7" fillId="18" borderId="58" xfId="30" applyNumberFormat="1" applyFont="1" applyFill="1" applyBorder="1" applyAlignment="1" applyProtection="1">
      <alignment horizontal="right" vertical="center"/>
      <protection locked="0"/>
    </xf>
    <xf numFmtId="168" fontId="7" fillId="18" borderId="56" xfId="30" applyNumberFormat="1" applyFont="1" applyFill="1" applyBorder="1" applyAlignment="1" applyProtection="1">
      <alignment horizontal="right" vertical="center"/>
      <protection locked="0"/>
    </xf>
    <xf numFmtId="168" fontId="7" fillId="18" borderId="63" xfId="30" applyNumberFormat="1" applyFont="1" applyFill="1" applyBorder="1" applyAlignment="1" applyProtection="1">
      <alignment horizontal="right" vertical="center"/>
      <protection locked="0"/>
    </xf>
    <xf numFmtId="168" fontId="7" fillId="18" borderId="62" xfId="30" applyNumberFormat="1" applyFont="1" applyFill="1" applyBorder="1" applyAlignment="1" applyProtection="1">
      <alignment horizontal="right" vertical="center"/>
      <protection locked="0"/>
    </xf>
    <xf numFmtId="168" fontId="7" fillId="18" borderId="60" xfId="30" applyNumberFormat="1" applyFont="1" applyFill="1" applyBorder="1" applyAlignment="1" applyProtection="1">
      <alignment horizontal="right" vertical="center"/>
      <protection locked="0"/>
    </xf>
    <xf numFmtId="168" fontId="7" fillId="18" borderId="80" xfId="30" applyNumberFormat="1" applyFont="1" applyFill="1" applyBorder="1" applyAlignment="1" applyProtection="1">
      <alignment horizontal="right" vertical="center"/>
      <protection locked="0"/>
    </xf>
    <xf numFmtId="168" fontId="7" fillId="18" borderId="81" xfId="30" applyNumberFormat="1" applyFont="1" applyFill="1" applyBorder="1" applyAlignment="1" applyProtection="1">
      <alignment horizontal="right" vertical="center"/>
      <protection locked="0"/>
    </xf>
    <xf numFmtId="168" fontId="7" fillId="18" borderId="79" xfId="30" applyNumberFormat="1" applyFont="1" applyFill="1" applyBorder="1" applyAlignment="1" applyProtection="1">
      <alignment horizontal="right" vertical="center"/>
      <protection locked="0"/>
    </xf>
    <xf numFmtId="168" fontId="7" fillId="18" borderId="219" xfId="30" applyNumberFormat="1" applyFont="1" applyFill="1" applyBorder="1" applyAlignment="1" applyProtection="1">
      <alignment horizontal="right" vertical="center"/>
      <protection locked="0"/>
    </xf>
    <xf numFmtId="168" fontId="7" fillId="18" borderId="232" xfId="30" applyNumberFormat="1" applyFont="1" applyFill="1" applyBorder="1" applyAlignment="1" applyProtection="1">
      <alignment horizontal="right" vertical="center"/>
      <protection locked="0"/>
    </xf>
    <xf numFmtId="168" fontId="7" fillId="18" borderId="218" xfId="30" applyNumberFormat="1" applyFont="1" applyFill="1" applyBorder="1" applyAlignment="1" applyProtection="1">
      <alignment horizontal="right" vertical="center"/>
      <protection locked="0"/>
    </xf>
    <xf numFmtId="168" fontId="7" fillId="18" borderId="239" xfId="30" applyNumberFormat="1" applyFont="1" applyFill="1" applyBorder="1" applyAlignment="1" applyProtection="1">
      <alignment horizontal="right" vertical="center"/>
      <protection locked="0"/>
    </xf>
    <xf numFmtId="168" fontId="7" fillId="18" borderId="245" xfId="30" applyNumberFormat="1" applyFont="1" applyFill="1" applyBorder="1" applyAlignment="1" applyProtection="1">
      <alignment horizontal="right" vertical="center"/>
      <protection locked="0"/>
    </xf>
    <xf numFmtId="168" fontId="7" fillId="18" borderId="240" xfId="30" applyNumberFormat="1" applyFont="1" applyFill="1" applyBorder="1" applyAlignment="1" applyProtection="1">
      <alignment horizontal="right" vertical="center"/>
      <protection locked="0"/>
    </xf>
    <xf numFmtId="168" fontId="7" fillId="18" borderId="67" xfId="30" applyNumberFormat="1" applyFont="1" applyFill="1" applyBorder="1" applyAlignment="1" applyProtection="1">
      <alignment horizontal="right" vertical="center"/>
      <protection locked="0"/>
    </xf>
    <xf numFmtId="168" fontId="7" fillId="18" borderId="66" xfId="30" applyNumberFormat="1" applyFont="1" applyFill="1" applyBorder="1" applyAlignment="1" applyProtection="1">
      <alignment horizontal="right" vertical="center"/>
      <protection locked="0"/>
    </xf>
    <xf numFmtId="168" fontId="7" fillId="18" borderId="64" xfId="30" applyNumberFormat="1" applyFont="1" applyFill="1" applyBorder="1" applyAlignment="1" applyProtection="1">
      <alignment horizontal="right" vertical="center"/>
      <protection locked="0"/>
    </xf>
    <xf numFmtId="168" fontId="10" fillId="38" borderId="75" xfId="30" applyNumberFormat="1" applyFont="1" applyFill="1" applyBorder="1" applyAlignment="1">
      <alignment horizontal="right" vertical="center"/>
    </xf>
    <xf numFmtId="168" fontId="10" fillId="38" borderId="77" xfId="30" applyNumberFormat="1" applyFont="1" applyFill="1" applyBorder="1" applyAlignment="1">
      <alignment horizontal="right" vertical="center"/>
    </xf>
    <xf numFmtId="168" fontId="10" fillId="38" borderId="216" xfId="30" applyNumberFormat="1" applyFont="1" applyFill="1" applyBorder="1" applyAlignment="1">
      <alignment horizontal="right" vertical="center"/>
    </xf>
    <xf numFmtId="168" fontId="10" fillId="38" borderId="125" xfId="30" applyNumberFormat="1" applyFont="1" applyFill="1" applyBorder="1" applyAlignment="1">
      <alignment horizontal="right" vertical="center"/>
    </xf>
    <xf numFmtId="168" fontId="10" fillId="38" borderId="147" xfId="30" applyNumberFormat="1" applyFont="1" applyFill="1" applyBorder="1" applyAlignment="1">
      <alignment horizontal="right" vertical="center"/>
    </xf>
    <xf numFmtId="168" fontId="10" fillId="29" borderId="66" xfId="30" applyNumberFormat="1" applyFont="1" applyFill="1" applyBorder="1" applyAlignment="1">
      <alignment horizontal="right" vertical="center"/>
    </xf>
    <xf numFmtId="168" fontId="10" fillId="29" borderId="64" xfId="30" applyNumberFormat="1" applyFont="1" applyFill="1" applyBorder="1" applyAlignment="1">
      <alignment horizontal="right" vertical="center"/>
    </xf>
    <xf numFmtId="168" fontId="10" fillId="29" borderId="67" xfId="30" applyNumberFormat="1" applyFont="1" applyFill="1" applyBorder="1" applyAlignment="1">
      <alignment horizontal="right" vertical="center"/>
    </xf>
    <xf numFmtId="168" fontId="10" fillId="29" borderId="147" xfId="30" applyNumberFormat="1" applyFont="1" applyFill="1" applyBorder="1" applyAlignment="1">
      <alignment horizontal="right" vertical="center"/>
    </xf>
    <xf numFmtId="168" fontId="10" fillId="38" borderId="166" xfId="30" applyNumberFormat="1" applyFont="1" applyFill="1" applyBorder="1" applyAlignment="1">
      <alignment horizontal="right" vertical="center"/>
    </xf>
    <xf numFmtId="9" fontId="7" fillId="33" borderId="44" xfId="44" applyFont="1" applyFill="1" applyBorder="1"/>
    <xf numFmtId="10" fontId="7" fillId="33" borderId="44" xfId="44" applyNumberFormat="1" applyFont="1" applyFill="1" applyBorder="1"/>
    <xf numFmtId="9" fontId="7" fillId="33" borderId="46" xfId="44" applyFont="1" applyFill="1" applyBorder="1"/>
    <xf numFmtId="10" fontId="7" fillId="33" borderId="46" xfId="44" applyNumberFormat="1" applyFont="1" applyFill="1" applyBorder="1"/>
    <xf numFmtId="9" fontId="7" fillId="33" borderId="82" xfId="44" applyFont="1" applyFill="1" applyBorder="1"/>
    <xf numFmtId="9" fontId="7" fillId="33" borderId="60" xfId="44" applyFont="1" applyFill="1" applyBorder="1"/>
    <xf numFmtId="9" fontId="7" fillId="33" borderId="218" xfId="44" applyFont="1" applyFill="1" applyBorder="1"/>
    <xf numFmtId="10" fontId="7" fillId="33" borderId="82" xfId="44" applyNumberFormat="1" applyFont="1" applyFill="1" applyBorder="1"/>
    <xf numFmtId="10" fontId="7" fillId="33" borderId="60" xfId="44" applyNumberFormat="1" applyFont="1" applyFill="1" applyBorder="1"/>
    <xf numFmtId="9" fontId="7" fillId="33" borderId="55" xfId="44" applyFont="1" applyFill="1" applyBorder="1"/>
    <xf numFmtId="9" fontId="7" fillId="33" borderId="56" xfId="44" applyFont="1" applyFill="1" applyBorder="1"/>
    <xf numFmtId="9" fontId="7" fillId="33" borderId="133" xfId="44" applyFont="1" applyFill="1" applyBorder="1"/>
    <xf numFmtId="9" fontId="7" fillId="33" borderId="90" xfId="44" applyFont="1" applyFill="1" applyBorder="1"/>
    <xf numFmtId="9" fontId="7" fillId="33" borderId="86" xfId="44" applyFont="1" applyFill="1" applyBorder="1"/>
    <xf numFmtId="9" fontId="7" fillId="33" borderId="63" xfId="44" applyFont="1" applyFill="1" applyBorder="1"/>
    <xf numFmtId="9" fontId="7" fillId="33" borderId="217" xfId="44" applyFont="1" applyFill="1" applyBorder="1"/>
    <xf numFmtId="9" fontId="7" fillId="33" borderId="234" xfId="44" applyFont="1" applyFill="1" applyBorder="1"/>
    <xf numFmtId="9" fontId="7" fillId="33" borderId="219" xfId="44" applyFont="1" applyFill="1" applyBorder="1"/>
    <xf numFmtId="10" fontId="7" fillId="33" borderId="144" xfId="44" applyNumberFormat="1" applyFont="1" applyFill="1" applyBorder="1"/>
    <xf numFmtId="10" fontId="7" fillId="33" borderId="176" xfId="44" applyNumberFormat="1" applyFont="1" applyFill="1" applyBorder="1"/>
    <xf numFmtId="10" fontId="7" fillId="33" borderId="153" xfId="44" applyNumberFormat="1" applyFont="1" applyFill="1" applyBorder="1"/>
    <xf numFmtId="0" fontId="147" fillId="0" borderId="0" xfId="305" applyNumberFormat="1" applyFont="1" applyFill="1"/>
    <xf numFmtId="168" fontId="88" fillId="18" borderId="60" xfId="30" applyNumberFormat="1" applyFont="1" applyFill="1" applyBorder="1"/>
    <xf numFmtId="168" fontId="88" fillId="38" borderId="218" xfId="30" applyNumberFormat="1" applyFont="1" applyFill="1" applyBorder="1"/>
    <xf numFmtId="168" fontId="88" fillId="18" borderId="56" xfId="30" applyNumberFormat="1" applyFont="1" applyFill="1" applyBorder="1"/>
    <xf numFmtId="168" fontId="87" fillId="118" borderId="60" xfId="30" applyNumberFormat="1" applyFont="1" applyFill="1" applyBorder="1"/>
    <xf numFmtId="168" fontId="88" fillId="18" borderId="82" xfId="30" applyNumberFormat="1" applyFont="1" applyFill="1" applyBorder="1"/>
    <xf numFmtId="168" fontId="88" fillId="118" borderId="60" xfId="30" applyNumberFormat="1" applyFont="1" applyFill="1" applyBorder="1"/>
    <xf numFmtId="168" fontId="88" fillId="38" borderId="60" xfId="30" applyNumberFormat="1" applyFont="1" applyFill="1" applyBorder="1"/>
    <xf numFmtId="168" fontId="88" fillId="25" borderId="60" xfId="305" applyNumberFormat="1" applyFont="1" applyFill="1" applyBorder="1"/>
    <xf numFmtId="168" fontId="88" fillId="29" borderId="60" xfId="30" applyNumberFormat="1" applyFont="1" applyFill="1" applyBorder="1"/>
    <xf numFmtId="168" fontId="88" fillId="29" borderId="64" xfId="30" applyNumberFormat="1" applyFont="1" applyFill="1" applyBorder="1"/>
    <xf numFmtId="43" fontId="87" fillId="29" borderId="60" xfId="305" applyNumberFormat="1" applyFont="1" applyFill="1" applyBorder="1"/>
    <xf numFmtId="43" fontId="87" fillId="29" borderId="64" xfId="305" applyNumberFormat="1" applyFont="1" applyFill="1" applyBorder="1"/>
    <xf numFmtId="0" fontId="202" fillId="29" borderId="35" xfId="305" applyFont="1" applyFill="1" applyBorder="1" applyAlignment="1">
      <alignment vertical="center"/>
    </xf>
    <xf numFmtId="168" fontId="88" fillId="25" borderId="60" xfId="30" applyNumberFormat="1" applyFont="1" applyFill="1" applyBorder="1"/>
    <xf numFmtId="168" fontId="88" fillId="118" borderId="60" xfId="305" applyNumberFormat="1" applyFont="1" applyFill="1" applyBorder="1"/>
    <xf numFmtId="168" fontId="88" fillId="38" borderId="64" xfId="30" applyNumberFormat="1" applyFont="1" applyFill="1" applyBorder="1"/>
    <xf numFmtId="168" fontId="88" fillId="31" borderId="60" xfId="30" applyNumberFormat="1" applyFont="1" applyFill="1" applyBorder="1"/>
    <xf numFmtId="43" fontId="87" fillId="33" borderId="0" xfId="305" applyNumberFormat="1" applyFont="1" applyFill="1" applyBorder="1"/>
    <xf numFmtId="168" fontId="88" fillId="0" borderId="0" xfId="305" applyNumberFormat="1" applyFont="1"/>
    <xf numFmtId="168" fontId="87" fillId="38" borderId="82" xfId="305" applyNumberFormat="1" applyFont="1" applyFill="1" applyBorder="1"/>
    <xf numFmtId="168" fontId="87" fillId="38" borderId="64" xfId="305" applyNumberFormat="1" applyFont="1" applyFill="1" applyBorder="1"/>
    <xf numFmtId="168" fontId="87" fillId="29" borderId="56" xfId="305" applyNumberFormat="1" applyFont="1" applyFill="1" applyBorder="1"/>
    <xf numFmtId="168" fontId="87" fillId="29" borderId="64" xfId="305" applyNumberFormat="1" applyFont="1" applyFill="1" applyBorder="1"/>
    <xf numFmtId="168" fontId="88" fillId="38" borderId="56" xfId="30" applyNumberFormat="1" applyFont="1" applyFill="1" applyBorder="1" applyAlignment="1">
      <alignment horizontal="right"/>
    </xf>
    <xf numFmtId="168" fontId="88" fillId="38" borderId="60" xfId="30" applyNumberFormat="1" applyFont="1" applyFill="1" applyBorder="1" applyAlignment="1">
      <alignment horizontal="right"/>
    </xf>
    <xf numFmtId="43" fontId="87" fillId="29" borderId="60" xfId="305" applyNumberFormat="1" applyFont="1" applyFill="1" applyBorder="1" applyAlignment="1">
      <alignment horizontal="right"/>
    </xf>
    <xf numFmtId="43" fontId="87" fillId="29" borderId="64" xfId="305" applyNumberFormat="1" applyFont="1" applyFill="1" applyBorder="1" applyAlignment="1">
      <alignment horizontal="right"/>
    </xf>
    <xf numFmtId="0" fontId="7" fillId="0" borderId="123" xfId="212" applyFont="1" applyFill="1" applyBorder="1" applyAlignment="1">
      <alignment horizontal="left" vertical="top" wrapText="1"/>
    </xf>
    <xf numFmtId="0" fontId="157" fillId="74" borderId="0" xfId="275" applyFont="1" applyFill="1" applyAlignment="1" applyProtection="1">
      <alignment horizontal="center" vertical="center" wrapText="1"/>
    </xf>
    <xf numFmtId="0" fontId="159" fillId="29" borderId="0" xfId="306" applyFont="1" applyFill="1" applyAlignment="1">
      <alignment horizontal="center"/>
    </xf>
    <xf numFmtId="0" fontId="10" fillId="36" borderId="21" xfId="306" applyFont="1" applyFill="1" applyBorder="1" applyAlignment="1">
      <alignment horizontal="center"/>
    </xf>
    <xf numFmtId="0" fontId="10" fillId="36" borderId="22" xfId="306" applyFont="1" applyFill="1" applyBorder="1" applyAlignment="1">
      <alignment horizontal="center"/>
    </xf>
    <xf numFmtId="0" fontId="92" fillId="74" borderId="21" xfId="306" applyFont="1" applyFill="1" applyBorder="1" applyAlignment="1">
      <alignment horizontal="center"/>
    </xf>
    <xf numFmtId="0" fontId="92" fillId="74" borderId="22" xfId="306" applyFont="1" applyFill="1" applyBorder="1" applyAlignment="1">
      <alignment horizontal="center"/>
    </xf>
    <xf numFmtId="0" fontId="92" fillId="74" borderId="23" xfId="306" applyFont="1" applyFill="1" applyBorder="1" applyAlignment="1">
      <alignment horizontal="center"/>
    </xf>
    <xf numFmtId="0" fontId="7" fillId="82" borderId="21" xfId="275" applyFill="1" applyBorder="1" applyAlignment="1">
      <alignment horizontal="center" vertical="center"/>
    </xf>
    <xf numFmtId="0" fontId="7" fillId="82" borderId="22" xfId="275" applyFill="1" applyBorder="1" applyAlignment="1">
      <alignment horizontal="center" vertical="center"/>
    </xf>
    <xf numFmtId="0" fontId="7" fillId="82" borderId="23" xfId="275" applyFill="1" applyBorder="1" applyAlignment="1">
      <alignment horizontal="center" vertical="center"/>
    </xf>
    <xf numFmtId="0" fontId="62" fillId="55" borderId="36" xfId="275" applyFont="1" applyFill="1" applyBorder="1" applyAlignment="1" applyProtection="1">
      <alignment horizontal="left" vertical="top" wrapText="1"/>
    </xf>
    <xf numFmtId="0" fontId="62" fillId="55" borderId="35" xfId="275" applyFont="1" applyFill="1" applyBorder="1" applyAlignment="1" applyProtection="1">
      <alignment horizontal="left" vertical="top" wrapText="1"/>
    </xf>
    <xf numFmtId="0" fontId="62" fillId="55" borderId="34" xfId="275" applyFont="1" applyFill="1" applyBorder="1" applyAlignment="1" applyProtection="1">
      <alignment horizontal="left" vertical="top" wrapText="1"/>
    </xf>
    <xf numFmtId="0" fontId="10" fillId="40" borderId="123" xfId="275" applyFont="1" applyFill="1" applyBorder="1" applyAlignment="1">
      <alignment horizontal="center" vertical="center"/>
    </xf>
    <xf numFmtId="0" fontId="10" fillId="32" borderId="288" xfId="275" applyFont="1" applyFill="1" applyBorder="1" applyAlignment="1">
      <alignment horizontal="center"/>
    </xf>
    <xf numFmtId="0" fontId="10" fillId="32" borderId="289" xfId="275" applyFont="1" applyFill="1" applyBorder="1" applyAlignment="1">
      <alignment horizontal="center"/>
    </xf>
    <xf numFmtId="0" fontId="10" fillId="32" borderId="290" xfId="275" applyFont="1" applyFill="1" applyBorder="1" applyAlignment="1">
      <alignment horizontal="center"/>
    </xf>
    <xf numFmtId="49" fontId="147" fillId="55" borderId="35" xfId="275" applyNumberFormat="1" applyFont="1" applyFill="1" applyBorder="1" applyAlignment="1" applyProtection="1">
      <alignment horizontal="center" vertical="center"/>
    </xf>
    <xf numFmtId="0" fontId="7" fillId="33" borderId="152" xfId="305" applyFill="1" applyBorder="1" applyAlignment="1" applyProtection="1">
      <alignment vertical="center"/>
    </xf>
    <xf numFmtId="0" fontId="7" fillId="33" borderId="19" xfId="305" applyFill="1" applyBorder="1" applyAlignment="1" applyProtection="1">
      <alignment vertical="center"/>
    </xf>
    <xf numFmtId="0" fontId="7" fillId="33" borderId="262" xfId="305" applyFill="1" applyBorder="1" applyAlignment="1" applyProtection="1">
      <alignment vertical="center"/>
    </xf>
    <xf numFmtId="0" fontId="10" fillId="32" borderId="317" xfId="275" applyFont="1" applyFill="1" applyBorder="1" applyAlignment="1">
      <alignment horizontal="center"/>
    </xf>
    <xf numFmtId="0" fontId="10" fillId="32" borderId="35" xfId="275" applyFont="1" applyFill="1" applyBorder="1" applyAlignment="1">
      <alignment horizontal="center"/>
    </xf>
    <xf numFmtId="0" fontId="10" fillId="32" borderId="34" xfId="275" applyFont="1" applyFill="1" applyBorder="1" applyAlignment="1">
      <alignment horizontal="center"/>
    </xf>
    <xf numFmtId="0" fontId="104" fillId="36" borderId="19" xfId="0" applyFont="1" applyFill="1" applyBorder="1" applyAlignment="1">
      <alignment horizontal="center" vertical="center"/>
    </xf>
    <xf numFmtId="0" fontId="104" fillId="36" borderId="24" xfId="0" applyFont="1" applyFill="1" applyBorder="1" applyAlignment="1">
      <alignment horizontal="center" vertical="center"/>
    </xf>
    <xf numFmtId="0" fontId="148" fillId="36" borderId="265" xfId="305" applyFont="1" applyFill="1" applyBorder="1" applyAlignment="1" applyProtection="1">
      <alignment horizontal="left" vertical="top" wrapText="1"/>
    </xf>
    <xf numFmtId="0" fontId="148" fillId="36" borderId="156" xfId="305" applyFont="1" applyFill="1" applyBorder="1" applyAlignment="1" applyProtection="1">
      <alignment horizontal="left" vertical="top" wrapText="1"/>
    </xf>
    <xf numFmtId="0" fontId="148" fillId="36" borderId="266" xfId="305" applyFont="1" applyFill="1" applyBorder="1" applyAlignment="1" applyProtection="1">
      <alignment horizontal="left" vertical="top" wrapText="1"/>
    </xf>
    <xf numFmtId="0" fontId="7" fillId="25" borderId="14" xfId="305" applyFont="1" applyFill="1" applyBorder="1" applyAlignment="1" applyProtection="1">
      <alignment horizontal="left"/>
      <protection locked="0"/>
    </xf>
    <xf numFmtId="0" fontId="7" fillId="25" borderId="15" xfId="305" applyFont="1" applyFill="1" applyBorder="1" applyAlignment="1" applyProtection="1">
      <alignment horizontal="left"/>
      <protection locked="0"/>
    </xf>
    <xf numFmtId="0" fontId="7" fillId="25" borderId="16" xfId="305" applyFont="1" applyFill="1" applyBorder="1" applyAlignment="1" applyProtection="1">
      <alignment horizontal="left"/>
      <protection locked="0"/>
    </xf>
    <xf numFmtId="0" fontId="17" fillId="35" borderId="0" xfId="305" applyFont="1" applyFill="1" applyBorder="1" applyAlignment="1" applyProtection="1">
      <alignment horizontal="right" indent="1"/>
    </xf>
    <xf numFmtId="0" fontId="17" fillId="35" borderId="13" xfId="305" applyFont="1" applyFill="1" applyBorder="1" applyAlignment="1" applyProtection="1">
      <alignment horizontal="right" indent="1"/>
    </xf>
    <xf numFmtId="0" fontId="136" fillId="35" borderId="21" xfId="306" applyFont="1" applyFill="1" applyBorder="1" applyAlignment="1" applyProtection="1">
      <alignment horizontal="center"/>
      <protection locked="0"/>
    </xf>
    <xf numFmtId="0" fontId="136" fillId="35" borderId="22" xfId="306" applyFont="1" applyFill="1" applyBorder="1" applyAlignment="1" applyProtection="1">
      <alignment horizontal="center"/>
      <protection locked="0"/>
    </xf>
    <xf numFmtId="0" fontId="136" fillId="35" borderId="23" xfId="306" applyFont="1" applyFill="1" applyBorder="1" applyAlignment="1" applyProtection="1">
      <alignment horizontal="center"/>
      <protection locked="0"/>
    </xf>
    <xf numFmtId="0" fontId="10" fillId="25" borderId="36" xfId="305" applyFont="1" applyFill="1" applyBorder="1" applyAlignment="1" applyProtection="1">
      <alignment horizontal="left"/>
      <protection locked="0"/>
    </xf>
    <xf numFmtId="0" fontId="10" fillId="25" borderId="34" xfId="305" applyFont="1" applyFill="1" applyBorder="1" applyAlignment="1" applyProtection="1">
      <alignment horizontal="left"/>
      <protection locked="0"/>
    </xf>
    <xf numFmtId="0" fontId="7" fillId="25" borderId="36" xfId="305" applyFont="1" applyFill="1" applyBorder="1" applyAlignment="1" applyProtection="1">
      <alignment horizontal="left" vertical="top" wrapText="1"/>
      <protection locked="0"/>
    </xf>
    <xf numFmtId="0" fontId="7" fillId="25" borderId="35" xfId="305" applyFont="1" applyFill="1" applyBorder="1" applyAlignment="1" applyProtection="1">
      <alignment horizontal="left" vertical="top"/>
      <protection locked="0"/>
    </xf>
    <xf numFmtId="0" fontId="7" fillId="25" borderId="34" xfId="305" applyFont="1" applyFill="1" applyBorder="1" applyAlignment="1" applyProtection="1">
      <alignment horizontal="left" vertical="top"/>
      <protection locked="0"/>
    </xf>
    <xf numFmtId="0" fontId="7" fillId="14" borderId="0" xfId="305" applyFont="1" applyFill="1" applyBorder="1" applyAlignment="1" applyProtection="1">
      <alignment vertical="center" wrapText="1"/>
    </xf>
    <xf numFmtId="0" fontId="65" fillId="14" borderId="0" xfId="305" applyFont="1" applyFill="1" applyBorder="1" applyAlignment="1" applyProtection="1">
      <alignment vertical="center" wrapText="1"/>
    </xf>
    <xf numFmtId="0" fontId="136" fillId="35" borderId="21" xfId="305" applyFont="1" applyFill="1" applyBorder="1" applyAlignment="1" applyProtection="1">
      <alignment horizontal="center"/>
    </xf>
    <xf numFmtId="0" fontId="136" fillId="35" borderId="22" xfId="305" applyFont="1" applyFill="1" applyBorder="1" applyAlignment="1" applyProtection="1">
      <alignment horizontal="center"/>
    </xf>
    <xf numFmtId="0" fontId="136" fillId="35" borderId="23" xfId="305" applyFont="1" applyFill="1" applyBorder="1" applyAlignment="1" applyProtection="1">
      <alignment horizontal="center"/>
    </xf>
    <xf numFmtId="179" fontId="7" fillId="29" borderId="17" xfId="305" applyNumberFormat="1" applyFont="1" applyFill="1" applyBorder="1" applyAlignment="1" applyProtection="1">
      <alignment horizontal="left"/>
    </xf>
    <xf numFmtId="0" fontId="9" fillId="0" borderId="19" xfId="0" applyFont="1" applyFill="1" applyBorder="1" applyAlignment="1">
      <alignment horizontal="center"/>
    </xf>
    <xf numFmtId="0" fontId="9" fillId="0" borderId="0" xfId="0" applyFont="1" applyFill="1" applyBorder="1" applyAlignment="1">
      <alignment horizontal="center"/>
    </xf>
    <xf numFmtId="0" fontId="9" fillId="0" borderId="24" xfId="0" applyFont="1" applyFill="1" applyBorder="1" applyAlignment="1">
      <alignment horizontal="center"/>
    </xf>
    <xf numFmtId="0" fontId="67" fillId="40" borderId="82" xfId="0" applyFont="1" applyFill="1" applyBorder="1" applyAlignment="1">
      <alignment horizontal="center" vertical="center" wrapText="1"/>
    </xf>
    <xf numFmtId="0" fontId="67" fillId="40" borderId="71" xfId="0" applyFont="1" applyFill="1" applyBorder="1" applyAlignment="1">
      <alignment horizontal="center" vertical="center" wrapText="1"/>
    </xf>
    <xf numFmtId="10" fontId="66" fillId="39" borderId="46" xfId="0" applyNumberFormat="1" applyFont="1" applyFill="1" applyBorder="1" applyAlignment="1">
      <alignment horizontal="center" vertical="center" wrapText="1"/>
    </xf>
    <xf numFmtId="10" fontId="66" fillId="39" borderId="60" xfId="0" applyNumberFormat="1" applyFont="1" applyFill="1" applyBorder="1" applyAlignment="1">
      <alignment horizontal="center" vertical="center" wrapText="1"/>
    </xf>
    <xf numFmtId="10" fontId="66" fillId="39" borderId="61" xfId="0" applyNumberFormat="1" applyFont="1" applyFill="1" applyBorder="1" applyAlignment="1">
      <alignment horizontal="center" vertical="center" wrapText="1"/>
    </xf>
    <xf numFmtId="0" fontId="66" fillId="39" borderId="46" xfId="0" applyFont="1" applyFill="1" applyBorder="1" applyAlignment="1">
      <alignment horizontal="center" vertical="center" wrapText="1"/>
    </xf>
    <xf numFmtId="0" fontId="66" fillId="39" borderId="60" xfId="0" applyFont="1" applyFill="1" applyBorder="1" applyAlignment="1">
      <alignment horizontal="center" vertical="center" wrapText="1"/>
    </xf>
    <xf numFmtId="168" fontId="67" fillId="40" borderId="60" xfId="0" applyNumberFormat="1" applyFont="1" applyFill="1" applyBorder="1" applyAlignment="1">
      <alignment horizontal="center" vertical="center" wrapText="1"/>
    </xf>
    <xf numFmtId="168" fontId="67" fillId="40" borderId="61" xfId="0" applyNumberFormat="1" applyFont="1" applyFill="1" applyBorder="1" applyAlignment="1">
      <alignment horizontal="center" vertical="center" wrapText="1"/>
    </xf>
    <xf numFmtId="0" fontId="9" fillId="29" borderId="0" xfId="0" applyFont="1" applyFill="1" applyBorder="1" applyAlignment="1">
      <alignment horizontal="left" vertical="top" wrapText="1"/>
    </xf>
    <xf numFmtId="0" fontId="42" fillId="33" borderId="49" xfId="0" applyFont="1" applyFill="1" applyBorder="1" applyAlignment="1">
      <alignment horizontal="left" vertical="center" wrapText="1"/>
    </xf>
    <xf numFmtId="0" fontId="53" fillId="33" borderId="50" xfId="0" applyFont="1" applyFill="1" applyBorder="1" applyAlignment="1">
      <alignment horizontal="left" vertical="center" wrapText="1"/>
    </xf>
    <xf numFmtId="0" fontId="66" fillId="39" borderId="44" xfId="0" applyFont="1" applyFill="1" applyBorder="1" applyAlignment="1">
      <alignment horizontal="center" vertical="center" wrapText="1"/>
    </xf>
    <xf numFmtId="0" fontId="66" fillId="39" borderId="82" xfId="0" applyFont="1" applyFill="1" applyBorder="1" applyAlignment="1">
      <alignment horizontal="center" vertical="center" wrapText="1"/>
    </xf>
    <xf numFmtId="10" fontId="66" fillId="40" borderId="46" xfId="0" applyNumberFormat="1" applyFont="1" applyFill="1" applyBorder="1" applyAlignment="1">
      <alignment horizontal="center" vertical="center" wrapText="1"/>
    </xf>
    <xf numFmtId="10" fontId="66" fillId="40" borderId="60" xfId="0" applyNumberFormat="1" applyFont="1" applyFill="1" applyBorder="1" applyAlignment="1">
      <alignment horizontal="center" vertical="center" wrapText="1"/>
    </xf>
    <xf numFmtId="10" fontId="66" fillId="40" borderId="86" xfId="0" applyNumberFormat="1" applyFont="1" applyFill="1" applyBorder="1" applyAlignment="1">
      <alignment horizontal="center" vertical="center" wrapText="1"/>
    </xf>
    <xf numFmtId="168" fontId="10" fillId="39" borderId="46" xfId="0" applyNumberFormat="1" applyFont="1" applyFill="1" applyBorder="1" applyAlignment="1">
      <alignment horizontal="center" vertical="center" wrapText="1"/>
    </xf>
    <xf numFmtId="168" fontId="10" fillId="39" borderId="60" xfId="0" applyNumberFormat="1" applyFont="1" applyFill="1" applyBorder="1" applyAlignment="1">
      <alignment horizontal="center" vertical="center" wrapText="1"/>
    </xf>
    <xf numFmtId="168" fontId="10" fillId="39" borderId="61" xfId="0" applyNumberFormat="1" applyFont="1" applyFill="1" applyBorder="1" applyAlignment="1">
      <alignment horizontal="center" vertical="center" wrapText="1"/>
    </xf>
    <xf numFmtId="168" fontId="10" fillId="40" borderId="44" xfId="0" applyNumberFormat="1" applyFont="1" applyFill="1" applyBorder="1" applyAlignment="1">
      <alignment horizontal="center" vertical="distributed" wrapText="1"/>
    </xf>
    <xf numFmtId="168" fontId="10" fillId="40" borderId="82" xfId="0" applyNumberFormat="1" applyFont="1" applyFill="1" applyBorder="1" applyAlignment="1">
      <alignment horizontal="center" vertical="distributed" wrapText="1"/>
    </xf>
    <xf numFmtId="168" fontId="10" fillId="40" borderId="85" xfId="0" applyNumberFormat="1" applyFont="1" applyFill="1" applyBorder="1" applyAlignment="1">
      <alignment horizontal="center" vertical="distributed" wrapText="1"/>
    </xf>
    <xf numFmtId="168" fontId="10" fillId="39" borderId="44" xfId="0" applyNumberFormat="1" applyFont="1" applyFill="1" applyBorder="1" applyAlignment="1">
      <alignment horizontal="center" vertical="center" wrapText="1"/>
    </xf>
    <xf numFmtId="168" fontId="10" fillId="39" borderId="82" xfId="0" applyNumberFormat="1" applyFont="1" applyFill="1" applyBorder="1" applyAlignment="1">
      <alignment horizontal="center" vertical="center" wrapText="1"/>
    </xf>
    <xf numFmtId="168" fontId="10" fillId="39" borderId="71" xfId="0" applyNumberFormat="1" applyFont="1" applyFill="1" applyBorder="1" applyAlignment="1">
      <alignment horizontal="center" vertical="center" wrapText="1"/>
    </xf>
    <xf numFmtId="0" fontId="10" fillId="39" borderId="60" xfId="0" applyFont="1" applyFill="1" applyBorder="1" applyAlignment="1">
      <alignment horizontal="center" vertical="center" wrapText="1"/>
    </xf>
    <xf numFmtId="168" fontId="10" fillId="40" borderId="60" xfId="0" applyNumberFormat="1" applyFont="1" applyFill="1" applyBorder="1" applyAlignment="1">
      <alignment horizontal="center" vertical="center" wrapText="1"/>
    </xf>
    <xf numFmtId="0" fontId="10" fillId="40" borderId="60" xfId="0" applyFont="1" applyFill="1" applyBorder="1" applyAlignment="1">
      <alignment horizontal="center" vertical="center" wrapText="1"/>
    </xf>
    <xf numFmtId="0" fontId="10" fillId="40" borderId="86" xfId="0" applyFont="1" applyFill="1" applyBorder="1" applyAlignment="1">
      <alignment horizontal="center" vertical="center" wrapText="1"/>
    </xf>
    <xf numFmtId="0" fontId="68" fillId="42" borderId="82" xfId="0" applyNumberFormat="1" applyFont="1" applyFill="1" applyBorder="1" applyAlignment="1" applyProtection="1">
      <alignment horizontal="center" vertical="center" wrapText="1"/>
    </xf>
    <xf numFmtId="0" fontId="15" fillId="36" borderId="82" xfId="0" applyFont="1" applyFill="1" applyBorder="1" applyAlignment="1">
      <alignment horizontal="center" vertical="center"/>
    </xf>
    <xf numFmtId="0" fontId="15" fillId="36" borderId="71" xfId="0" applyFont="1" applyFill="1" applyBorder="1" applyAlignment="1">
      <alignment horizontal="center" vertical="center"/>
    </xf>
    <xf numFmtId="0" fontId="15" fillId="36" borderId="46" xfId="0" applyFont="1" applyFill="1" applyBorder="1" applyAlignment="1">
      <alignment horizontal="center" vertical="center" wrapText="1"/>
    </xf>
    <xf numFmtId="0" fontId="15" fillId="36" borderId="60" xfId="0" applyFont="1" applyFill="1" applyBorder="1" applyAlignment="1">
      <alignment horizontal="center" vertical="center" wrapText="1"/>
    </xf>
    <xf numFmtId="0" fontId="15" fillId="41" borderId="60" xfId="0" applyFont="1" applyFill="1" applyBorder="1" applyAlignment="1">
      <alignment horizontal="center" vertical="center" wrapText="1"/>
    </xf>
    <xf numFmtId="0" fontId="15" fillId="41" borderId="61" xfId="0" applyFont="1" applyFill="1" applyBorder="1" applyAlignment="1">
      <alignment horizontal="center" vertical="center" wrapText="1"/>
    </xf>
    <xf numFmtId="0" fontId="42" fillId="33" borderId="21" xfId="0" applyFont="1" applyFill="1" applyBorder="1" applyAlignment="1">
      <alignment horizontal="center" vertical="center" wrapText="1"/>
    </xf>
    <xf numFmtId="0" fontId="53" fillId="33" borderId="19" xfId="0" applyFont="1" applyFill="1" applyBorder="1" applyAlignment="1">
      <alignment horizontal="center" vertical="center" wrapText="1"/>
    </xf>
    <xf numFmtId="0" fontId="53" fillId="33" borderId="25" xfId="0" applyFont="1" applyFill="1" applyBorder="1" applyAlignment="1">
      <alignment horizontal="center" vertical="center" wrapText="1"/>
    </xf>
    <xf numFmtId="0" fontId="68" fillId="36" borderId="44" xfId="0" applyNumberFormat="1" applyFont="1" applyFill="1" applyBorder="1" applyAlignment="1" applyProtection="1">
      <alignment horizontal="center" vertical="center" wrapText="1"/>
    </xf>
    <xf numFmtId="0" fontId="15" fillId="36" borderId="82" xfId="0" applyFont="1" applyFill="1" applyBorder="1" applyAlignment="1">
      <alignment horizontal="center" vertical="center" wrapText="1"/>
    </xf>
    <xf numFmtId="0" fontId="15" fillId="41" borderId="82" xfId="0" applyFont="1" applyFill="1" applyBorder="1" applyAlignment="1">
      <alignment horizontal="center" vertical="center" wrapText="1"/>
    </xf>
    <xf numFmtId="0" fontId="15" fillId="41" borderId="71" xfId="0" applyFont="1" applyFill="1" applyBorder="1" applyAlignment="1">
      <alignment horizontal="center" vertical="center" wrapText="1"/>
    </xf>
    <xf numFmtId="0" fontId="10" fillId="29" borderId="0" xfId="0" applyFont="1" applyFill="1" applyBorder="1" applyAlignment="1">
      <alignment vertical="top" wrapText="1"/>
    </xf>
    <xf numFmtId="0" fontId="15" fillId="36" borderId="61" xfId="0" applyFont="1" applyFill="1" applyBorder="1" applyAlignment="1">
      <alignment horizontal="center" vertical="center" wrapText="1"/>
    </xf>
    <xf numFmtId="0" fontId="15" fillId="41" borderId="60" xfId="0" applyNumberFormat="1" applyFont="1" applyFill="1" applyBorder="1" applyAlignment="1">
      <alignment horizontal="center" vertical="center" wrapText="1"/>
    </xf>
    <xf numFmtId="0" fontId="15" fillId="41" borderId="61" xfId="0" applyNumberFormat="1" applyFont="1" applyFill="1" applyBorder="1" applyAlignment="1">
      <alignment horizontal="center" vertical="center" wrapText="1"/>
    </xf>
    <xf numFmtId="0" fontId="15" fillId="36" borderId="46" xfId="0" applyNumberFormat="1" applyFont="1" applyFill="1" applyBorder="1" applyAlignment="1">
      <alignment horizontal="center" vertical="center" wrapText="1"/>
    </xf>
    <xf numFmtId="0" fontId="15" fillId="36" borderId="60" xfId="0" applyNumberFormat="1" applyFont="1" applyFill="1" applyBorder="1" applyAlignment="1">
      <alignment horizontal="center" vertical="center" wrapText="1"/>
    </xf>
    <xf numFmtId="0" fontId="67" fillId="36" borderId="50" xfId="0" applyFont="1" applyFill="1" applyBorder="1" applyAlignment="1">
      <alignment horizontal="center" vertical="center" wrapText="1"/>
    </xf>
    <xf numFmtId="0" fontId="67" fillId="36" borderId="76" xfId="0" applyFont="1" applyFill="1" applyBorder="1" applyAlignment="1">
      <alignment horizontal="center" vertical="center" wrapText="1"/>
    </xf>
    <xf numFmtId="0" fontId="67" fillId="36" borderId="62" xfId="0" applyFont="1" applyFill="1" applyBorder="1" applyAlignment="1">
      <alignment horizontal="center" vertical="center" wrapText="1"/>
    </xf>
    <xf numFmtId="0" fontId="67" fillId="41" borderId="86" xfId="0" applyFont="1" applyFill="1" applyBorder="1" applyAlignment="1">
      <alignment horizontal="center" vertical="center" wrapText="1"/>
    </xf>
    <xf numFmtId="0" fontId="67" fillId="41" borderId="76" xfId="0" applyFont="1" applyFill="1" applyBorder="1" applyAlignment="1">
      <alignment horizontal="center" vertical="center" wrapText="1"/>
    </xf>
    <xf numFmtId="0" fontId="67" fillId="41" borderId="77" xfId="0" applyFont="1" applyFill="1" applyBorder="1" applyAlignment="1">
      <alignment horizontal="center" vertical="center" wrapText="1"/>
    </xf>
    <xf numFmtId="0" fontId="67" fillId="36" borderId="46" xfId="0" applyFont="1" applyFill="1" applyBorder="1" applyAlignment="1">
      <alignment horizontal="center" vertical="center" wrapText="1"/>
    </xf>
    <xf numFmtId="0" fontId="67" fillId="36" borderId="60" xfId="0" applyFont="1" applyFill="1" applyBorder="1" applyAlignment="1">
      <alignment horizontal="center" vertical="center" wrapText="1"/>
    </xf>
    <xf numFmtId="0" fontId="67" fillId="41" borderId="60" xfId="0" applyFont="1" applyFill="1" applyBorder="1" applyAlignment="1">
      <alignment horizontal="center" vertical="center" wrapText="1"/>
    </xf>
    <xf numFmtId="0" fontId="67" fillId="36" borderId="50" xfId="0" quotePrefix="1" applyFont="1" applyFill="1" applyBorder="1" applyAlignment="1">
      <alignment horizontal="center" vertical="center" wrapText="1"/>
    </xf>
    <xf numFmtId="0" fontId="67" fillId="36" borderId="76" xfId="0" quotePrefix="1" applyFont="1" applyFill="1" applyBorder="1" applyAlignment="1">
      <alignment horizontal="center" vertical="center" wrapText="1"/>
    </xf>
    <xf numFmtId="0" fontId="15" fillId="36" borderId="206" xfId="0" applyNumberFormat="1" applyFont="1" applyFill="1" applyBorder="1" applyAlignment="1" applyProtection="1">
      <alignment horizontal="center" vertical="center" wrapText="1"/>
    </xf>
    <xf numFmtId="0" fontId="18" fillId="36" borderId="82" xfId="0" applyFont="1" applyFill="1" applyBorder="1" applyAlignment="1">
      <alignment horizontal="center" vertical="center" wrapText="1"/>
    </xf>
    <xf numFmtId="0" fontId="15" fillId="41" borderId="82" xfId="0" applyNumberFormat="1" applyFont="1" applyFill="1" applyBorder="1" applyAlignment="1" applyProtection="1">
      <alignment horizontal="center" vertical="center" wrapText="1"/>
    </xf>
    <xf numFmtId="0" fontId="15" fillId="36" borderId="82" xfId="0" applyNumberFormat="1" applyFont="1" applyFill="1" applyBorder="1" applyAlignment="1" applyProtection="1">
      <alignment horizontal="center" vertical="center" wrapText="1"/>
    </xf>
    <xf numFmtId="0" fontId="18" fillId="36" borderId="90" xfId="0" applyFont="1" applyFill="1" applyBorder="1" applyAlignment="1">
      <alignment horizontal="center" vertical="center" wrapText="1"/>
    </xf>
    <xf numFmtId="0" fontId="15" fillId="41" borderId="90" xfId="0" applyNumberFormat="1" applyFont="1" applyFill="1" applyBorder="1" applyAlignment="1" applyProtection="1">
      <alignment horizontal="center" vertical="center" wrapText="1"/>
    </xf>
    <xf numFmtId="0" fontId="68" fillId="36" borderId="206" xfId="0" applyNumberFormat="1" applyFont="1" applyFill="1" applyBorder="1" applyAlignment="1" applyProtection="1">
      <alignment horizontal="center" vertical="center" wrapText="1"/>
    </xf>
    <xf numFmtId="0" fontId="68" fillId="36" borderId="82" xfId="0" applyNumberFormat="1" applyFont="1" applyFill="1" applyBorder="1" applyAlignment="1" applyProtection="1">
      <alignment horizontal="center" vertical="center" wrapText="1"/>
    </xf>
    <xf numFmtId="0" fontId="68" fillId="41" borderId="82" xfId="0" applyNumberFormat="1" applyFont="1" applyFill="1" applyBorder="1" applyAlignment="1" applyProtection="1">
      <alignment horizontal="center" vertical="center" wrapText="1"/>
    </xf>
    <xf numFmtId="0" fontId="68" fillId="41" borderId="90" xfId="0" applyNumberFormat="1" applyFont="1" applyFill="1" applyBorder="1" applyAlignment="1" applyProtection="1">
      <alignment horizontal="center" vertical="center" wrapText="1"/>
    </xf>
    <xf numFmtId="0" fontId="67" fillId="36" borderId="62" xfId="0" quotePrefix="1" applyFont="1" applyFill="1" applyBorder="1" applyAlignment="1">
      <alignment horizontal="center" vertical="center" wrapText="1"/>
    </xf>
    <xf numFmtId="0" fontId="68" fillId="46" borderId="82" xfId="0" applyNumberFormat="1" applyFont="1" applyFill="1" applyBorder="1" applyAlignment="1" applyProtection="1">
      <alignment horizontal="center" vertical="center" wrapText="1"/>
    </xf>
    <xf numFmtId="0" fontId="68" fillId="46" borderId="90" xfId="0" applyNumberFormat="1" applyFont="1" applyFill="1" applyBorder="1" applyAlignment="1" applyProtection="1">
      <alignment horizontal="center" vertical="center" wrapText="1"/>
    </xf>
    <xf numFmtId="0" fontId="67" fillId="39" borderId="46" xfId="0" applyFont="1" applyFill="1" applyBorder="1" applyAlignment="1">
      <alignment horizontal="center" vertical="center" wrapText="1"/>
    </xf>
    <xf numFmtId="0" fontId="67" fillId="39" borderId="60" xfId="0" applyFont="1" applyFill="1" applyBorder="1" applyAlignment="1">
      <alignment horizontal="center" vertical="center" wrapText="1"/>
    </xf>
    <xf numFmtId="0" fontId="67" fillId="39" borderId="63" xfId="0" applyFont="1" applyFill="1" applyBorder="1" applyAlignment="1">
      <alignment horizontal="center" vertical="center" wrapText="1"/>
    </xf>
    <xf numFmtId="0" fontId="67" fillId="39" borderId="50" xfId="0" quotePrefix="1" applyFont="1" applyFill="1" applyBorder="1" applyAlignment="1">
      <alignment horizontal="center" vertical="center" wrapText="1"/>
    </xf>
    <xf numFmtId="0" fontId="67" fillId="39" borderId="76" xfId="0" quotePrefix="1" applyFont="1" applyFill="1" applyBorder="1" applyAlignment="1">
      <alignment horizontal="center" vertical="center" wrapText="1"/>
    </xf>
    <xf numFmtId="0" fontId="67" fillId="39" borderId="62" xfId="0" quotePrefix="1" applyFont="1" applyFill="1" applyBorder="1" applyAlignment="1">
      <alignment horizontal="center" vertical="center" wrapText="1"/>
    </xf>
    <xf numFmtId="0" fontId="67" fillId="40" borderId="86" xfId="0" applyFont="1" applyFill="1" applyBorder="1" applyAlignment="1">
      <alignment horizontal="center" vertical="center" wrapText="1"/>
    </xf>
    <xf numFmtId="0" fontId="67" fillId="40" borderId="76" xfId="0" applyFont="1" applyFill="1" applyBorder="1" applyAlignment="1">
      <alignment horizontal="center" vertical="center" wrapText="1"/>
    </xf>
    <xf numFmtId="0" fontId="67" fillId="40" borderId="77" xfId="0" applyFont="1" applyFill="1" applyBorder="1" applyAlignment="1">
      <alignment horizontal="center" vertical="center" wrapText="1"/>
    </xf>
    <xf numFmtId="0" fontId="68" fillId="44" borderId="206" xfId="0" applyNumberFormat="1" applyFont="1" applyFill="1" applyBorder="1" applyAlignment="1" applyProtection="1">
      <alignment horizontal="center" vertical="center" wrapText="1"/>
    </xf>
    <xf numFmtId="0" fontId="68" fillId="44" borderId="82" xfId="0" applyNumberFormat="1" applyFont="1" applyFill="1" applyBorder="1" applyAlignment="1" applyProtection="1">
      <alignment horizontal="center" vertical="center" wrapText="1"/>
    </xf>
    <xf numFmtId="0" fontId="67" fillId="44" borderId="50" xfId="0" applyFont="1" applyFill="1" applyBorder="1" applyAlignment="1">
      <alignment horizontal="center" vertical="center" wrapText="1"/>
    </xf>
    <xf numFmtId="0" fontId="67" fillId="44" borderId="76" xfId="0" applyFont="1" applyFill="1" applyBorder="1" applyAlignment="1">
      <alignment horizontal="center" vertical="center" wrapText="1"/>
    </xf>
    <xf numFmtId="0" fontId="67" fillId="44" borderId="77" xfId="0" applyFont="1" applyFill="1" applyBorder="1" applyAlignment="1">
      <alignment horizontal="center" vertical="center" wrapText="1"/>
    </xf>
    <xf numFmtId="0" fontId="7" fillId="14" borderId="0" xfId="0" applyFont="1" applyFill="1" applyAlignment="1">
      <alignment horizontal="left" vertical="top" wrapText="1"/>
    </xf>
    <xf numFmtId="0" fontId="68" fillId="39" borderId="206" xfId="0" applyNumberFormat="1" applyFont="1" applyFill="1" applyBorder="1" applyAlignment="1" applyProtection="1">
      <alignment horizontal="center" vertical="center" wrapText="1"/>
    </xf>
    <xf numFmtId="0" fontId="18" fillId="39" borderId="82" xfId="0" applyFont="1" applyFill="1" applyBorder="1" applyAlignment="1">
      <alignment horizontal="center" vertical="center" wrapText="1"/>
    </xf>
    <xf numFmtId="0" fontId="68" fillId="40" borderId="82" xfId="0" applyNumberFormat="1" applyFont="1" applyFill="1" applyBorder="1" applyAlignment="1" applyProtection="1">
      <alignment horizontal="center" vertical="center" wrapText="1"/>
    </xf>
    <xf numFmtId="0" fontId="68" fillId="39" borderId="82" xfId="0" applyNumberFormat="1" applyFont="1" applyFill="1" applyBorder="1" applyAlignment="1" applyProtection="1">
      <alignment horizontal="center" vertical="center" wrapText="1"/>
    </xf>
    <xf numFmtId="0" fontId="18" fillId="39" borderId="90" xfId="0" applyFont="1" applyFill="1" applyBorder="1" applyAlignment="1">
      <alignment horizontal="center" vertical="center" wrapText="1"/>
    </xf>
    <xf numFmtId="0" fontId="67" fillId="36" borderId="77" xfId="0" applyFont="1" applyFill="1" applyBorder="1" applyAlignment="1">
      <alignment horizontal="center" vertical="center" wrapText="1"/>
    </xf>
    <xf numFmtId="0" fontId="67" fillId="36" borderId="77" xfId="0" quotePrefix="1" applyFont="1" applyFill="1" applyBorder="1" applyAlignment="1">
      <alignment horizontal="center" vertical="center" wrapText="1"/>
    </xf>
    <xf numFmtId="0" fontId="68" fillId="41" borderId="85" xfId="0" applyNumberFormat="1" applyFont="1" applyFill="1" applyBorder="1" applyAlignment="1" applyProtection="1">
      <alignment horizontal="center" vertical="center" wrapText="1"/>
    </xf>
    <xf numFmtId="0" fontId="68" fillId="41" borderId="74" xfId="0" applyNumberFormat="1" applyFont="1" applyFill="1" applyBorder="1" applyAlignment="1" applyProtection="1">
      <alignment horizontal="center" vertical="center" wrapText="1"/>
    </xf>
    <xf numFmtId="0" fontId="68" fillId="41" borderId="75" xfId="0" applyNumberFormat="1" applyFont="1" applyFill="1" applyBorder="1" applyAlignment="1" applyProtection="1">
      <alignment horizontal="center" vertical="center" wrapText="1"/>
    </xf>
    <xf numFmtId="0" fontId="15" fillId="41" borderId="85" xfId="0" applyNumberFormat="1" applyFont="1" applyFill="1" applyBorder="1" applyAlignment="1" applyProtection="1">
      <alignment horizontal="center" vertical="center" wrapText="1"/>
    </xf>
    <xf numFmtId="0" fontId="15" fillId="41" borderId="74" xfId="0" applyNumberFormat="1" applyFont="1" applyFill="1" applyBorder="1" applyAlignment="1" applyProtection="1">
      <alignment horizontal="center" vertical="center" wrapText="1"/>
    </xf>
    <xf numFmtId="0" fontId="15" fillId="41" borderId="75" xfId="0" applyNumberFormat="1" applyFont="1" applyFill="1" applyBorder="1" applyAlignment="1" applyProtection="1">
      <alignment horizontal="center" vertical="center" wrapText="1"/>
    </xf>
    <xf numFmtId="0" fontId="18" fillId="36" borderId="71" xfId="0" applyFont="1" applyFill="1" applyBorder="1" applyAlignment="1">
      <alignment horizontal="center" vertical="center" wrapText="1"/>
    </xf>
    <xf numFmtId="0" fontId="51" fillId="35" borderId="95" xfId="0" applyFont="1" applyFill="1" applyBorder="1" applyAlignment="1">
      <alignment horizontal="center" vertical="center" wrapText="1"/>
    </xf>
    <xf numFmtId="0" fontId="51" fillId="35" borderId="96" xfId="0" applyFont="1" applyFill="1" applyBorder="1" applyAlignment="1">
      <alignment horizontal="center" vertical="center" wrapText="1"/>
    </xf>
    <xf numFmtId="0" fontId="67" fillId="41" borderId="61" xfId="0" applyFont="1" applyFill="1" applyBorder="1" applyAlignment="1">
      <alignment horizontal="center" vertical="center" wrapText="1"/>
    </xf>
    <xf numFmtId="0" fontId="10" fillId="47" borderId="184" xfId="0" applyFont="1" applyFill="1" applyBorder="1" applyAlignment="1">
      <alignment horizontal="center" vertical="center" wrapText="1"/>
    </xf>
    <xf numFmtId="0" fontId="10" fillId="47" borderId="185" xfId="0" applyFont="1" applyFill="1" applyBorder="1" applyAlignment="1">
      <alignment horizontal="center" vertical="center" wrapText="1"/>
    </xf>
    <xf numFmtId="0" fontId="10" fillId="47" borderId="223" xfId="0" applyFont="1" applyFill="1" applyBorder="1" applyAlignment="1">
      <alignment horizontal="center" vertical="center" wrapText="1"/>
    </xf>
    <xf numFmtId="0" fontId="7" fillId="38" borderId="18" xfId="0" applyFont="1" applyFill="1" applyBorder="1" applyAlignment="1">
      <alignment horizontal="center" vertical="center" wrapText="1"/>
    </xf>
    <xf numFmtId="0" fontId="7" fillId="38" borderId="12" xfId="0" applyFont="1" applyFill="1" applyBorder="1" applyAlignment="1"/>
    <xf numFmtId="0" fontId="68" fillId="42" borderId="206" xfId="0" applyNumberFormat="1" applyFont="1" applyFill="1" applyBorder="1" applyAlignment="1" applyProtection="1">
      <alignment horizontal="center" vertical="center" wrapText="1"/>
    </xf>
    <xf numFmtId="0" fontId="68" fillId="50" borderId="82" xfId="0" applyNumberFormat="1" applyFont="1" applyFill="1" applyBorder="1" applyAlignment="1" applyProtection="1">
      <alignment horizontal="center" vertical="center" wrapText="1"/>
    </xf>
    <xf numFmtId="0" fontId="18" fillId="41" borderId="82" xfId="0" applyFont="1" applyFill="1" applyBorder="1" applyAlignment="1">
      <alignment horizontal="center" vertical="center" wrapText="1"/>
    </xf>
    <xf numFmtId="0" fontId="18" fillId="41" borderId="90" xfId="0" applyFont="1" applyFill="1" applyBorder="1" applyAlignment="1">
      <alignment horizontal="center" vertical="center" wrapText="1"/>
    </xf>
    <xf numFmtId="168" fontId="18" fillId="25" borderId="72" xfId="30" applyNumberFormat="1" applyFont="1" applyFill="1" applyBorder="1" applyAlignment="1">
      <alignment vertical="center" wrapText="1"/>
    </xf>
    <xf numFmtId="168" fontId="18" fillId="25" borderId="73" xfId="30" applyNumberFormat="1" applyFont="1" applyFill="1" applyBorder="1" applyAlignment="1">
      <alignment vertical="center" wrapText="1"/>
    </xf>
    <xf numFmtId="168" fontId="18" fillId="25" borderId="91" xfId="30" applyNumberFormat="1" applyFont="1" applyFill="1" applyBorder="1" applyAlignment="1">
      <alignment vertical="center" wrapText="1"/>
    </xf>
    <xf numFmtId="0" fontId="10" fillId="38" borderId="72" xfId="0" applyFont="1" applyFill="1" applyBorder="1" applyAlignment="1">
      <alignment horizontal="left" vertical="center" wrapText="1"/>
    </xf>
    <xf numFmtId="0" fontId="10" fillId="38" borderId="73" xfId="0" applyFont="1" applyFill="1" applyBorder="1" applyAlignment="1">
      <alignment horizontal="left" vertical="center" wrapText="1"/>
    </xf>
    <xf numFmtId="0" fontId="10" fillId="38" borderId="91" xfId="0" applyFont="1" applyFill="1" applyBorder="1" applyAlignment="1">
      <alignment horizontal="left" vertical="center" wrapText="1"/>
    </xf>
    <xf numFmtId="0" fontId="7" fillId="33" borderId="36" xfId="0" applyFont="1" applyFill="1" applyBorder="1" applyAlignment="1" applyProtection="1">
      <alignment horizontal="right" vertical="center" wrapText="1"/>
      <protection locked="0"/>
    </xf>
    <xf numFmtId="0" fontId="7" fillId="33" borderId="34" xfId="0" applyFont="1" applyFill="1" applyBorder="1" applyAlignment="1" applyProtection="1">
      <alignment horizontal="right" vertical="center" wrapText="1"/>
      <protection locked="0"/>
    </xf>
    <xf numFmtId="0" fontId="41" fillId="0" borderId="21" xfId="0" applyFont="1" applyFill="1" applyBorder="1" applyAlignment="1">
      <alignment horizontal="left" vertical="center" wrapText="1"/>
    </xf>
    <xf numFmtId="0" fontId="41" fillId="0" borderId="23" xfId="0" applyFont="1" applyFill="1" applyBorder="1" applyAlignment="1">
      <alignment horizontal="left" vertical="center" wrapText="1"/>
    </xf>
    <xf numFmtId="0" fontId="41" fillId="0" borderId="19" xfId="0" applyFont="1" applyFill="1" applyBorder="1" applyAlignment="1">
      <alignment horizontal="left" vertical="center" wrapText="1"/>
    </xf>
    <xf numFmtId="0" fontId="41" fillId="0" borderId="24" xfId="0" applyFont="1" applyFill="1" applyBorder="1" applyAlignment="1">
      <alignment horizontal="left" vertical="center" wrapText="1"/>
    </xf>
    <xf numFmtId="0" fontId="41" fillId="0" borderId="246" xfId="0" applyFont="1" applyFill="1" applyBorder="1" applyAlignment="1">
      <alignment horizontal="left" vertical="center" wrapText="1"/>
    </xf>
    <xf numFmtId="0" fontId="41" fillId="0" borderId="385" xfId="0" applyFont="1" applyFill="1" applyBorder="1" applyAlignment="1">
      <alignment horizontal="left" vertical="center" wrapText="1"/>
    </xf>
    <xf numFmtId="0" fontId="0" fillId="33" borderId="21" xfId="0" applyFill="1" applyBorder="1" applyAlignment="1">
      <alignment horizontal="left"/>
    </xf>
    <xf numFmtId="0" fontId="0" fillId="33" borderId="23" xfId="0" applyFill="1" applyBorder="1" applyAlignment="1">
      <alignment horizontal="left"/>
    </xf>
    <xf numFmtId="0" fontId="0" fillId="33" borderId="19" xfId="0" applyFill="1" applyBorder="1" applyAlignment="1">
      <alignment horizontal="left"/>
    </xf>
    <xf numFmtId="0" fontId="0" fillId="33" borderId="24" xfId="0" applyFill="1" applyBorder="1" applyAlignment="1">
      <alignment horizontal="left"/>
    </xf>
    <xf numFmtId="0" fontId="0" fillId="33" borderId="246" xfId="0" applyFill="1" applyBorder="1" applyAlignment="1">
      <alignment horizontal="left"/>
    </xf>
    <xf numFmtId="0" fontId="0" fillId="33" borderId="385" xfId="0" applyFill="1" applyBorder="1" applyAlignment="1">
      <alignment horizontal="left"/>
    </xf>
    <xf numFmtId="0" fontId="67" fillId="36" borderId="63" xfId="0" applyFont="1" applyFill="1" applyBorder="1" applyAlignment="1">
      <alignment horizontal="center" vertical="center" wrapText="1"/>
    </xf>
    <xf numFmtId="0" fontId="7" fillId="14" borderId="0" xfId="0" applyFont="1" applyFill="1" applyBorder="1" applyAlignment="1">
      <alignment horizontal="left" vertical="top" wrapText="1"/>
    </xf>
    <xf numFmtId="0" fontId="0" fillId="0" borderId="0" xfId="0" applyAlignment="1">
      <alignment horizontal="left" vertical="top" wrapText="1"/>
    </xf>
    <xf numFmtId="0" fontId="67" fillId="41" borderId="62" xfId="0" applyFont="1" applyFill="1" applyBorder="1" applyAlignment="1">
      <alignment horizontal="center" vertical="center" wrapText="1"/>
    </xf>
    <xf numFmtId="168" fontId="18" fillId="18" borderId="73" xfId="30" applyNumberFormat="1" applyFont="1" applyFill="1" applyBorder="1" applyAlignment="1">
      <alignment horizontal="left" vertical="center" wrapText="1"/>
    </xf>
    <xf numFmtId="168" fontId="18" fillId="18" borderId="91" xfId="30" applyNumberFormat="1" applyFont="1" applyFill="1" applyBorder="1" applyAlignment="1">
      <alignment horizontal="left" vertical="center" wrapText="1"/>
    </xf>
    <xf numFmtId="168" fontId="18" fillId="18" borderId="72" xfId="30" applyNumberFormat="1" applyFont="1" applyFill="1" applyBorder="1" applyAlignment="1">
      <alignment horizontal="left" vertical="center" wrapText="1"/>
    </xf>
    <xf numFmtId="0" fontId="67" fillId="41" borderId="50" xfId="0" applyFont="1" applyFill="1" applyBorder="1" applyAlignment="1">
      <alignment horizontal="center" vertical="center" wrapText="1"/>
    </xf>
    <xf numFmtId="0" fontId="15" fillId="42" borderId="206" xfId="0" applyNumberFormat="1" applyFont="1" applyFill="1" applyBorder="1" applyAlignment="1" applyProtection="1">
      <alignment horizontal="center" vertical="center" wrapText="1"/>
    </xf>
    <xf numFmtId="0" fontId="15" fillId="50" borderId="82" xfId="0" applyNumberFormat="1" applyFont="1" applyFill="1" applyBorder="1" applyAlignment="1" applyProtection="1">
      <alignment horizontal="center" vertical="center" wrapText="1"/>
    </xf>
    <xf numFmtId="0" fontId="7" fillId="14" borderId="0" xfId="0" applyFont="1" applyFill="1" applyBorder="1" applyAlignment="1">
      <alignment horizontal="left" vertical="center" wrapText="1"/>
    </xf>
    <xf numFmtId="0" fontId="0" fillId="0" borderId="0" xfId="0" applyAlignment="1">
      <alignment horizontal="left" vertical="center" wrapText="1"/>
    </xf>
    <xf numFmtId="0" fontId="0" fillId="0" borderId="0" xfId="0" applyAlignment="1">
      <alignment vertical="center" wrapText="1"/>
    </xf>
    <xf numFmtId="0" fontId="60" fillId="0" borderId="206" xfId="0" applyFont="1" applyFill="1" applyBorder="1" applyAlignment="1">
      <alignment horizontal="center" vertical="center" wrapText="1"/>
    </xf>
    <xf numFmtId="0" fontId="54" fillId="0" borderId="85" xfId="0" applyFont="1" applyFill="1" applyBorder="1" applyAlignment="1">
      <alignment vertical="center" wrapText="1"/>
    </xf>
    <xf numFmtId="0" fontId="56" fillId="0" borderId="46" xfId="0" applyFont="1" applyFill="1" applyBorder="1" applyAlignment="1">
      <alignment horizontal="center" vertical="center" wrapText="1"/>
    </xf>
    <xf numFmtId="0" fontId="54" fillId="0" borderId="86" xfId="0" applyFont="1" applyFill="1" applyBorder="1" applyAlignment="1">
      <alignment vertical="center" wrapText="1"/>
    </xf>
    <xf numFmtId="0" fontId="56" fillId="0" borderId="78" xfId="0" applyFont="1" applyFill="1" applyBorder="1" applyAlignment="1">
      <alignment horizontal="center" vertical="center" wrapText="1"/>
    </xf>
    <xf numFmtId="0" fontId="54" fillId="0" borderId="87" xfId="0" applyFont="1" applyFill="1" applyBorder="1" applyAlignment="1">
      <alignment vertical="center" wrapText="1"/>
    </xf>
    <xf numFmtId="0" fontId="68" fillId="42" borderId="90" xfId="0" applyNumberFormat="1" applyFont="1" applyFill="1" applyBorder="1" applyAlignment="1" applyProtection="1">
      <alignment horizontal="center" vertical="center" wrapText="1"/>
    </xf>
    <xf numFmtId="0" fontId="54" fillId="0" borderId="82" xfId="0" applyFont="1" applyBorder="1" applyAlignment="1">
      <alignment vertical="center"/>
    </xf>
    <xf numFmtId="0" fontId="54" fillId="0" borderId="90" xfId="0" applyFont="1" applyBorder="1" applyAlignment="1">
      <alignment vertical="center"/>
    </xf>
    <xf numFmtId="0" fontId="54" fillId="26" borderId="82" xfId="0" applyFont="1" applyFill="1" applyBorder="1" applyAlignment="1">
      <alignment horizontal="center" vertical="center" wrapText="1"/>
    </xf>
    <xf numFmtId="0" fontId="54" fillId="0" borderId="82" xfId="0" applyFont="1" applyBorder="1" applyAlignment="1">
      <alignment vertical="center" wrapText="1"/>
    </xf>
    <xf numFmtId="168" fontId="10" fillId="31" borderId="72" xfId="30" applyNumberFormat="1" applyFont="1" applyFill="1" applyBorder="1" applyAlignment="1">
      <alignment horizontal="left" vertical="center"/>
    </xf>
    <xf numFmtId="168" fontId="10" fillId="31" borderId="73" xfId="30" applyNumberFormat="1" applyFont="1" applyFill="1" applyBorder="1" applyAlignment="1">
      <alignment horizontal="left" vertical="center"/>
    </xf>
    <xf numFmtId="168" fontId="10" fillId="31" borderId="91" xfId="30" applyNumberFormat="1" applyFont="1" applyFill="1" applyBorder="1" applyAlignment="1">
      <alignment horizontal="left" vertical="center"/>
    </xf>
    <xf numFmtId="168" fontId="54" fillId="18" borderId="72" xfId="30" applyNumberFormat="1" applyFont="1" applyFill="1" applyBorder="1" applyAlignment="1">
      <alignment horizontal="left" vertical="center" wrapText="1"/>
    </xf>
    <xf numFmtId="168" fontId="54" fillId="18" borderId="73" xfId="30" applyNumberFormat="1" applyFont="1" applyFill="1" applyBorder="1" applyAlignment="1">
      <alignment horizontal="left" vertical="center" wrapText="1"/>
    </xf>
    <xf numFmtId="168" fontId="54" fillId="18" borderId="19" xfId="30" applyNumberFormat="1" applyFont="1" applyFill="1" applyBorder="1" applyAlignment="1">
      <alignment horizontal="left" vertical="center" wrapText="1"/>
    </xf>
    <xf numFmtId="0" fontId="0" fillId="0" borderId="72" xfId="0" applyFill="1" applyBorder="1" applyAlignment="1">
      <alignment horizontal="center"/>
    </xf>
    <xf numFmtId="0" fontId="0" fillId="0" borderId="73" xfId="0" applyFill="1" applyBorder="1" applyAlignment="1">
      <alignment horizontal="center"/>
    </xf>
    <xf numFmtId="0" fontId="0" fillId="0" borderId="91" xfId="0" applyFill="1" applyBorder="1" applyAlignment="1">
      <alignment horizontal="center"/>
    </xf>
    <xf numFmtId="0" fontId="15" fillId="42" borderId="82" xfId="0" applyNumberFormat="1" applyFont="1" applyFill="1" applyBorder="1" applyAlignment="1" applyProtection="1">
      <alignment horizontal="center" vertical="center" wrapText="1"/>
    </xf>
    <xf numFmtId="0" fontId="15" fillId="42" borderId="90" xfId="0" applyNumberFormat="1" applyFont="1" applyFill="1" applyBorder="1" applyAlignment="1" applyProtection="1">
      <alignment horizontal="center" vertical="center" wrapText="1"/>
    </xf>
    <xf numFmtId="0" fontId="15" fillId="0" borderId="72" xfId="0" applyFont="1" applyFill="1" applyBorder="1" applyAlignment="1">
      <alignment horizontal="left" vertical="center" indent="1"/>
    </xf>
    <xf numFmtId="0" fontId="15" fillId="0" borderId="73" xfId="0" applyFont="1" applyFill="1" applyBorder="1" applyAlignment="1">
      <alignment horizontal="left" vertical="center" indent="1"/>
    </xf>
    <xf numFmtId="0" fontId="15" fillId="0" borderId="91" xfId="0" applyFont="1" applyFill="1" applyBorder="1" applyAlignment="1">
      <alignment horizontal="left" vertical="center" indent="1"/>
    </xf>
    <xf numFmtId="0" fontId="15" fillId="0" borderId="72" xfId="0" applyFont="1" applyBorder="1" applyAlignment="1">
      <alignment horizontal="left" vertical="center" indent="1"/>
    </xf>
    <xf numFmtId="0" fontId="15" fillId="0" borderId="73" xfId="0" applyFont="1" applyBorder="1" applyAlignment="1">
      <alignment horizontal="left" vertical="center" indent="1"/>
    </xf>
    <xf numFmtId="0" fontId="10" fillId="26" borderId="82" xfId="0" applyFont="1" applyFill="1" applyBorder="1" applyAlignment="1">
      <alignment horizontal="center" vertical="center" wrapText="1"/>
    </xf>
    <xf numFmtId="0" fontId="10" fillId="0" borderId="82" xfId="0" applyFont="1" applyBorder="1" applyAlignment="1">
      <alignment vertical="center" wrapText="1"/>
    </xf>
    <xf numFmtId="0" fontId="18" fillId="43" borderId="72" xfId="0" applyFont="1" applyFill="1" applyBorder="1" applyAlignment="1">
      <alignment horizontal="left" vertical="center"/>
    </xf>
    <xf numFmtId="0" fontId="18" fillId="43" borderId="73" xfId="0" applyFont="1" applyFill="1" applyBorder="1" applyAlignment="1">
      <alignment horizontal="left" vertical="center"/>
    </xf>
    <xf numFmtId="0" fontId="18" fillId="43" borderId="91" xfId="0" applyFont="1" applyFill="1" applyBorder="1" applyAlignment="1">
      <alignment horizontal="left" vertical="center"/>
    </xf>
    <xf numFmtId="0" fontId="53" fillId="33" borderId="246" xfId="0" applyFont="1" applyFill="1" applyBorder="1" applyAlignment="1">
      <alignment horizontal="center" vertical="center" wrapText="1"/>
    </xf>
    <xf numFmtId="0" fontId="15" fillId="43" borderId="72" xfId="0" applyFont="1" applyFill="1" applyBorder="1" applyAlignment="1">
      <alignment horizontal="left" vertical="top" wrapText="1"/>
    </xf>
    <xf numFmtId="0" fontId="15" fillId="43" borderId="73" xfId="0" applyFont="1" applyFill="1" applyBorder="1" applyAlignment="1">
      <alignment horizontal="left" vertical="top" wrapText="1"/>
    </xf>
    <xf numFmtId="0" fontId="15" fillId="43" borderId="91" xfId="0" applyFont="1" applyFill="1" applyBorder="1" applyAlignment="1">
      <alignment horizontal="left" vertical="top" wrapText="1"/>
    </xf>
    <xf numFmtId="168" fontId="18" fillId="0" borderId="36" xfId="30" applyNumberFormat="1" applyFont="1" applyFill="1" applyBorder="1" applyAlignment="1">
      <alignment horizontal="left" vertical="center"/>
    </xf>
    <xf numFmtId="168" fontId="18" fillId="0" borderId="54" xfId="30" applyNumberFormat="1" applyFont="1" applyFill="1" applyBorder="1" applyAlignment="1">
      <alignment horizontal="left" vertical="center"/>
    </xf>
    <xf numFmtId="0" fontId="10" fillId="25" borderId="73" xfId="0" applyFont="1" applyFill="1" applyBorder="1" applyAlignment="1">
      <alignment horizontal="center" wrapText="1"/>
    </xf>
    <xf numFmtId="168" fontId="52" fillId="25" borderId="72" xfId="30" applyNumberFormat="1" applyFont="1" applyFill="1" applyBorder="1"/>
    <xf numFmtId="168" fontId="52" fillId="25" borderId="73" xfId="30" applyNumberFormat="1" applyFont="1" applyFill="1" applyBorder="1"/>
    <xf numFmtId="168" fontId="52" fillId="25" borderId="91" xfId="30" applyNumberFormat="1" applyFont="1" applyFill="1" applyBorder="1"/>
    <xf numFmtId="0" fontId="7" fillId="38" borderId="72" xfId="0" applyFont="1" applyFill="1" applyBorder="1"/>
    <xf numFmtId="0" fontId="7" fillId="38" borderId="73" xfId="0" applyFont="1" applyFill="1" applyBorder="1"/>
    <xf numFmtId="0" fontId="7" fillId="38" borderId="91" xfId="0" applyFont="1" applyFill="1" applyBorder="1"/>
    <xf numFmtId="168" fontId="10" fillId="38" borderId="41" xfId="0" applyNumberFormat="1" applyFont="1" applyFill="1" applyBorder="1" applyAlignment="1">
      <alignment horizontal="left" vertical="center" wrapText="1"/>
    </xf>
    <xf numFmtId="168" fontId="10" fillId="38" borderId="13" xfId="0" applyNumberFormat="1" applyFont="1" applyFill="1" applyBorder="1" applyAlignment="1">
      <alignment horizontal="left" vertical="center" wrapText="1"/>
    </xf>
    <xf numFmtId="168" fontId="18" fillId="25" borderId="36" xfId="30" applyNumberFormat="1" applyFont="1" applyFill="1" applyBorder="1" applyAlignment="1">
      <alignment horizontal="left" vertical="center"/>
    </xf>
    <xf numFmtId="168" fontId="18" fillId="25" borderId="54" xfId="30" applyNumberFormat="1" applyFont="1" applyFill="1" applyBorder="1" applyAlignment="1">
      <alignment horizontal="left" vertical="center"/>
    </xf>
    <xf numFmtId="0" fontId="10" fillId="47" borderId="23" xfId="0" applyFont="1" applyFill="1" applyBorder="1" applyAlignment="1">
      <alignment horizontal="center" vertical="center" wrapText="1"/>
    </xf>
    <xf numFmtId="0" fontId="10" fillId="47" borderId="24" xfId="0" applyFont="1" applyFill="1" applyBorder="1" applyAlignment="1">
      <alignment horizontal="center" vertical="center" wrapText="1"/>
    </xf>
    <xf numFmtId="0" fontId="67" fillId="36" borderId="61" xfId="0" applyFont="1" applyFill="1" applyBorder="1" applyAlignment="1">
      <alignment horizontal="center" vertical="center" wrapText="1"/>
    </xf>
    <xf numFmtId="0" fontId="7" fillId="0" borderId="21" xfId="305" applyFont="1" applyFill="1" applyBorder="1" applyAlignment="1">
      <alignment horizontal="center"/>
    </xf>
    <xf numFmtId="0" fontId="7" fillId="0" borderId="23" xfId="305" applyFont="1" applyFill="1" applyBorder="1" applyAlignment="1">
      <alignment horizontal="center"/>
    </xf>
    <xf numFmtId="0" fontId="7" fillId="0" borderId="19" xfId="305" applyFont="1" applyFill="1" applyBorder="1" applyAlignment="1">
      <alignment horizontal="center"/>
    </xf>
    <xf numFmtId="0" fontId="7" fillId="0" borderId="24" xfId="305" applyFont="1" applyFill="1" applyBorder="1" applyAlignment="1">
      <alignment horizontal="center"/>
    </xf>
    <xf numFmtId="0" fontId="67" fillId="40" borderId="51" xfId="305" applyFont="1" applyFill="1" applyBorder="1" applyAlignment="1">
      <alignment horizontal="center" vertical="center" wrapText="1"/>
    </xf>
    <xf numFmtId="0" fontId="67" fillId="40" borderId="52" xfId="305" applyFont="1" applyFill="1" applyBorder="1" applyAlignment="1">
      <alignment horizontal="center" vertical="center" wrapText="1"/>
    </xf>
    <xf numFmtId="0" fontId="67" fillId="40" borderId="53" xfId="305" applyFont="1" applyFill="1" applyBorder="1" applyAlignment="1">
      <alignment horizontal="center" vertical="center" wrapText="1"/>
    </xf>
    <xf numFmtId="0" fontId="67" fillId="39" borderId="22" xfId="305" applyFont="1" applyFill="1" applyBorder="1" applyAlignment="1">
      <alignment horizontal="center" vertical="center" wrapText="1"/>
    </xf>
    <xf numFmtId="0" fontId="67" fillId="39" borderId="23" xfId="305" applyFont="1" applyFill="1" applyBorder="1" applyAlignment="1">
      <alignment horizontal="center" vertical="center" wrapText="1"/>
    </xf>
    <xf numFmtId="0" fontId="67" fillId="40" borderId="21" xfId="305" applyFont="1" applyFill="1" applyBorder="1" applyAlignment="1">
      <alignment horizontal="center" vertical="center" wrapText="1"/>
    </xf>
    <xf numFmtId="0" fontId="67" fillId="40" borderId="22" xfId="305" applyFont="1" applyFill="1" applyBorder="1" applyAlignment="1">
      <alignment horizontal="center" vertical="center" wrapText="1"/>
    </xf>
    <xf numFmtId="0" fontId="67" fillId="40" borderId="23" xfId="305" applyFont="1" applyFill="1" applyBorder="1" applyAlignment="1">
      <alignment horizontal="center" vertical="center" wrapText="1"/>
    </xf>
    <xf numFmtId="0" fontId="67" fillId="39" borderId="21" xfId="305" applyFont="1" applyFill="1" applyBorder="1" applyAlignment="1">
      <alignment horizontal="center" vertical="center" wrapText="1"/>
    </xf>
    <xf numFmtId="0" fontId="67" fillId="40" borderId="182" xfId="305" applyFont="1" applyFill="1" applyBorder="1" applyAlignment="1">
      <alignment horizontal="center" vertical="center" wrapText="1"/>
    </xf>
    <xf numFmtId="0" fontId="67" fillId="40" borderId="95" xfId="305" applyFont="1" applyFill="1" applyBorder="1" applyAlignment="1">
      <alignment horizontal="center" vertical="center" wrapText="1"/>
    </xf>
    <xf numFmtId="0" fontId="67" fillId="40" borderId="183" xfId="305" applyFont="1" applyFill="1" applyBorder="1" applyAlignment="1">
      <alignment horizontal="center" vertical="center" wrapText="1"/>
    </xf>
    <xf numFmtId="168" fontId="48" fillId="18" borderId="207" xfId="30" applyNumberFormat="1" applyFont="1" applyFill="1" applyBorder="1" applyAlignment="1">
      <alignment horizontal="left" indent="1"/>
    </xf>
    <xf numFmtId="168" fontId="48" fillId="18" borderId="65" xfId="30" applyNumberFormat="1" applyFont="1" applyFill="1" applyBorder="1" applyAlignment="1">
      <alignment horizontal="left" indent="1"/>
    </xf>
    <xf numFmtId="168" fontId="48" fillId="18" borderId="50" xfId="30" applyNumberFormat="1" applyFont="1" applyFill="1" applyBorder="1" applyAlignment="1">
      <alignment horizontal="left" indent="1"/>
    </xf>
    <xf numFmtId="168" fontId="48" fillId="18" borderId="77" xfId="30" applyNumberFormat="1" applyFont="1" applyFill="1" applyBorder="1" applyAlignment="1">
      <alignment horizontal="left" indent="1"/>
    </xf>
    <xf numFmtId="168" fontId="48" fillId="18" borderId="68" xfId="30" applyNumberFormat="1" applyFont="1" applyFill="1" applyBorder="1" applyAlignment="1">
      <alignment horizontal="left" indent="1"/>
    </xf>
    <xf numFmtId="168" fontId="48" fillId="18" borderId="147" xfId="30" applyNumberFormat="1" applyFont="1" applyFill="1" applyBorder="1" applyAlignment="1">
      <alignment horizontal="left" indent="1"/>
    </xf>
    <xf numFmtId="0" fontId="10" fillId="38" borderId="36" xfId="305" applyFont="1" applyFill="1" applyBorder="1"/>
    <xf numFmtId="0" fontId="10" fillId="38" borderId="34" xfId="305" applyFont="1" applyFill="1" applyBorder="1"/>
    <xf numFmtId="168" fontId="48" fillId="18" borderId="46" xfId="30" applyNumberFormat="1" applyFont="1" applyFill="1" applyBorder="1" applyAlignment="1">
      <alignment horizontal="left" indent="1"/>
    </xf>
    <xf numFmtId="168" fontId="48" fillId="18" borderId="61" xfId="30" applyNumberFormat="1" applyFont="1" applyFill="1" applyBorder="1" applyAlignment="1">
      <alignment horizontal="left" indent="1"/>
    </xf>
    <xf numFmtId="0" fontId="200" fillId="112" borderId="21" xfId="305" applyFont="1" applyFill="1" applyBorder="1" applyAlignment="1">
      <alignment horizontal="center" vertical="center" wrapText="1"/>
    </xf>
    <xf numFmtId="0" fontId="41" fillId="112" borderId="23" xfId="305" applyFont="1" applyFill="1" applyBorder="1" applyAlignment="1">
      <alignment horizontal="center" vertical="center" wrapText="1"/>
    </xf>
    <xf numFmtId="0" fontId="41" fillId="112" borderId="19" xfId="305" applyFont="1" applyFill="1" applyBorder="1" applyAlignment="1">
      <alignment horizontal="center" vertical="center" wrapText="1"/>
    </xf>
    <xf numFmtId="0" fontId="41" fillId="112" borderId="24" xfId="305" applyFont="1" applyFill="1" applyBorder="1" applyAlignment="1">
      <alignment horizontal="center" vertical="center" wrapText="1"/>
    </xf>
    <xf numFmtId="0" fontId="41" fillId="112" borderId="246" xfId="305" applyFont="1" applyFill="1" applyBorder="1" applyAlignment="1">
      <alignment horizontal="center" vertical="center" wrapText="1"/>
    </xf>
    <xf numFmtId="0" fontId="41" fillId="112" borderId="385" xfId="305" applyFont="1" applyFill="1" applyBorder="1" applyAlignment="1">
      <alignment horizontal="center" vertical="center" wrapText="1"/>
    </xf>
    <xf numFmtId="168" fontId="7" fillId="18" borderId="73" xfId="30" applyNumberFormat="1" applyFont="1" applyFill="1" applyBorder="1" applyAlignment="1">
      <alignment horizontal="left" vertical="center"/>
    </xf>
    <xf numFmtId="168" fontId="7" fillId="18" borderId="91" xfId="30" applyNumberFormat="1" applyFont="1" applyFill="1" applyBorder="1" applyAlignment="1">
      <alignment horizontal="left" vertical="center"/>
    </xf>
    <xf numFmtId="168" fontId="7" fillId="18" borderId="72" xfId="30" applyNumberFormat="1" applyFont="1" applyFill="1" applyBorder="1" applyAlignment="1">
      <alignment horizontal="left" vertical="center"/>
    </xf>
    <xf numFmtId="0" fontId="10" fillId="38" borderId="49" xfId="305" applyFont="1" applyFill="1" applyBorder="1" applyAlignment="1">
      <alignment horizontal="left" indent="2"/>
    </xf>
    <xf numFmtId="0" fontId="10" fillId="38" borderId="74" xfId="305" applyFont="1" applyFill="1" applyBorder="1" applyAlignment="1">
      <alignment horizontal="left" indent="2"/>
    </xf>
    <xf numFmtId="0" fontId="10" fillId="38" borderId="68" xfId="305" applyFont="1" applyFill="1" applyBorder="1" applyAlignment="1">
      <alignment horizontal="left" indent="2"/>
    </xf>
    <xf numFmtId="0" fontId="10" fillId="38" borderId="116" xfId="305" applyFont="1" applyFill="1" applyBorder="1" applyAlignment="1">
      <alignment horizontal="left" indent="2"/>
    </xf>
    <xf numFmtId="3" fontId="10" fillId="25" borderId="72" xfId="305" applyNumberFormat="1" applyFont="1" applyFill="1" applyBorder="1" applyAlignment="1">
      <alignment horizontal="left" vertical="center"/>
    </xf>
    <xf numFmtId="3" fontId="10" fillId="25" borderId="73" xfId="305" applyNumberFormat="1" applyFont="1" applyFill="1" applyBorder="1" applyAlignment="1">
      <alignment horizontal="left" vertical="center"/>
    </xf>
    <xf numFmtId="3" fontId="10" fillId="25" borderId="91" xfId="305" applyNumberFormat="1" applyFont="1" applyFill="1" applyBorder="1" applyAlignment="1">
      <alignment horizontal="left" vertical="center"/>
    </xf>
    <xf numFmtId="0" fontId="7" fillId="33" borderId="50" xfId="305" applyFont="1" applyFill="1" applyBorder="1" applyAlignment="1">
      <alignment horizontal="left" vertical="center" wrapText="1" indent="4"/>
    </xf>
    <xf numFmtId="0" fontId="7" fillId="33" borderId="77" xfId="305" applyFont="1" applyFill="1" applyBorder="1" applyAlignment="1">
      <alignment horizontal="left" vertical="center" wrapText="1" indent="4"/>
    </xf>
    <xf numFmtId="0" fontId="10" fillId="33" borderId="68" xfId="305" applyFont="1" applyFill="1" applyBorder="1"/>
    <xf numFmtId="0" fontId="10" fillId="33" borderId="147" xfId="305" applyFont="1" applyFill="1" applyBorder="1"/>
    <xf numFmtId="0" fontId="7" fillId="43" borderId="49" xfId="305" applyFont="1" applyFill="1" applyBorder="1" applyAlignment="1">
      <alignment horizontal="left" vertical="center" wrapText="1" indent="2"/>
    </xf>
    <xf numFmtId="0" fontId="7" fillId="43" borderId="75" xfId="305" applyFont="1" applyFill="1" applyBorder="1" applyAlignment="1">
      <alignment horizontal="left" vertical="center" wrapText="1" indent="2"/>
    </xf>
    <xf numFmtId="0" fontId="7" fillId="43" borderId="50" xfId="305" applyFont="1" applyFill="1" applyBorder="1" applyAlignment="1">
      <alignment horizontal="left" vertical="center" wrapText="1" indent="4"/>
    </xf>
    <xf numFmtId="0" fontId="7" fillId="43" borderId="77" xfId="305" applyFont="1" applyFill="1" applyBorder="1" applyAlignment="1">
      <alignment horizontal="left" vertical="center" wrapText="1" indent="4"/>
    </xf>
    <xf numFmtId="0" fontId="15" fillId="29" borderId="68" xfId="305" applyFont="1" applyFill="1" applyBorder="1" applyAlignment="1">
      <alignment horizontal="left" indent="2"/>
    </xf>
    <xf numFmtId="0" fontId="15" fillId="29" borderId="147" xfId="305" applyFont="1" applyFill="1" applyBorder="1" applyAlignment="1">
      <alignment horizontal="left" indent="2"/>
    </xf>
    <xf numFmtId="0" fontId="15" fillId="29" borderId="70" xfId="305" applyFont="1" applyFill="1" applyBorder="1" applyAlignment="1">
      <alignment horizontal="left" indent="2"/>
    </xf>
    <xf numFmtId="0" fontId="15" fillId="29" borderId="125" xfId="305" applyFont="1" applyFill="1" applyBorder="1" applyAlignment="1">
      <alignment horizontal="left" indent="2"/>
    </xf>
    <xf numFmtId="0" fontId="10" fillId="38" borderId="147" xfId="305" applyFont="1" applyFill="1" applyBorder="1" applyAlignment="1">
      <alignment horizontal="left" indent="2"/>
    </xf>
    <xf numFmtId="0" fontId="10" fillId="38" borderId="75" xfId="305" applyFont="1" applyFill="1" applyBorder="1" applyAlignment="1">
      <alignment horizontal="left" indent="2"/>
    </xf>
    <xf numFmtId="0" fontId="10" fillId="43" borderId="50" xfId="305" applyFont="1" applyFill="1" applyBorder="1"/>
    <xf numFmtId="0" fontId="10" fillId="43" borderId="77" xfId="305" applyFont="1" applyFill="1" applyBorder="1"/>
    <xf numFmtId="0" fontId="10" fillId="33" borderId="50" xfId="305" applyFont="1" applyFill="1" applyBorder="1" applyAlignment="1">
      <alignment horizontal="left" vertical="center" wrapText="1"/>
    </xf>
    <xf numFmtId="0" fontId="10" fillId="33" borderId="77" xfId="305" applyFont="1" applyFill="1" applyBorder="1" applyAlignment="1">
      <alignment horizontal="left" vertical="center" wrapText="1"/>
    </xf>
    <xf numFmtId="168" fontId="48" fillId="18" borderId="206" xfId="30" applyNumberFormat="1" applyFont="1" applyFill="1" applyBorder="1" applyAlignment="1">
      <alignment horizontal="left" indent="1"/>
    </xf>
    <xf numFmtId="168" fontId="48" fillId="18" borderId="71" xfId="30" applyNumberFormat="1" applyFont="1" applyFill="1" applyBorder="1" applyAlignment="1">
      <alignment horizontal="left" indent="1"/>
    </xf>
    <xf numFmtId="0" fontId="7" fillId="0" borderId="49" xfId="305" applyFont="1" applyFill="1" applyBorder="1" applyAlignment="1">
      <alignment horizontal="left" vertical="center" wrapText="1" indent="2"/>
    </xf>
    <xf numFmtId="0" fontId="7" fillId="0" borderId="75" xfId="305" applyFont="1" applyFill="1" applyBorder="1" applyAlignment="1">
      <alignment horizontal="left" vertical="center" wrapText="1" indent="2"/>
    </xf>
    <xf numFmtId="0" fontId="10" fillId="33" borderId="50" xfId="305" applyFont="1" applyFill="1" applyBorder="1"/>
    <xf numFmtId="0" fontId="10" fillId="33" borderId="77" xfId="305" applyFont="1" applyFill="1" applyBorder="1"/>
    <xf numFmtId="0" fontId="7" fillId="33" borderId="36" xfId="305" applyFont="1" applyFill="1" applyBorder="1" applyAlignment="1" applyProtection="1">
      <alignment horizontal="right" vertical="center" wrapText="1"/>
      <protection locked="0"/>
    </xf>
    <xf numFmtId="0" fontId="7" fillId="33" borderId="34" xfId="305" applyFont="1" applyFill="1" applyBorder="1" applyAlignment="1" applyProtection="1">
      <alignment horizontal="right" vertical="center" wrapText="1"/>
      <protection locked="0"/>
    </xf>
    <xf numFmtId="0" fontId="89" fillId="14" borderId="0" xfId="0" applyFont="1" applyFill="1" applyBorder="1" applyAlignment="1">
      <alignment horizontal="left" vertical="top" wrapText="1"/>
    </xf>
    <xf numFmtId="0" fontId="41" fillId="0" borderId="21" xfId="305" applyFont="1" applyFill="1" applyBorder="1" applyAlignment="1">
      <alignment horizontal="left" vertical="center" wrapText="1"/>
    </xf>
    <xf numFmtId="0" fontId="41" fillId="0" borderId="23" xfId="305" applyFont="1" applyFill="1" applyBorder="1" applyAlignment="1">
      <alignment horizontal="left" vertical="center" wrapText="1"/>
    </xf>
    <xf numFmtId="0" fontId="41" fillId="0" borderId="19" xfId="305" applyFont="1" applyFill="1" applyBorder="1" applyAlignment="1">
      <alignment horizontal="left" vertical="center" wrapText="1"/>
    </xf>
    <xf numFmtId="0" fontId="41" fillId="0" borderId="24" xfId="305" applyFont="1" applyFill="1" applyBorder="1" applyAlignment="1">
      <alignment horizontal="left" vertical="center" wrapText="1"/>
    </xf>
    <xf numFmtId="168" fontId="7" fillId="25" borderId="206" xfId="30" applyNumberFormat="1" applyFont="1" applyFill="1" applyBorder="1" applyAlignment="1">
      <alignment horizontal="left" vertical="center"/>
    </xf>
    <xf numFmtId="168" fontId="7" fillId="25" borderId="46" xfId="30" applyNumberFormat="1" applyFont="1" applyFill="1" applyBorder="1" applyAlignment="1">
      <alignment horizontal="left" vertical="center"/>
    </xf>
    <xf numFmtId="168" fontId="7" fillId="25" borderId="207" xfId="30" applyNumberFormat="1" applyFont="1" applyFill="1" applyBorder="1" applyAlignment="1">
      <alignment horizontal="left" vertical="center"/>
    </xf>
    <xf numFmtId="0" fontId="10" fillId="43" borderId="68" xfId="305" applyFont="1" applyFill="1" applyBorder="1"/>
    <xf numFmtId="0" fontId="10" fillId="43" borderId="147" xfId="305" applyFont="1" applyFill="1" applyBorder="1"/>
    <xf numFmtId="0" fontId="41" fillId="0" borderId="21" xfId="305" applyFont="1" applyFill="1" applyBorder="1" applyAlignment="1">
      <alignment horizontal="center" vertical="center" wrapText="1"/>
    </xf>
    <xf numFmtId="0" fontId="41" fillId="0" borderId="23" xfId="305" applyFont="1" applyFill="1" applyBorder="1" applyAlignment="1">
      <alignment horizontal="center" vertical="center" wrapText="1"/>
    </xf>
    <xf numFmtId="0" fontId="41" fillId="0" borderId="19" xfId="305" applyFont="1" applyFill="1" applyBorder="1" applyAlignment="1">
      <alignment horizontal="center" vertical="center" wrapText="1"/>
    </xf>
    <xf numFmtId="0" fontId="41" fillId="0" borderId="24" xfId="305" applyFont="1" applyFill="1" applyBorder="1" applyAlignment="1">
      <alignment horizontal="center" vertical="center" wrapText="1"/>
    </xf>
    <xf numFmtId="0" fontId="41" fillId="0" borderId="246" xfId="305" applyFont="1" applyFill="1" applyBorder="1" applyAlignment="1">
      <alignment horizontal="center" vertical="center" wrapText="1"/>
    </xf>
    <xf numFmtId="0" fontId="41" fillId="0" borderId="385" xfId="305" applyFont="1" applyFill="1" applyBorder="1" applyAlignment="1">
      <alignment horizontal="center" vertical="center" wrapText="1"/>
    </xf>
    <xf numFmtId="168" fontId="48" fillId="18" borderId="49" xfId="30" applyNumberFormat="1" applyFont="1" applyFill="1" applyBorder="1" applyAlignment="1">
      <alignment horizontal="left" indent="1"/>
    </xf>
    <xf numFmtId="168" fontId="48" fillId="18" borderId="75" xfId="30" applyNumberFormat="1" applyFont="1" applyFill="1" applyBorder="1" applyAlignment="1">
      <alignment horizontal="left" indent="1"/>
    </xf>
    <xf numFmtId="168" fontId="89" fillId="25" borderId="72" xfId="30" applyNumberFormat="1" applyFont="1" applyFill="1" applyBorder="1" applyAlignment="1">
      <alignment horizontal="left" vertical="center"/>
    </xf>
    <xf numFmtId="168" fontId="89" fillId="25" borderId="73" xfId="30" applyNumberFormat="1" applyFont="1" applyFill="1" applyBorder="1" applyAlignment="1">
      <alignment horizontal="left" vertical="center"/>
    </xf>
    <xf numFmtId="168" fontId="89" fillId="25" borderId="91" xfId="30" applyNumberFormat="1" applyFont="1" applyFill="1" applyBorder="1" applyAlignment="1">
      <alignment horizontal="left" vertical="center"/>
    </xf>
    <xf numFmtId="168" fontId="89" fillId="18" borderId="72" xfId="30" applyNumberFormat="1" applyFont="1" applyFill="1" applyBorder="1" applyAlignment="1">
      <alignment horizontal="left" vertical="center"/>
    </xf>
    <xf numFmtId="168" fontId="89" fillId="18" borderId="73" xfId="30" applyNumberFormat="1" applyFont="1" applyFill="1" applyBorder="1" applyAlignment="1">
      <alignment horizontal="left" vertical="center"/>
    </xf>
    <xf numFmtId="168" fontId="89" fillId="18" borderId="91" xfId="30" applyNumberFormat="1" applyFont="1" applyFill="1" applyBorder="1" applyAlignment="1">
      <alignment horizontal="left" vertical="center"/>
    </xf>
    <xf numFmtId="0" fontId="15" fillId="38" borderId="68" xfId="305" applyFont="1" applyFill="1" applyBorder="1" applyAlignment="1">
      <alignment horizontal="left" indent="2"/>
    </xf>
    <xf numFmtId="0" fontId="15" fillId="38" borderId="147" xfId="305" applyFont="1" applyFill="1" applyBorder="1" applyAlignment="1">
      <alignment horizontal="left" indent="2"/>
    </xf>
    <xf numFmtId="3" fontId="10" fillId="38" borderId="72" xfId="305" applyNumberFormat="1" applyFont="1" applyFill="1" applyBorder="1" applyAlignment="1">
      <alignment horizontal="left" vertical="center"/>
    </xf>
    <xf numFmtId="3" fontId="10" fillId="38" borderId="73" xfId="305" applyNumberFormat="1" applyFont="1" applyFill="1" applyBorder="1" applyAlignment="1">
      <alignment horizontal="left" vertical="center"/>
    </xf>
    <xf numFmtId="3" fontId="10" fillId="38" borderId="91" xfId="305" applyNumberFormat="1" applyFont="1" applyFill="1" applyBorder="1" applyAlignment="1">
      <alignment horizontal="left" vertical="center"/>
    </xf>
    <xf numFmtId="0" fontId="10" fillId="43" borderId="50" xfId="305" applyFont="1" applyFill="1" applyBorder="1" applyAlignment="1">
      <alignment horizontal="left" vertical="center" wrapText="1"/>
    </xf>
    <xf numFmtId="0" fontId="10" fillId="43" borderId="77" xfId="305" applyFont="1" applyFill="1" applyBorder="1" applyAlignment="1">
      <alignment horizontal="left" vertical="center" wrapText="1"/>
    </xf>
    <xf numFmtId="0" fontId="7" fillId="33" borderId="49" xfId="305" applyFont="1" applyFill="1" applyBorder="1" applyAlignment="1">
      <alignment horizontal="left" vertical="center" wrapText="1" indent="2"/>
    </xf>
    <xf numFmtId="0" fontId="7" fillId="33" borderId="75" xfId="305" applyFont="1" applyFill="1" applyBorder="1" applyAlignment="1">
      <alignment horizontal="left" vertical="center" wrapText="1" indent="2"/>
    </xf>
    <xf numFmtId="0" fontId="200" fillId="112" borderId="23" xfId="305" applyFont="1" applyFill="1" applyBorder="1" applyAlignment="1">
      <alignment horizontal="center" vertical="center" wrapText="1"/>
    </xf>
    <xf numFmtId="0" fontId="200" fillId="112" borderId="19" xfId="305" applyFont="1" applyFill="1" applyBorder="1" applyAlignment="1">
      <alignment horizontal="center" vertical="center" wrapText="1"/>
    </xf>
    <xf numFmtId="0" fontId="200" fillId="112" borderId="24" xfId="305" applyFont="1" applyFill="1" applyBorder="1" applyAlignment="1">
      <alignment horizontal="center" vertical="center" wrapText="1"/>
    </xf>
    <xf numFmtId="0" fontId="200" fillId="112" borderId="246" xfId="305" applyFont="1" applyFill="1" applyBorder="1" applyAlignment="1">
      <alignment horizontal="center" vertical="center" wrapText="1"/>
    </xf>
    <xf numFmtId="0" fontId="200" fillId="112" borderId="385" xfId="305" applyFont="1" applyFill="1" applyBorder="1" applyAlignment="1">
      <alignment horizontal="center" vertical="center" wrapText="1"/>
    </xf>
    <xf numFmtId="0" fontId="68" fillId="50" borderId="56" xfId="305" applyNumberFormat="1" applyFont="1" applyFill="1" applyBorder="1" applyAlignment="1" applyProtection="1">
      <alignment horizontal="center" vertical="center" wrapText="1"/>
    </xf>
    <xf numFmtId="0" fontId="18" fillId="41" borderId="56" xfId="305" applyFont="1" applyFill="1" applyBorder="1" applyAlignment="1">
      <alignment horizontal="center" vertical="center" wrapText="1"/>
    </xf>
    <xf numFmtId="0" fontId="68" fillId="42" borderId="56" xfId="305" applyNumberFormat="1" applyFont="1" applyFill="1" applyBorder="1" applyAlignment="1" applyProtection="1">
      <alignment horizontal="center" vertical="center" wrapText="1"/>
    </xf>
    <xf numFmtId="0" fontId="68" fillId="42" borderId="59" xfId="305" applyNumberFormat="1" applyFont="1" applyFill="1" applyBorder="1" applyAlignment="1" applyProtection="1">
      <alignment horizontal="center" vertical="center" wrapText="1"/>
    </xf>
    <xf numFmtId="0" fontId="67" fillId="36" borderId="50" xfId="305" applyFont="1" applyFill="1" applyBorder="1" applyAlignment="1">
      <alignment horizontal="center" vertical="center" wrapText="1"/>
    </xf>
    <xf numFmtId="0" fontId="67" fillId="36" borderId="76" xfId="305" applyFont="1" applyFill="1" applyBorder="1" applyAlignment="1">
      <alignment horizontal="center" vertical="center" wrapText="1"/>
    </xf>
    <xf numFmtId="0" fontId="67" fillId="36" borderId="77" xfId="305" applyFont="1" applyFill="1" applyBorder="1" applyAlignment="1">
      <alignment horizontal="center" vertical="center" wrapText="1"/>
    </xf>
    <xf numFmtId="0" fontId="67" fillId="41" borderId="86" xfId="305" applyFont="1" applyFill="1" applyBorder="1" applyAlignment="1">
      <alignment horizontal="center" vertical="center" wrapText="1"/>
    </xf>
    <xf numFmtId="0" fontId="67" fillId="41" borderId="76" xfId="305" applyFont="1" applyFill="1" applyBorder="1" applyAlignment="1">
      <alignment horizontal="center" vertical="center" wrapText="1"/>
    </xf>
    <xf numFmtId="0" fontId="67" fillId="41" borderId="139" xfId="305" applyFont="1" applyFill="1" applyBorder="1" applyAlignment="1">
      <alignment horizontal="center" vertical="center" wrapText="1"/>
    </xf>
    <xf numFmtId="0" fontId="67" fillId="36" borderId="62" xfId="305" applyFont="1" applyFill="1" applyBorder="1" applyAlignment="1">
      <alignment horizontal="center" vertical="center" wrapText="1"/>
    </xf>
    <xf numFmtId="0" fontId="68" fillId="42" borderId="55" xfId="305" applyNumberFormat="1" applyFont="1" applyFill="1" applyBorder="1" applyAlignment="1" applyProtection="1">
      <alignment horizontal="center" vertical="center" wrapText="1"/>
    </xf>
    <xf numFmtId="0" fontId="18" fillId="36" borderId="56" xfId="305" applyFont="1" applyFill="1" applyBorder="1" applyAlignment="1">
      <alignment horizontal="center" vertical="center" wrapText="1"/>
    </xf>
    <xf numFmtId="0" fontId="200" fillId="0" borderId="21" xfId="305" applyFont="1" applyFill="1" applyBorder="1" applyAlignment="1">
      <alignment horizontal="left" vertical="center" wrapText="1"/>
    </xf>
    <xf numFmtId="0" fontId="200" fillId="0" borderId="23" xfId="305" applyFont="1" applyFill="1" applyBorder="1" applyAlignment="1">
      <alignment horizontal="left" vertical="center" wrapText="1"/>
    </xf>
    <xf numFmtId="0" fontId="200" fillId="0" borderId="19" xfId="305" applyFont="1" applyFill="1" applyBorder="1" applyAlignment="1">
      <alignment horizontal="left" vertical="center" wrapText="1"/>
    </xf>
    <xf numFmtId="0" fontId="200" fillId="0" borderId="24" xfId="305" applyFont="1" applyFill="1" applyBorder="1" applyAlignment="1">
      <alignment horizontal="left" vertical="center" wrapText="1"/>
    </xf>
    <xf numFmtId="0" fontId="200" fillId="0" borderId="246" xfId="305" applyFont="1" applyFill="1" applyBorder="1" applyAlignment="1">
      <alignment horizontal="left" vertical="center" wrapText="1"/>
    </xf>
    <xf numFmtId="0" fontId="200" fillId="0" borderId="385" xfId="305" applyFont="1" applyFill="1" applyBorder="1" applyAlignment="1">
      <alignment horizontal="left" vertical="center" wrapText="1"/>
    </xf>
    <xf numFmtId="0" fontId="41" fillId="33" borderId="73" xfId="305" applyFont="1" applyFill="1" applyBorder="1" applyAlignment="1">
      <alignment horizontal="center" vertical="center" wrapText="1"/>
    </xf>
    <xf numFmtId="0" fontId="39" fillId="33" borderId="73" xfId="305" applyFont="1" applyFill="1" applyBorder="1" applyAlignment="1">
      <alignment horizontal="center" vertical="center" wrapText="1"/>
    </xf>
    <xf numFmtId="168" fontId="7" fillId="114" borderId="73" xfId="30" applyNumberFormat="1" applyFont="1" applyFill="1" applyBorder="1" applyAlignment="1">
      <alignment horizontal="left" vertical="center"/>
    </xf>
    <xf numFmtId="168" fontId="7" fillId="114" borderId="91" xfId="30" applyNumberFormat="1" applyFont="1" applyFill="1" applyBorder="1" applyAlignment="1">
      <alignment horizontal="left" vertical="center"/>
    </xf>
    <xf numFmtId="0" fontId="68" fillId="39" borderId="206" xfId="305" applyNumberFormat="1" applyFont="1" applyFill="1" applyBorder="1" applyAlignment="1" applyProtection="1">
      <alignment horizontal="center" vertical="center" wrapText="1"/>
    </xf>
    <xf numFmtId="0" fontId="18" fillId="39" borderId="82" xfId="305" applyFont="1" applyFill="1" applyBorder="1" applyAlignment="1">
      <alignment horizontal="center" vertical="center" wrapText="1"/>
    </xf>
    <xf numFmtId="0" fontId="68" fillId="39" borderId="82" xfId="305" applyNumberFormat="1" applyFont="1" applyFill="1" applyBorder="1" applyAlignment="1" applyProtection="1">
      <alignment horizontal="center" vertical="center" wrapText="1"/>
    </xf>
    <xf numFmtId="0" fontId="68" fillId="39" borderId="71" xfId="305" applyNumberFormat="1" applyFont="1" applyFill="1" applyBorder="1" applyAlignment="1" applyProtection="1">
      <alignment horizontal="center" vertical="center" wrapText="1"/>
    </xf>
    <xf numFmtId="0" fontId="68" fillId="40" borderId="82" xfId="305" applyNumberFormat="1" applyFont="1" applyFill="1" applyBorder="1" applyAlignment="1" applyProtection="1">
      <alignment horizontal="center" vertical="center" wrapText="1"/>
    </xf>
    <xf numFmtId="0" fontId="18" fillId="40" borderId="82" xfId="305" applyFont="1" applyFill="1" applyBorder="1" applyAlignment="1">
      <alignment horizontal="center" vertical="center" wrapText="1"/>
    </xf>
    <xf numFmtId="0" fontId="68" fillId="42" borderId="49" xfId="305" applyNumberFormat="1" applyFont="1" applyFill="1" applyBorder="1" applyAlignment="1" applyProtection="1">
      <alignment horizontal="center" vertical="center" wrapText="1"/>
    </xf>
    <xf numFmtId="0" fontId="68" fillId="42" borderId="74" xfId="305" applyNumberFormat="1" applyFont="1" applyFill="1" applyBorder="1" applyAlignment="1" applyProtection="1">
      <alignment horizontal="center" vertical="center" wrapText="1"/>
    </xf>
    <xf numFmtId="0" fontId="68" fillId="42" borderId="89" xfId="305" applyNumberFormat="1" applyFont="1" applyFill="1" applyBorder="1" applyAlignment="1" applyProtection="1">
      <alignment horizontal="center" vertical="center" wrapText="1"/>
    </xf>
    <xf numFmtId="0" fontId="68" fillId="50" borderId="85" xfId="305" applyNumberFormat="1" applyFont="1" applyFill="1" applyBorder="1" applyAlignment="1" applyProtection="1">
      <alignment horizontal="center" vertical="center" wrapText="1"/>
    </xf>
    <xf numFmtId="0" fontId="68" fillId="50" borderId="74" xfId="305" applyNumberFormat="1" applyFont="1" applyFill="1" applyBorder="1" applyAlignment="1" applyProtection="1">
      <alignment horizontal="center" vertical="center" wrapText="1"/>
    </xf>
    <xf numFmtId="0" fontId="68" fillId="50" borderId="89" xfId="305" applyNumberFormat="1" applyFont="1" applyFill="1" applyBorder="1" applyAlignment="1" applyProtection="1">
      <alignment horizontal="center" vertical="center" wrapText="1"/>
    </xf>
    <xf numFmtId="0" fontId="68" fillId="42" borderId="85" xfId="305" applyNumberFormat="1" applyFont="1" applyFill="1" applyBorder="1" applyAlignment="1" applyProtection="1">
      <alignment horizontal="center" vertical="center" wrapText="1"/>
    </xf>
    <xf numFmtId="0" fontId="68" fillId="42" borderId="75" xfId="305" applyNumberFormat="1" applyFont="1" applyFill="1" applyBorder="1" applyAlignment="1" applyProtection="1">
      <alignment horizontal="center" vertical="center" wrapText="1"/>
    </xf>
    <xf numFmtId="0" fontId="67" fillId="40" borderId="86" xfId="305" applyFont="1" applyFill="1" applyBorder="1" applyAlignment="1">
      <alignment horizontal="center" vertical="center" wrapText="1"/>
    </xf>
    <xf numFmtId="0" fontId="67" fillId="40" borderId="76" xfId="305" applyFont="1" applyFill="1" applyBorder="1" applyAlignment="1">
      <alignment horizontal="center" vertical="center" wrapText="1"/>
    </xf>
    <xf numFmtId="0" fontId="67" fillId="40" borderId="139" xfId="305" applyFont="1" applyFill="1" applyBorder="1" applyAlignment="1">
      <alignment horizontal="center" vertical="center" wrapText="1"/>
    </xf>
    <xf numFmtId="0" fontId="67" fillId="39" borderId="50" xfId="305" applyFont="1" applyFill="1" applyBorder="1" applyAlignment="1">
      <alignment horizontal="center" vertical="center" wrapText="1"/>
    </xf>
    <xf numFmtId="0" fontId="67" fillId="39" borderId="76" xfId="305" applyFont="1" applyFill="1" applyBorder="1" applyAlignment="1">
      <alignment horizontal="center" vertical="center" wrapText="1"/>
    </xf>
    <xf numFmtId="0" fontId="67" fillId="39" borderId="62" xfId="305" applyFont="1" applyFill="1" applyBorder="1" applyAlignment="1">
      <alignment horizontal="center" vertical="center" wrapText="1"/>
    </xf>
    <xf numFmtId="0" fontId="68" fillId="50" borderId="82" xfId="305" applyNumberFormat="1" applyFont="1" applyFill="1" applyBorder="1" applyAlignment="1" applyProtection="1">
      <alignment horizontal="center" vertical="center" wrapText="1"/>
    </xf>
    <xf numFmtId="0" fontId="18" fillId="41" borderId="82" xfId="305" applyFont="1" applyFill="1" applyBorder="1" applyAlignment="1">
      <alignment horizontal="center" vertical="center" wrapText="1"/>
    </xf>
    <xf numFmtId="0" fontId="18" fillId="41" borderId="90" xfId="305" applyFont="1" applyFill="1" applyBorder="1" applyAlignment="1">
      <alignment horizontal="center" vertical="center" wrapText="1"/>
    </xf>
    <xf numFmtId="0" fontId="68" fillId="42" borderId="206" xfId="305" applyNumberFormat="1" applyFont="1" applyFill="1" applyBorder="1" applyAlignment="1" applyProtection="1">
      <alignment horizontal="center" vertical="center" wrapText="1"/>
    </xf>
    <xf numFmtId="0" fontId="18" fillId="36" borderId="82" xfId="305" applyFont="1" applyFill="1" applyBorder="1" applyAlignment="1">
      <alignment horizontal="center" vertical="center" wrapText="1"/>
    </xf>
    <xf numFmtId="0" fontId="67" fillId="39" borderId="139" xfId="305" applyFont="1" applyFill="1" applyBorder="1" applyAlignment="1">
      <alignment horizontal="center" vertical="center" wrapText="1"/>
    </xf>
    <xf numFmtId="0" fontId="10" fillId="39" borderId="90" xfId="305" applyFont="1" applyFill="1" applyBorder="1" applyAlignment="1" applyProtection="1">
      <alignment horizontal="center" vertical="center" wrapText="1"/>
      <protection locked="0"/>
    </xf>
    <xf numFmtId="0" fontId="10" fillId="39" borderId="63" xfId="305" applyFont="1" applyFill="1" applyBorder="1" applyAlignment="1" applyProtection="1">
      <alignment horizontal="center" vertical="center" wrapText="1"/>
      <protection locked="0"/>
    </xf>
    <xf numFmtId="0" fontId="10" fillId="39" borderId="206" xfId="305" applyFont="1" applyFill="1" applyBorder="1" applyAlignment="1" applyProtection="1">
      <alignment horizontal="center" vertical="center" wrapText="1"/>
      <protection locked="0"/>
    </xf>
    <xf numFmtId="0" fontId="10" fillId="39" borderId="46" xfId="305" applyFont="1" applyFill="1" applyBorder="1" applyAlignment="1" applyProtection="1">
      <alignment horizontal="center" vertical="center" wrapText="1"/>
      <protection locked="0"/>
    </xf>
    <xf numFmtId="0" fontId="10" fillId="39" borderId="82" xfId="305" applyFont="1" applyFill="1" applyBorder="1" applyAlignment="1" applyProtection="1">
      <alignment horizontal="center" vertical="center" wrapText="1"/>
      <protection locked="0"/>
    </xf>
    <xf numFmtId="0" fontId="10" fillId="39" borderId="60" xfId="305" applyFont="1" applyFill="1" applyBorder="1" applyAlignment="1" applyProtection="1">
      <alignment horizontal="center" vertical="center" wrapText="1"/>
      <protection locked="0"/>
    </xf>
    <xf numFmtId="0" fontId="68" fillId="42" borderId="55" xfId="0" applyNumberFormat="1" applyFont="1" applyFill="1" applyBorder="1" applyAlignment="1" applyProtection="1">
      <alignment horizontal="center" vertical="center" wrapText="1"/>
    </xf>
    <xf numFmtId="0" fontId="18" fillId="36" borderId="56" xfId="0" applyFont="1" applyFill="1" applyBorder="1" applyAlignment="1">
      <alignment horizontal="center" vertical="center" wrapText="1"/>
    </xf>
    <xf numFmtId="0" fontId="68" fillId="50" borderId="56" xfId="0" applyNumberFormat="1" applyFont="1" applyFill="1" applyBorder="1" applyAlignment="1" applyProtection="1">
      <alignment horizontal="center" vertical="center" wrapText="1"/>
    </xf>
    <xf numFmtId="0" fontId="18" fillId="41" borderId="56" xfId="0" applyFont="1" applyFill="1" applyBorder="1" applyAlignment="1">
      <alignment horizontal="center" vertical="center" wrapText="1"/>
    </xf>
    <xf numFmtId="0" fontId="18" fillId="41" borderId="59" xfId="0" applyFont="1" applyFill="1" applyBorder="1" applyAlignment="1">
      <alignment horizontal="center" vertical="center" wrapText="1"/>
    </xf>
    <xf numFmtId="0" fontId="7" fillId="14" borderId="0" xfId="0" applyFont="1" applyFill="1" applyAlignment="1">
      <alignment horizontal="left" vertical="center" wrapText="1"/>
    </xf>
    <xf numFmtId="0" fontId="67" fillId="36" borderId="46" xfId="305" applyFont="1" applyFill="1" applyBorder="1" applyAlignment="1">
      <alignment horizontal="center" vertical="center" wrapText="1"/>
    </xf>
    <xf numFmtId="0" fontId="67" fillId="36" borderId="60" xfId="305" applyFont="1" applyFill="1" applyBorder="1" applyAlignment="1">
      <alignment horizontal="center" vertical="center" wrapText="1"/>
    </xf>
    <xf numFmtId="0" fontId="67" fillId="36" borderId="63" xfId="305" applyFont="1" applyFill="1" applyBorder="1" applyAlignment="1">
      <alignment horizontal="center" vertical="center" wrapText="1"/>
    </xf>
    <xf numFmtId="0" fontId="10" fillId="47" borderId="139" xfId="305" applyFont="1" applyFill="1" applyBorder="1" applyAlignment="1">
      <alignment horizontal="center" vertical="center" wrapText="1"/>
    </xf>
    <xf numFmtId="0" fontId="10" fillId="47" borderId="136" xfId="305" applyFont="1" applyFill="1" applyBorder="1" applyAlignment="1">
      <alignment horizontal="center" vertical="center" wrapText="1"/>
    </xf>
    <xf numFmtId="0" fontId="7" fillId="25" borderId="72" xfId="305" applyFill="1" applyBorder="1" applyAlignment="1">
      <alignment horizontal="left" wrapText="1"/>
    </xf>
    <xf numFmtId="0" fontId="7" fillId="25" borderId="73" xfId="305" applyFill="1" applyBorder="1" applyAlignment="1">
      <alignment horizontal="left" wrapText="1"/>
    </xf>
    <xf numFmtId="0" fontId="7" fillId="25" borderId="91" xfId="305" applyFill="1" applyBorder="1" applyAlignment="1">
      <alignment horizontal="left" wrapText="1"/>
    </xf>
    <xf numFmtId="168" fontId="18" fillId="25" borderId="72" xfId="30" applyNumberFormat="1" applyFont="1" applyFill="1" applyBorder="1" applyAlignment="1">
      <alignment horizontal="left" vertical="center" wrapText="1"/>
    </xf>
    <xf numFmtId="168" fontId="18" fillId="25" borderId="73" xfId="30" applyNumberFormat="1" applyFont="1" applyFill="1" applyBorder="1" applyAlignment="1">
      <alignment horizontal="left" vertical="center" wrapText="1"/>
    </xf>
    <xf numFmtId="168" fontId="18" fillId="25" borderId="91" xfId="30" applyNumberFormat="1" applyFont="1" applyFill="1" applyBorder="1" applyAlignment="1">
      <alignment horizontal="left" vertical="center" wrapText="1"/>
    </xf>
    <xf numFmtId="0" fontId="18" fillId="38" borderId="72" xfId="305" applyFont="1" applyFill="1" applyBorder="1" applyAlignment="1">
      <alignment horizontal="left" vertical="center" wrapText="1"/>
    </xf>
    <xf numFmtId="0" fontId="18" fillId="38" borderId="73" xfId="305" applyFont="1" applyFill="1" applyBorder="1" applyAlignment="1">
      <alignment horizontal="left" vertical="center" wrapText="1"/>
    </xf>
    <xf numFmtId="0" fontId="18" fillId="38" borderId="91" xfId="305" applyFont="1" applyFill="1" applyBorder="1" applyAlignment="1">
      <alignment horizontal="left" vertical="center" wrapText="1"/>
    </xf>
    <xf numFmtId="0" fontId="68" fillId="42" borderId="82" xfId="305" applyNumberFormat="1" applyFont="1" applyFill="1" applyBorder="1" applyAlignment="1" applyProtection="1">
      <alignment horizontal="center" vertical="center" wrapText="1"/>
    </xf>
    <xf numFmtId="0" fontId="68" fillId="42" borderId="71" xfId="305" applyNumberFormat="1" applyFont="1" applyFill="1" applyBorder="1" applyAlignment="1" applyProtection="1">
      <alignment horizontal="center" vertical="center" wrapText="1"/>
    </xf>
    <xf numFmtId="0" fontId="7" fillId="25" borderId="246" xfId="305" applyFont="1" applyFill="1" applyBorder="1" applyAlignment="1" applyProtection="1">
      <alignment horizontal="left" vertical="center" wrapText="1"/>
      <protection locked="0"/>
    </xf>
    <xf numFmtId="0" fontId="7" fillId="25" borderId="383" xfId="305" applyFont="1" applyFill="1" applyBorder="1" applyAlignment="1" applyProtection="1">
      <alignment horizontal="left" vertical="center" wrapText="1"/>
      <protection locked="0"/>
    </xf>
    <xf numFmtId="0" fontId="7" fillId="25" borderId="385" xfId="305" applyFont="1" applyFill="1" applyBorder="1" applyAlignment="1" applyProtection="1">
      <alignment horizontal="left" vertical="center" wrapText="1"/>
      <protection locked="0"/>
    </xf>
    <xf numFmtId="168" fontId="18" fillId="114" borderId="72" xfId="30" applyNumberFormat="1" applyFont="1" applyFill="1" applyBorder="1" applyAlignment="1">
      <alignment horizontal="left" vertical="center" wrapText="1"/>
    </xf>
    <xf numFmtId="168" fontId="18" fillId="114" borderId="73" xfId="30" applyNumberFormat="1" applyFont="1" applyFill="1" applyBorder="1" applyAlignment="1">
      <alignment horizontal="left" vertical="center" wrapText="1"/>
    </xf>
    <xf numFmtId="168" fontId="18" fillId="114" borderId="91" xfId="30" applyNumberFormat="1" applyFont="1" applyFill="1" applyBorder="1" applyAlignment="1">
      <alignment horizontal="left" vertical="center" wrapText="1"/>
    </xf>
    <xf numFmtId="168" fontId="154" fillId="25" borderId="72" xfId="30" quotePrefix="1" applyNumberFormat="1" applyFont="1" applyFill="1" applyBorder="1" applyAlignment="1">
      <alignment horizontal="center" vertical="center" wrapText="1"/>
    </xf>
    <xf numFmtId="168" fontId="154" fillId="25" borderId="73" xfId="30" quotePrefix="1" applyNumberFormat="1" applyFont="1" applyFill="1" applyBorder="1" applyAlignment="1">
      <alignment horizontal="center" vertical="center" wrapText="1"/>
    </xf>
    <xf numFmtId="168" fontId="154" fillId="25" borderId="91" xfId="30" quotePrefix="1" applyNumberFormat="1" applyFont="1" applyFill="1" applyBorder="1" applyAlignment="1">
      <alignment horizontal="center" vertical="center" wrapText="1"/>
    </xf>
    <xf numFmtId="168" fontId="15" fillId="25" borderId="72" xfId="30" applyNumberFormat="1" applyFont="1" applyFill="1" applyBorder="1" applyAlignment="1">
      <alignment horizontal="left" vertical="center" wrapText="1"/>
    </xf>
    <xf numFmtId="168" fontId="15" fillId="25" borderId="73" xfId="30" applyNumberFormat="1" applyFont="1" applyFill="1" applyBorder="1" applyAlignment="1">
      <alignment horizontal="left" vertical="center" wrapText="1"/>
    </xf>
    <xf numFmtId="168" fontId="15" fillId="25" borderId="91" xfId="30" applyNumberFormat="1" applyFont="1" applyFill="1" applyBorder="1" applyAlignment="1">
      <alignment horizontal="left" vertical="center" wrapText="1"/>
    </xf>
    <xf numFmtId="0" fontId="10" fillId="47" borderId="57" xfId="0" applyFont="1" applyFill="1" applyBorder="1" applyAlignment="1">
      <alignment horizontal="center" vertical="center" wrapText="1"/>
    </xf>
    <xf numFmtId="0" fontId="10" fillId="47" borderId="61" xfId="0" applyFont="1" applyFill="1" applyBorder="1" applyAlignment="1">
      <alignment horizontal="center" vertical="center" wrapText="1"/>
    </xf>
    <xf numFmtId="0" fontId="10" fillId="47" borderId="84" xfId="0" applyFont="1" applyFill="1" applyBorder="1" applyAlignment="1">
      <alignment horizontal="center" vertical="center" wrapText="1"/>
    </xf>
    <xf numFmtId="0" fontId="68" fillId="42" borderId="58" xfId="0" applyNumberFormat="1" applyFont="1" applyFill="1" applyBorder="1" applyAlignment="1" applyProtection="1">
      <alignment horizontal="center" vertical="center" wrapText="1"/>
    </xf>
    <xf numFmtId="0" fontId="68" fillId="42" borderId="56" xfId="0" applyNumberFormat="1" applyFont="1" applyFill="1" applyBorder="1" applyAlignment="1" applyProtection="1">
      <alignment horizontal="center" vertical="center" wrapText="1"/>
    </xf>
    <xf numFmtId="0" fontId="67" fillId="41" borderId="139" xfId="0" applyFont="1" applyFill="1" applyBorder="1" applyAlignment="1">
      <alignment horizontal="center" vertical="center" wrapText="1"/>
    </xf>
    <xf numFmtId="0" fontId="18" fillId="38" borderId="72" xfId="0" applyFont="1" applyFill="1" applyBorder="1" applyAlignment="1">
      <alignment horizontal="left" vertical="center" wrapText="1"/>
    </xf>
    <xf numFmtId="0" fontId="18" fillId="38" borderId="73" xfId="0" applyFont="1" applyFill="1" applyBorder="1" applyAlignment="1">
      <alignment horizontal="left" vertical="center" wrapText="1"/>
    </xf>
    <xf numFmtId="0" fontId="18" fillId="38" borderId="91" xfId="0" applyFont="1" applyFill="1" applyBorder="1" applyAlignment="1">
      <alignment horizontal="left" vertical="center" wrapText="1"/>
    </xf>
    <xf numFmtId="168" fontId="10" fillId="38" borderId="363" xfId="0" applyNumberFormat="1" applyFont="1" applyFill="1" applyBorder="1" applyAlignment="1">
      <alignment horizontal="left" vertical="center" wrapText="1"/>
    </xf>
    <xf numFmtId="168" fontId="10" fillId="38" borderId="213" xfId="0" applyNumberFormat="1" applyFont="1" applyFill="1" applyBorder="1" applyAlignment="1">
      <alignment horizontal="left" vertical="center" wrapText="1"/>
    </xf>
    <xf numFmtId="168" fontId="10" fillId="38" borderId="259" xfId="0" applyNumberFormat="1" applyFont="1" applyFill="1" applyBorder="1" applyAlignment="1">
      <alignment horizontal="left" vertical="center" wrapText="1"/>
    </xf>
    <xf numFmtId="0" fontId="7" fillId="18" borderId="228" xfId="0" applyFont="1" applyFill="1" applyBorder="1" applyAlignment="1" applyProtection="1">
      <alignment horizontal="center" vertical="center" wrapText="1"/>
      <protection locked="0"/>
    </xf>
    <xf numFmtId="0" fontId="7" fillId="18" borderId="229" xfId="0" applyFont="1" applyFill="1" applyBorder="1" applyAlignment="1" applyProtection="1">
      <alignment horizontal="center" vertical="center" wrapText="1"/>
      <protection locked="0"/>
    </xf>
    <xf numFmtId="0" fontId="7" fillId="18" borderId="230" xfId="0" applyFont="1" applyFill="1" applyBorder="1" applyAlignment="1" applyProtection="1">
      <alignment horizontal="center" vertical="center" wrapText="1"/>
      <protection locked="0"/>
    </xf>
    <xf numFmtId="0" fontId="7" fillId="25" borderId="36" xfId="0" applyFont="1" applyFill="1" applyBorder="1" applyAlignment="1" applyProtection="1">
      <alignment horizontal="center" vertical="center" wrapText="1"/>
      <protection locked="0"/>
    </xf>
    <xf numFmtId="0" fontId="7" fillId="25" borderId="35" xfId="0" applyFont="1" applyFill="1" applyBorder="1" applyAlignment="1" applyProtection="1">
      <alignment horizontal="center" vertical="center" wrapText="1"/>
      <protection locked="0"/>
    </xf>
    <xf numFmtId="0" fontId="7" fillId="25" borderId="34" xfId="0" applyFont="1" applyFill="1" applyBorder="1" applyAlignment="1" applyProtection="1">
      <alignment horizontal="center" vertical="center" wrapText="1"/>
      <protection locked="0"/>
    </xf>
    <xf numFmtId="0" fontId="68" fillId="42" borderId="59" xfId="0" applyNumberFormat="1" applyFont="1" applyFill="1" applyBorder="1" applyAlignment="1" applyProtection="1">
      <alignment horizontal="center" vertical="center" wrapText="1"/>
    </xf>
    <xf numFmtId="0" fontId="67" fillId="33" borderId="50" xfId="0" applyFont="1" applyFill="1" applyBorder="1" applyAlignment="1">
      <alignment horizontal="center" vertical="center" wrapText="1"/>
    </xf>
    <xf numFmtId="0" fontId="67" fillId="33" borderId="76" xfId="0" applyFont="1" applyFill="1" applyBorder="1" applyAlignment="1">
      <alignment horizontal="center" vertical="center" wrapText="1"/>
    </xf>
    <xf numFmtId="0" fontId="67" fillId="33" borderId="62" xfId="0" applyFont="1" applyFill="1" applyBorder="1" applyAlignment="1">
      <alignment horizontal="center" vertical="center" wrapText="1"/>
    </xf>
    <xf numFmtId="0" fontId="67" fillId="33" borderId="86" xfId="0" applyFont="1" applyFill="1" applyBorder="1" applyAlignment="1">
      <alignment horizontal="center" vertical="center" wrapText="1"/>
    </xf>
    <xf numFmtId="0" fontId="67" fillId="33" borderId="77" xfId="0" applyFont="1" applyFill="1" applyBorder="1" applyAlignment="1">
      <alignment horizontal="center" vertical="center" wrapText="1"/>
    </xf>
    <xf numFmtId="0" fontId="68" fillId="33" borderId="82" xfId="0" applyNumberFormat="1" applyFont="1" applyFill="1" applyBorder="1" applyAlignment="1" applyProtection="1">
      <alignment horizontal="center" vertical="center" wrapText="1"/>
    </xf>
    <xf numFmtId="0" fontId="18" fillId="33" borderId="82" xfId="0" applyFont="1" applyFill="1" applyBorder="1" applyAlignment="1">
      <alignment horizontal="center" vertical="center" wrapText="1"/>
    </xf>
    <xf numFmtId="0" fontId="68" fillId="33" borderId="44" xfId="0" applyNumberFormat="1" applyFont="1" applyFill="1" applyBorder="1" applyAlignment="1" applyProtection="1">
      <alignment horizontal="center" vertical="center" wrapText="1"/>
    </xf>
    <xf numFmtId="0" fontId="68" fillId="33" borderId="90" xfId="0" applyNumberFormat="1" applyFont="1" applyFill="1" applyBorder="1" applyAlignment="1" applyProtection="1">
      <alignment horizontal="center" vertical="center" wrapText="1"/>
    </xf>
    <xf numFmtId="0" fontId="10" fillId="33" borderId="72" xfId="0" applyFont="1" applyFill="1" applyBorder="1" applyAlignment="1" applyProtection="1">
      <alignment horizontal="left" wrapText="1"/>
      <protection locked="0"/>
    </xf>
    <xf numFmtId="0" fontId="10" fillId="33" borderId="73" xfId="0" applyFont="1" applyFill="1" applyBorder="1" applyAlignment="1" applyProtection="1">
      <alignment horizontal="left" wrapText="1"/>
      <protection locked="0"/>
    </xf>
    <xf numFmtId="0" fontId="10" fillId="33" borderId="205" xfId="0" applyFont="1" applyFill="1" applyBorder="1" applyAlignment="1" applyProtection="1">
      <alignment horizontal="left" wrapText="1"/>
      <protection locked="0"/>
    </xf>
    <xf numFmtId="0" fontId="67" fillId="33" borderId="46" xfId="0" applyFont="1" applyFill="1" applyBorder="1" applyAlignment="1">
      <alignment horizontal="center" vertical="center" wrapText="1"/>
    </xf>
    <xf numFmtId="0" fontId="67" fillId="33" borderId="60" xfId="0" applyFont="1" applyFill="1" applyBorder="1" applyAlignment="1">
      <alignment horizontal="center" vertical="center" wrapText="1"/>
    </xf>
    <xf numFmtId="0" fontId="67" fillId="33" borderId="63" xfId="0" applyFont="1" applyFill="1" applyBorder="1" applyAlignment="1">
      <alignment horizontal="center" vertical="center" wrapText="1"/>
    </xf>
    <xf numFmtId="0" fontId="67" fillId="33" borderId="85" xfId="0" applyFont="1" applyFill="1" applyBorder="1" applyAlignment="1">
      <alignment horizontal="center" vertical="center" wrapText="1"/>
    </xf>
    <xf numFmtId="0" fontId="67" fillId="33" borderId="74" xfId="0" applyFont="1" applyFill="1" applyBorder="1" applyAlignment="1">
      <alignment horizontal="center" vertical="center" wrapText="1"/>
    </xf>
    <xf numFmtId="0" fontId="67" fillId="33" borderId="75" xfId="0" applyFont="1" applyFill="1" applyBorder="1" applyAlignment="1">
      <alignment horizontal="center" vertical="center" wrapText="1"/>
    </xf>
    <xf numFmtId="0" fontId="67" fillId="33" borderId="49" xfId="0" applyFont="1" applyFill="1" applyBorder="1" applyAlignment="1">
      <alignment horizontal="center" vertical="center" wrapText="1"/>
    </xf>
    <xf numFmtId="0" fontId="67" fillId="33" borderId="89" xfId="0" applyFont="1" applyFill="1" applyBorder="1" applyAlignment="1">
      <alignment horizontal="center" vertical="center" wrapText="1"/>
    </xf>
    <xf numFmtId="0" fontId="18" fillId="33" borderId="90" xfId="0" applyFont="1" applyFill="1" applyBorder="1" applyAlignment="1">
      <alignment horizontal="center" vertical="center" wrapText="1"/>
    </xf>
    <xf numFmtId="0" fontId="67" fillId="33" borderId="44" xfId="0" applyFont="1" applyFill="1" applyBorder="1" applyAlignment="1">
      <alignment horizontal="center" vertical="center" wrapText="1"/>
    </xf>
    <xf numFmtId="0" fontId="67" fillId="33" borderId="82" xfId="0" applyFont="1" applyFill="1" applyBorder="1" applyAlignment="1">
      <alignment horizontal="center" vertical="center" wrapText="1"/>
    </xf>
    <xf numFmtId="0" fontId="67" fillId="33" borderId="90" xfId="0" applyFont="1" applyFill="1" applyBorder="1" applyAlignment="1">
      <alignment horizontal="center" vertical="center" wrapText="1"/>
    </xf>
    <xf numFmtId="0" fontId="68" fillId="33" borderId="206" xfId="0" applyNumberFormat="1" applyFont="1" applyFill="1" applyBorder="1" applyAlignment="1" applyProtection="1">
      <alignment horizontal="center" vertical="center" wrapText="1"/>
    </xf>
    <xf numFmtId="0" fontId="7" fillId="0" borderId="51" xfId="0" applyFont="1" applyFill="1" applyBorder="1" applyAlignment="1">
      <alignment horizontal="right" vertical="center" wrapText="1"/>
    </xf>
    <xf numFmtId="0" fontId="7" fillId="0" borderId="52" xfId="0" applyFont="1" applyFill="1" applyBorder="1" applyAlignment="1">
      <alignment horizontal="right" vertical="center" wrapText="1"/>
    </xf>
    <xf numFmtId="0" fontId="7" fillId="0" borderId="53" xfId="0" applyFont="1" applyFill="1" applyBorder="1" applyAlignment="1">
      <alignment horizontal="right" vertical="center" wrapText="1"/>
    </xf>
    <xf numFmtId="0" fontId="7" fillId="0" borderId="49" xfId="0" applyFont="1" applyFill="1" applyBorder="1" applyAlignment="1">
      <alignment horizontal="right" vertical="center" wrapText="1"/>
    </xf>
    <xf numFmtId="0" fontId="7" fillId="0" borderId="74" xfId="0" applyFont="1" applyFill="1" applyBorder="1" applyAlignment="1">
      <alignment horizontal="right" vertical="center" wrapText="1"/>
    </xf>
    <xf numFmtId="0" fontId="7" fillId="0" borderId="75" xfId="0" applyFont="1" applyFill="1" applyBorder="1" applyAlignment="1">
      <alignment horizontal="right" vertical="center" wrapText="1"/>
    </xf>
    <xf numFmtId="0" fontId="7" fillId="0" borderId="50" xfId="0" applyFont="1" applyFill="1" applyBorder="1" applyAlignment="1">
      <alignment horizontal="right" vertical="center" wrapText="1"/>
    </xf>
    <xf numFmtId="0" fontId="7" fillId="0" borderId="76" xfId="0" applyFont="1" applyFill="1" applyBorder="1" applyAlignment="1">
      <alignment horizontal="right" vertical="center" wrapText="1"/>
    </xf>
    <xf numFmtId="0" fontId="7" fillId="0" borderId="77" xfId="0" applyFont="1" applyFill="1" applyBorder="1" applyAlignment="1">
      <alignment horizontal="right" vertical="center" wrapText="1"/>
    </xf>
    <xf numFmtId="0" fontId="89" fillId="33" borderId="50" xfId="0" applyFont="1" applyFill="1" applyBorder="1" applyAlignment="1">
      <alignment horizontal="right" vertical="center" wrapText="1"/>
    </xf>
    <xf numFmtId="0" fontId="89" fillId="33" borderId="76" xfId="0" applyFont="1" applyFill="1" applyBorder="1" applyAlignment="1">
      <alignment horizontal="right" vertical="center" wrapText="1"/>
    </xf>
    <xf numFmtId="0" fontId="89" fillId="33" borderId="77" xfId="0" applyFont="1" applyFill="1" applyBorder="1" applyAlignment="1">
      <alignment horizontal="right" vertical="center" wrapText="1"/>
    </xf>
    <xf numFmtId="0" fontId="68" fillId="117" borderId="44" xfId="0" applyNumberFormat="1" applyFont="1" applyFill="1" applyBorder="1" applyAlignment="1" applyProtection="1">
      <alignment horizontal="center" vertical="center" wrapText="1"/>
    </xf>
    <xf numFmtId="0" fontId="18" fillId="117" borderId="82" xfId="0" applyFont="1" applyFill="1" applyBorder="1" applyAlignment="1">
      <alignment horizontal="center" vertical="center" wrapText="1"/>
    </xf>
    <xf numFmtId="0" fontId="67" fillId="117" borderId="50" xfId="0" applyFont="1" applyFill="1" applyBorder="1" applyAlignment="1">
      <alignment horizontal="center" vertical="center" wrapText="1"/>
    </xf>
    <xf numFmtId="0" fontId="67" fillId="117" borderId="76" xfId="0" applyFont="1" applyFill="1" applyBorder="1" applyAlignment="1">
      <alignment horizontal="center" vertical="center" wrapText="1"/>
    </xf>
    <xf numFmtId="0" fontId="67" fillId="117" borderId="77" xfId="0" applyFont="1" applyFill="1" applyBorder="1" applyAlignment="1">
      <alignment horizontal="center" vertical="center" wrapText="1"/>
    </xf>
    <xf numFmtId="0" fontId="10" fillId="0" borderId="78" xfId="0" applyFont="1" applyFill="1" applyBorder="1" applyAlignment="1">
      <alignment horizontal="right" vertical="center" wrapText="1"/>
    </xf>
    <xf numFmtId="0" fontId="10" fillId="0" borderId="79" xfId="0" applyFont="1" applyFill="1" applyBorder="1" applyAlignment="1">
      <alignment horizontal="right" vertical="center" wrapText="1"/>
    </xf>
    <xf numFmtId="0" fontId="10" fillId="0" borderId="84" xfId="0" applyFont="1" applyFill="1" applyBorder="1" applyAlignment="1">
      <alignment horizontal="right" vertical="center" wrapText="1"/>
    </xf>
    <xf numFmtId="0" fontId="68" fillId="117" borderId="82" xfId="0" applyNumberFormat="1" applyFont="1" applyFill="1" applyBorder="1" applyAlignment="1" applyProtection="1">
      <alignment horizontal="center" vertical="center" wrapText="1"/>
    </xf>
    <xf numFmtId="0" fontId="18" fillId="117" borderId="90" xfId="0" applyFont="1" applyFill="1" applyBorder="1" applyAlignment="1">
      <alignment horizontal="center" vertical="center" wrapText="1"/>
    </xf>
    <xf numFmtId="0" fontId="89" fillId="33" borderId="51" xfId="0" applyFont="1" applyFill="1" applyBorder="1" applyAlignment="1">
      <alignment horizontal="right" vertical="center" wrapText="1"/>
    </xf>
    <xf numFmtId="0" fontId="89" fillId="33" borderId="52" xfId="0" applyFont="1" applyFill="1" applyBorder="1" applyAlignment="1">
      <alignment horizontal="right" vertical="center" wrapText="1"/>
    </xf>
    <xf numFmtId="0" fontId="89" fillId="33" borderId="53" xfId="0" applyFont="1" applyFill="1" applyBorder="1" applyAlignment="1">
      <alignment horizontal="right" vertical="center" wrapText="1"/>
    </xf>
    <xf numFmtId="0" fontId="67" fillId="33" borderId="78" xfId="0" applyFont="1" applyFill="1" applyBorder="1" applyAlignment="1">
      <alignment horizontal="right" vertical="center" wrapText="1"/>
    </xf>
    <xf numFmtId="0" fontId="67" fillId="33" borderId="79" xfId="0" applyFont="1" applyFill="1" applyBorder="1" applyAlignment="1">
      <alignment horizontal="right" vertical="center" wrapText="1"/>
    </xf>
    <xf numFmtId="0" fontId="67" fillId="33" borderId="84" xfId="0" applyFont="1" applyFill="1" applyBorder="1" applyAlignment="1">
      <alignment horizontal="right" vertical="center" wrapText="1"/>
    </xf>
    <xf numFmtId="0" fontId="10" fillId="0" borderId="36" xfId="0" applyFont="1" applyFill="1" applyBorder="1" applyAlignment="1">
      <alignment horizontal="right" vertical="center" wrapText="1"/>
    </xf>
    <xf numFmtId="0" fontId="10" fillId="0" borderId="35" xfId="0" applyFont="1" applyFill="1" applyBorder="1" applyAlignment="1">
      <alignment horizontal="right" vertical="center" wrapText="1"/>
    </xf>
    <xf numFmtId="0" fontId="10" fillId="0" borderId="34" xfId="0" applyFont="1" applyFill="1" applyBorder="1" applyAlignment="1">
      <alignment horizontal="right" vertical="center" wrapText="1"/>
    </xf>
    <xf numFmtId="0" fontId="89" fillId="33" borderId="49" xfId="0" applyFont="1" applyFill="1" applyBorder="1" applyAlignment="1">
      <alignment horizontal="right" vertical="center" wrapText="1"/>
    </xf>
    <xf numFmtId="0" fontId="89" fillId="33" borderId="74" xfId="0" applyFont="1" applyFill="1" applyBorder="1" applyAlignment="1">
      <alignment horizontal="right" vertical="center" wrapText="1"/>
    </xf>
    <xf numFmtId="0" fontId="89" fillId="33" borderId="75" xfId="0" applyFont="1" applyFill="1" applyBorder="1" applyAlignment="1">
      <alignment horizontal="right" vertical="center" wrapText="1"/>
    </xf>
    <xf numFmtId="0" fontId="68" fillId="36" borderId="85" xfId="0" applyNumberFormat="1" applyFont="1" applyFill="1" applyBorder="1" applyAlignment="1" applyProtection="1">
      <alignment horizontal="center" vertical="center" wrapText="1"/>
    </xf>
    <xf numFmtId="0" fontId="68" fillId="36" borderId="74" xfId="0" applyNumberFormat="1" applyFont="1" applyFill="1" applyBorder="1" applyAlignment="1" applyProtection="1">
      <alignment horizontal="center" vertical="center" wrapText="1"/>
    </xf>
    <xf numFmtId="0" fontId="68" fillId="36" borderId="75" xfId="0" applyNumberFormat="1" applyFont="1" applyFill="1" applyBorder="1" applyAlignment="1" applyProtection="1">
      <alignment horizontal="center" vertical="center" wrapText="1"/>
    </xf>
    <xf numFmtId="0" fontId="7" fillId="33" borderId="206" xfId="0" applyFont="1" applyFill="1" applyBorder="1" applyAlignment="1">
      <alignment horizontal="center" vertical="center" wrapText="1"/>
    </xf>
    <xf numFmtId="0" fontId="7" fillId="33" borderId="46" xfId="0" applyFont="1" applyFill="1" applyBorder="1" applyAlignment="1">
      <alignment horizontal="center" vertical="center" wrapText="1"/>
    </xf>
    <xf numFmtId="0" fontId="7" fillId="33" borderId="207" xfId="0" applyFont="1" applyFill="1" applyBorder="1" applyAlignment="1">
      <alignment horizontal="center" vertical="center" wrapText="1"/>
    </xf>
    <xf numFmtId="0" fontId="7" fillId="33" borderId="82" xfId="0" applyFont="1" applyFill="1" applyBorder="1" applyAlignment="1">
      <alignment horizontal="center" vertical="center" wrapText="1"/>
    </xf>
    <xf numFmtId="0" fontId="7" fillId="33" borderId="60" xfId="0" applyFont="1" applyFill="1" applyBorder="1" applyAlignment="1">
      <alignment horizontal="center" vertical="center" wrapText="1"/>
    </xf>
    <xf numFmtId="0" fontId="7" fillId="33" borderId="64" xfId="0" applyFont="1" applyFill="1" applyBorder="1" applyAlignment="1">
      <alignment horizontal="center" vertical="center" wrapText="1"/>
    </xf>
    <xf numFmtId="0" fontId="7" fillId="33" borderId="71" xfId="0" applyFont="1" applyFill="1" applyBorder="1" applyAlignment="1">
      <alignment horizontal="center" vertical="center" wrapText="1"/>
    </xf>
    <xf numFmtId="0" fontId="7" fillId="33" borderId="61" xfId="0" applyFont="1" applyFill="1" applyBorder="1" applyAlignment="1">
      <alignment horizontal="center" vertical="center" wrapText="1"/>
    </xf>
    <xf numFmtId="0" fontId="7" fillId="33" borderId="65" xfId="0" applyFont="1" applyFill="1" applyBorder="1" applyAlignment="1">
      <alignment horizontal="center" vertical="center" wrapText="1"/>
    </xf>
    <xf numFmtId="0" fontId="42" fillId="33" borderId="44" xfId="0" applyFont="1" applyFill="1" applyBorder="1" applyAlignment="1">
      <alignment horizontal="center" vertical="center" wrapText="1"/>
    </xf>
    <xf numFmtId="0" fontId="53" fillId="33" borderId="46" xfId="0" applyFont="1" applyFill="1" applyBorder="1" applyAlignment="1">
      <alignment horizontal="center" vertical="center" wrapText="1"/>
    </xf>
    <xf numFmtId="0" fontId="53" fillId="33" borderId="78" xfId="0" applyFont="1" applyFill="1" applyBorder="1" applyAlignment="1">
      <alignment horizontal="center" vertical="center" wrapText="1"/>
    </xf>
    <xf numFmtId="0" fontId="68" fillId="36" borderId="49" xfId="0" applyNumberFormat="1" applyFont="1" applyFill="1" applyBorder="1" applyAlignment="1" applyProtection="1">
      <alignment horizontal="center" vertical="center" wrapText="1"/>
    </xf>
    <xf numFmtId="0" fontId="68" fillId="36" borderId="89" xfId="0" applyNumberFormat="1" applyFont="1" applyFill="1" applyBorder="1" applyAlignment="1" applyProtection="1">
      <alignment horizontal="center" vertical="center" wrapText="1"/>
    </xf>
    <xf numFmtId="0" fontId="68" fillId="42" borderId="44" xfId="0" applyNumberFormat="1" applyFont="1" applyFill="1" applyBorder="1" applyAlignment="1" applyProtection="1">
      <alignment horizontal="center" vertical="center" wrapText="1"/>
    </xf>
    <xf numFmtId="0" fontId="7" fillId="33" borderId="44" xfId="0" applyFont="1" applyFill="1" applyBorder="1" applyAlignment="1">
      <alignment horizontal="center" vertical="center" wrapText="1"/>
    </xf>
    <xf numFmtId="0" fontId="7" fillId="33" borderId="48" xfId="0" applyFont="1" applyFill="1" applyBorder="1" applyAlignment="1">
      <alignment horizontal="center" vertical="center" wrapText="1"/>
    </xf>
    <xf numFmtId="0" fontId="7" fillId="14" borderId="0" xfId="0" applyFont="1" applyFill="1" applyAlignment="1">
      <alignment vertical="top" wrapText="1"/>
    </xf>
    <xf numFmtId="44" fontId="61" fillId="33" borderId="49" xfId="31" applyFont="1" applyFill="1" applyBorder="1" applyAlignment="1">
      <alignment horizontal="center" vertical="center" wrapText="1"/>
    </xf>
    <xf numFmtId="44" fontId="70" fillId="33" borderId="50" xfId="31" applyFont="1" applyFill="1" applyBorder="1" applyAlignment="1">
      <alignment horizontal="center" vertical="center" wrapText="1"/>
    </xf>
    <xf numFmtId="44" fontId="70" fillId="33" borderId="83" xfId="31" applyFont="1" applyFill="1" applyBorder="1" applyAlignment="1">
      <alignment horizontal="center" vertical="center" wrapText="1"/>
    </xf>
    <xf numFmtId="0" fontId="68" fillId="42" borderId="71" xfId="0" applyNumberFormat="1" applyFont="1" applyFill="1" applyBorder="1" applyAlignment="1" applyProtection="1">
      <alignment horizontal="center" vertical="center" wrapText="1"/>
    </xf>
    <xf numFmtId="0" fontId="41" fillId="0" borderId="92" xfId="0" applyFont="1" applyFill="1" applyBorder="1" applyAlignment="1">
      <alignment horizontal="center" vertical="center" wrapText="1"/>
    </xf>
    <xf numFmtId="0" fontId="39" fillId="0" borderId="93" xfId="0" applyFont="1" applyFill="1" applyBorder="1" applyAlignment="1">
      <alignment horizontal="center" vertical="center" wrapText="1"/>
    </xf>
    <xf numFmtId="0" fontId="39" fillId="0" borderId="94" xfId="0" applyFont="1" applyFill="1" applyBorder="1" applyAlignment="1">
      <alignment horizontal="center" vertical="center" wrapText="1"/>
    </xf>
    <xf numFmtId="0" fontId="41" fillId="33" borderId="72" xfId="0" applyFont="1" applyFill="1" applyBorder="1" applyAlignment="1">
      <alignment horizontal="center" vertical="center" wrapText="1"/>
    </xf>
    <xf numFmtId="0" fontId="39" fillId="33" borderId="73" xfId="0" applyFont="1" applyFill="1" applyBorder="1" applyAlignment="1">
      <alignment horizontal="center" vertical="center" wrapText="1"/>
    </xf>
    <xf numFmtId="0" fontId="39" fillId="33" borderId="91" xfId="0" applyFont="1" applyFill="1" applyBorder="1" applyAlignment="1">
      <alignment horizontal="center" vertical="center" wrapText="1"/>
    </xf>
    <xf numFmtId="0" fontId="41" fillId="33" borderId="92" xfId="0" applyFont="1" applyFill="1" applyBorder="1" applyAlignment="1">
      <alignment horizontal="center" vertical="center" wrapText="1"/>
    </xf>
    <xf numFmtId="0" fontId="39" fillId="33" borderId="93" xfId="0" applyFont="1" applyFill="1" applyBorder="1" applyAlignment="1">
      <alignment horizontal="center" vertical="center" wrapText="1"/>
    </xf>
    <xf numFmtId="0" fontId="39" fillId="33" borderId="94" xfId="0" applyFont="1" applyFill="1" applyBorder="1" applyAlignment="1">
      <alignment horizontal="center" vertical="center" wrapText="1"/>
    </xf>
    <xf numFmtId="0" fontId="10" fillId="36" borderId="206" xfId="0" applyFont="1" applyFill="1" applyBorder="1" applyAlignment="1">
      <alignment horizontal="center" vertical="center"/>
    </xf>
    <xf numFmtId="0" fontId="40" fillId="36" borderId="82" xfId="0" applyFont="1" applyFill="1" applyBorder="1" applyAlignment="1">
      <alignment horizontal="center" vertical="center"/>
    </xf>
    <xf numFmtId="0" fontId="40" fillId="36" borderId="90" xfId="0" applyFont="1" applyFill="1" applyBorder="1" applyAlignment="1">
      <alignment horizontal="center" vertical="center"/>
    </xf>
    <xf numFmtId="0" fontId="10" fillId="36" borderId="50" xfId="0" applyFont="1" applyFill="1" applyBorder="1" applyAlignment="1">
      <alignment horizontal="center" vertical="center" wrapText="1"/>
    </xf>
    <xf numFmtId="0" fontId="10" fillId="36" borderId="76" xfId="0" applyFont="1" applyFill="1" applyBorder="1" applyAlignment="1">
      <alignment horizontal="center" vertical="center" wrapText="1"/>
    </xf>
    <xf numFmtId="0" fontId="10" fillId="36" borderId="77" xfId="0" applyFont="1" applyFill="1" applyBorder="1" applyAlignment="1">
      <alignment horizontal="center" vertical="center" wrapText="1"/>
    </xf>
    <xf numFmtId="0" fontId="10" fillId="36" borderId="62" xfId="0" applyFont="1" applyFill="1" applyBorder="1" applyAlignment="1">
      <alignment horizontal="center" vertical="center" wrapText="1"/>
    </xf>
    <xf numFmtId="0" fontId="10" fillId="41" borderId="86" xfId="0" applyFont="1" applyFill="1" applyBorder="1" applyAlignment="1">
      <alignment horizontal="center" vertical="center" wrapText="1"/>
    </xf>
    <xf numFmtId="0" fontId="10" fillId="41" borderId="77" xfId="0" applyFont="1" applyFill="1" applyBorder="1" applyAlignment="1">
      <alignment horizontal="center" vertical="center" wrapText="1"/>
    </xf>
    <xf numFmtId="0" fontId="10" fillId="36" borderId="44" xfId="0" applyFont="1" applyFill="1" applyBorder="1" applyAlignment="1">
      <alignment horizontal="center" vertical="center"/>
    </xf>
    <xf numFmtId="0" fontId="10" fillId="41" borderId="139" xfId="0" applyFont="1" applyFill="1" applyBorder="1" applyAlignment="1">
      <alignment horizontal="center" vertical="center" wrapText="1"/>
    </xf>
    <xf numFmtId="0" fontId="7" fillId="14" borderId="0" xfId="0" applyFont="1" applyFill="1" applyAlignment="1">
      <alignment wrapText="1"/>
    </xf>
    <xf numFmtId="0" fontId="0" fillId="0" borderId="0" xfId="0" applyAlignment="1">
      <alignment wrapText="1"/>
    </xf>
    <xf numFmtId="0" fontId="67" fillId="41" borderId="36" xfId="0" applyFont="1" applyFill="1" applyBorder="1" applyAlignment="1">
      <alignment horizontal="center" vertical="center" wrapText="1"/>
    </xf>
    <xf numFmtId="0" fontId="67" fillId="41" borderId="35" xfId="0" applyFont="1" applyFill="1" applyBorder="1" applyAlignment="1">
      <alignment horizontal="center" vertical="center" wrapText="1"/>
    </xf>
    <xf numFmtId="0" fontId="67" fillId="41" borderId="34" xfId="0" applyFont="1" applyFill="1" applyBorder="1" applyAlignment="1">
      <alignment horizontal="center" vertical="center" wrapText="1"/>
    </xf>
    <xf numFmtId="0" fontId="10" fillId="29" borderId="22" xfId="0" applyFont="1" applyFill="1" applyBorder="1" applyAlignment="1" applyProtection="1">
      <alignment horizontal="center" vertical="center"/>
      <protection locked="0"/>
    </xf>
    <xf numFmtId="0" fontId="10" fillId="29" borderId="0" xfId="0" applyFont="1" applyFill="1" applyBorder="1" applyAlignment="1" applyProtection="1">
      <alignment horizontal="center" vertical="center"/>
      <protection locked="0"/>
    </xf>
    <xf numFmtId="0" fontId="10" fillId="29" borderId="23" xfId="0" applyFont="1" applyFill="1" applyBorder="1" applyAlignment="1" applyProtection="1">
      <alignment horizontal="center" vertical="center" wrapText="1"/>
      <protection locked="0"/>
    </xf>
    <xf numFmtId="0" fontId="10" fillId="29" borderId="24" xfId="0" applyFont="1" applyFill="1" applyBorder="1" applyAlignment="1" applyProtection="1">
      <alignment horizontal="center" vertical="center" wrapText="1"/>
      <protection locked="0"/>
    </xf>
    <xf numFmtId="0" fontId="7" fillId="14" borderId="0" xfId="0" applyFont="1" applyFill="1" applyBorder="1" applyAlignment="1">
      <alignment vertical="top" wrapText="1"/>
    </xf>
    <xf numFmtId="0" fontId="41" fillId="111" borderId="72" xfId="0" applyFont="1" applyFill="1" applyBorder="1" applyAlignment="1">
      <alignment horizontal="center" vertical="center" wrapText="1"/>
    </xf>
    <xf numFmtId="0" fontId="41" fillId="111" borderId="73" xfId="0" applyFont="1" applyFill="1" applyBorder="1" applyAlignment="1">
      <alignment horizontal="center" vertical="center" wrapText="1"/>
    </xf>
    <xf numFmtId="0" fontId="41" fillId="111" borderId="91" xfId="0" applyFont="1" applyFill="1" applyBorder="1" applyAlignment="1">
      <alignment horizontal="center" vertical="center" wrapText="1"/>
    </xf>
    <xf numFmtId="0" fontId="68" fillId="111" borderId="49" xfId="0" applyNumberFormat="1" applyFont="1" applyFill="1" applyBorder="1" applyAlignment="1" applyProtection="1">
      <alignment horizontal="center" vertical="center" wrapText="1"/>
    </xf>
    <xf numFmtId="0" fontId="68" fillId="111" borderId="74" xfId="0" applyNumberFormat="1" applyFont="1" applyFill="1" applyBorder="1" applyAlignment="1" applyProtection="1">
      <alignment horizontal="center" vertical="center" wrapText="1"/>
    </xf>
    <xf numFmtId="0" fontId="68" fillId="111" borderId="89" xfId="0" applyNumberFormat="1" applyFont="1" applyFill="1" applyBorder="1" applyAlignment="1" applyProtection="1">
      <alignment horizontal="center" vertical="center" wrapText="1"/>
    </xf>
    <xf numFmtId="0" fontId="68" fillId="111" borderId="85" xfId="0" applyNumberFormat="1" applyFont="1" applyFill="1" applyBorder="1" applyAlignment="1" applyProtection="1">
      <alignment horizontal="center" vertical="center" wrapText="1"/>
    </xf>
    <xf numFmtId="0" fontId="68" fillId="111" borderId="75" xfId="0" applyNumberFormat="1" applyFont="1" applyFill="1" applyBorder="1" applyAlignment="1" applyProtection="1">
      <alignment horizontal="center" vertical="center" wrapText="1"/>
    </xf>
    <xf numFmtId="0" fontId="7" fillId="18" borderId="52" xfId="0" applyFont="1" applyFill="1" applyBorder="1" applyAlignment="1" applyProtection="1">
      <alignment horizontal="center" vertical="center" wrapText="1"/>
      <protection locked="0"/>
    </xf>
    <xf numFmtId="0" fontId="7" fillId="18" borderId="53" xfId="0" applyFont="1" applyFill="1" applyBorder="1" applyAlignment="1" applyProtection="1">
      <alignment horizontal="center" vertical="center" wrapText="1"/>
      <protection locked="0"/>
    </xf>
    <xf numFmtId="0" fontId="67" fillId="111" borderId="50" xfId="0" applyFont="1" applyFill="1" applyBorder="1" applyAlignment="1">
      <alignment horizontal="center" vertical="center" wrapText="1"/>
    </xf>
    <xf numFmtId="0" fontId="67" fillId="111" borderId="76" xfId="0" applyFont="1" applyFill="1" applyBorder="1" applyAlignment="1">
      <alignment horizontal="center" vertical="center" wrapText="1"/>
    </xf>
    <xf numFmtId="0" fontId="67" fillId="111" borderId="77" xfId="0" applyFont="1" applyFill="1" applyBorder="1" applyAlignment="1">
      <alignment horizontal="center" vertical="center" wrapText="1"/>
    </xf>
    <xf numFmtId="0" fontId="10" fillId="36" borderId="49" xfId="412" applyFont="1" applyFill="1" applyBorder="1" applyAlignment="1">
      <alignment horizontal="center" vertical="center"/>
    </xf>
    <xf numFmtId="0" fontId="10" fillId="36" borderId="74" xfId="412" applyFont="1" applyFill="1" applyBorder="1" applyAlignment="1">
      <alignment horizontal="center" vertical="center"/>
    </xf>
    <xf numFmtId="0" fontId="10" fillId="36" borderId="75" xfId="412" applyFont="1" applyFill="1" applyBorder="1" applyAlignment="1">
      <alignment horizontal="center" vertical="center"/>
    </xf>
    <xf numFmtId="0" fontId="10" fillId="36" borderId="50" xfId="412" applyFont="1" applyFill="1" applyBorder="1" applyAlignment="1">
      <alignment horizontal="center" vertical="center" wrapText="1"/>
    </xf>
    <xf numFmtId="0" fontId="10" fillId="36" borderId="76" xfId="412" applyFont="1" applyFill="1" applyBorder="1" applyAlignment="1">
      <alignment horizontal="center" vertical="center" wrapText="1"/>
    </xf>
    <xf numFmtId="0" fontId="10" fillId="36" borderId="77" xfId="412" applyFont="1" applyFill="1" applyBorder="1" applyAlignment="1">
      <alignment horizontal="center" vertical="center" wrapText="1"/>
    </xf>
    <xf numFmtId="0" fontId="7" fillId="25" borderId="353" xfId="412" applyFont="1" applyFill="1" applyBorder="1" applyAlignment="1" applyProtection="1">
      <alignment horizontal="center" vertical="center" wrapText="1"/>
      <protection locked="0"/>
    </xf>
    <xf numFmtId="0" fontId="7" fillId="25" borderId="35" xfId="412" applyFont="1" applyFill="1" applyBorder="1" applyAlignment="1" applyProtection="1">
      <alignment horizontal="center" vertical="center" wrapText="1"/>
      <protection locked="0"/>
    </xf>
    <xf numFmtId="0" fontId="7" fillId="25" borderId="34" xfId="412" applyFont="1" applyFill="1" applyBorder="1" applyAlignment="1" applyProtection="1">
      <alignment horizontal="center" vertical="center" wrapText="1"/>
      <protection locked="0"/>
    </xf>
    <xf numFmtId="0" fontId="78" fillId="33" borderId="72" xfId="412" applyFont="1" applyFill="1" applyBorder="1" applyAlignment="1">
      <alignment horizontal="center" vertical="center" wrapText="1"/>
    </xf>
    <xf numFmtId="0" fontId="78" fillId="33" borderId="73" xfId="412" applyFont="1" applyFill="1" applyBorder="1" applyAlignment="1">
      <alignment horizontal="center" vertical="center" wrapText="1"/>
    </xf>
    <xf numFmtId="0" fontId="78" fillId="33" borderId="91" xfId="412" applyFont="1" applyFill="1" applyBorder="1" applyAlignment="1">
      <alignment horizontal="center" vertical="center" wrapText="1"/>
    </xf>
    <xf numFmtId="0" fontId="10" fillId="41" borderId="19" xfId="412" applyFont="1" applyFill="1" applyBorder="1" applyAlignment="1">
      <alignment horizontal="center" vertical="center" wrapText="1"/>
    </xf>
    <xf numFmtId="0" fontId="10" fillId="41" borderId="0" xfId="412" applyFont="1" applyFill="1" applyBorder="1" applyAlignment="1">
      <alignment horizontal="center" vertical="center" wrapText="1"/>
    </xf>
    <xf numFmtId="0" fontId="10" fillId="41" borderId="24" xfId="412" applyFont="1" applyFill="1" applyBorder="1" applyAlignment="1">
      <alignment horizontal="center" vertical="center" wrapText="1"/>
    </xf>
    <xf numFmtId="0" fontId="10" fillId="41" borderId="70" xfId="412" applyFont="1" applyFill="1" applyBorder="1" applyAlignment="1">
      <alignment horizontal="center" vertical="center" wrapText="1"/>
    </xf>
    <xf numFmtId="0" fontId="10" fillId="41" borderId="97" xfId="412" applyFont="1" applyFill="1" applyBorder="1" applyAlignment="1">
      <alignment horizontal="center" vertical="center" wrapText="1"/>
    </xf>
    <xf numFmtId="0" fontId="10" fillId="41" borderId="125" xfId="412" applyFont="1" applyFill="1" applyBorder="1" applyAlignment="1">
      <alignment horizontal="center" vertical="center" wrapText="1"/>
    </xf>
    <xf numFmtId="0" fontId="10" fillId="41" borderId="21" xfId="412" applyFont="1" applyFill="1" applyBorder="1" applyAlignment="1">
      <alignment horizontal="center" vertical="center" wrapText="1"/>
    </xf>
    <xf numFmtId="0" fontId="10" fillId="41" borderId="22" xfId="412" applyFont="1" applyFill="1" applyBorder="1" applyAlignment="1">
      <alignment horizontal="center" vertical="center" wrapText="1"/>
    </xf>
    <xf numFmtId="0" fontId="63" fillId="29" borderId="168" xfId="144" applyFont="1" applyFill="1" applyBorder="1" applyAlignment="1" applyProtection="1">
      <alignment horizontal="center"/>
    </xf>
    <xf numFmtId="0" fontId="63" fillId="29" borderId="113" xfId="144" applyFont="1" applyFill="1" applyBorder="1" applyAlignment="1" applyProtection="1">
      <alignment horizontal="center"/>
    </xf>
    <xf numFmtId="0" fontId="63" fillId="36" borderId="206" xfId="144" applyFont="1" applyFill="1" applyBorder="1" applyAlignment="1" applyProtection="1">
      <alignment horizontal="center"/>
    </xf>
    <xf numFmtId="0" fontId="63" fillId="36" borderId="82" xfId="144" applyFont="1" applyFill="1" applyBorder="1" applyAlignment="1" applyProtection="1">
      <alignment horizontal="center"/>
    </xf>
    <xf numFmtId="0" fontId="63" fillId="36" borderId="90" xfId="144" applyFont="1" applyFill="1" applyBorder="1" applyAlignment="1" applyProtection="1">
      <alignment horizontal="center"/>
    </xf>
    <xf numFmtId="0" fontId="63" fillId="29" borderId="102" xfId="144" applyFont="1" applyFill="1" applyBorder="1" applyAlignment="1" applyProtection="1">
      <alignment horizontal="center"/>
    </xf>
    <xf numFmtId="0" fontId="63" fillId="29" borderId="156" xfId="144" applyFont="1" applyFill="1" applyBorder="1" applyAlignment="1" applyProtection="1">
      <alignment horizontal="center"/>
    </xf>
    <xf numFmtId="0" fontId="63" fillId="36" borderId="21" xfId="144" applyFont="1" applyFill="1" applyBorder="1" applyAlignment="1" applyProtection="1">
      <alignment horizontal="center"/>
    </xf>
    <xf numFmtId="0" fontId="63" fillId="36" borderId="22" xfId="144" applyFont="1" applyFill="1" applyBorder="1" applyAlignment="1" applyProtection="1">
      <alignment horizontal="center"/>
    </xf>
    <xf numFmtId="0" fontId="63" fillId="36" borderId="23" xfId="144" applyFont="1" applyFill="1" applyBorder="1" applyAlignment="1" applyProtection="1">
      <alignment horizontal="center"/>
    </xf>
    <xf numFmtId="0" fontId="7" fillId="14" borderId="0" xfId="144" applyFill="1" applyAlignment="1" applyProtection="1">
      <alignment horizontal="left" vertical="top" wrapText="1"/>
      <protection locked="0"/>
    </xf>
    <xf numFmtId="0" fontId="67" fillId="55" borderId="36" xfId="144" applyFont="1" applyFill="1" applyBorder="1" applyAlignment="1" applyProtection="1">
      <alignment horizontal="center" vertical="center"/>
      <protection locked="0"/>
    </xf>
    <xf numFmtId="0" fontId="67" fillId="55" borderId="35" xfId="144" applyFont="1" applyFill="1" applyBorder="1" applyAlignment="1" applyProtection="1">
      <alignment horizontal="center" vertical="center"/>
      <protection locked="0"/>
    </xf>
    <xf numFmtId="0" fontId="67" fillId="55" borderId="34" xfId="144" applyFont="1" applyFill="1" applyBorder="1" applyAlignment="1" applyProtection="1">
      <alignment horizontal="center" vertical="center"/>
      <protection locked="0"/>
    </xf>
    <xf numFmtId="0" fontId="67" fillId="55" borderId="36" xfId="144" applyFont="1" applyFill="1" applyBorder="1" applyAlignment="1" applyProtection="1">
      <alignment horizontal="center" vertical="center"/>
    </xf>
    <xf numFmtId="0" fontId="67" fillId="55" borderId="34" xfId="144" applyFont="1" applyFill="1" applyBorder="1" applyAlignment="1" applyProtection="1">
      <alignment horizontal="center" vertical="center"/>
    </xf>
    <xf numFmtId="0" fontId="67" fillId="55" borderId="149" xfId="144" applyFont="1" applyFill="1" applyBorder="1" applyAlignment="1" applyProtection="1">
      <alignment horizontal="center" vertical="center"/>
    </xf>
    <xf numFmtId="0" fontId="67" fillId="55" borderId="162" xfId="144" applyFont="1" applyFill="1" applyBorder="1" applyAlignment="1" applyProtection="1">
      <alignment horizontal="center" vertical="center"/>
    </xf>
    <xf numFmtId="0" fontId="63" fillId="56" borderId="206" xfId="144" applyFont="1" applyFill="1" applyBorder="1" applyAlignment="1" applyProtection="1">
      <alignment horizontal="center"/>
    </xf>
    <xf numFmtId="0" fontId="63" fillId="56" borderId="82" xfId="144" applyFont="1" applyFill="1" applyBorder="1" applyAlignment="1" applyProtection="1">
      <alignment horizontal="center"/>
    </xf>
    <xf numFmtId="0" fontId="63" fillId="56" borderId="90" xfId="144" applyFont="1" applyFill="1" applyBorder="1" applyAlignment="1" applyProtection="1">
      <alignment horizontal="center"/>
    </xf>
    <xf numFmtId="0" fontId="10" fillId="29" borderId="250" xfId="144" applyFont="1" applyFill="1" applyBorder="1" applyAlignment="1" applyProtection="1">
      <alignment horizontal="center" vertical="center"/>
    </xf>
    <xf numFmtId="0" fontId="10" fillId="29" borderId="203" xfId="144" applyFont="1" applyFill="1" applyBorder="1" applyAlignment="1" applyProtection="1">
      <alignment horizontal="center" vertical="center"/>
    </xf>
    <xf numFmtId="0" fontId="10" fillId="36" borderId="207" xfId="144" applyFont="1" applyFill="1" applyBorder="1" applyAlignment="1" applyProtection="1">
      <alignment horizontal="center" vertical="center"/>
    </xf>
    <xf numFmtId="0" fontId="10" fillId="36" borderId="64" xfId="144" applyFont="1" applyFill="1" applyBorder="1" applyAlignment="1" applyProtection="1">
      <alignment horizontal="center" vertical="center"/>
    </xf>
    <xf numFmtId="0" fontId="10" fillId="36" borderId="67" xfId="144" applyFont="1" applyFill="1" applyBorder="1" applyAlignment="1" applyProtection="1">
      <alignment horizontal="center" vertical="center"/>
    </xf>
    <xf numFmtId="0" fontId="10" fillId="29" borderId="181" xfId="144" applyFont="1" applyFill="1" applyBorder="1" applyAlignment="1" applyProtection="1">
      <alignment horizontal="center" vertical="center"/>
    </xf>
    <xf numFmtId="0" fontId="10" fillId="29" borderId="172" xfId="144" applyFont="1" applyFill="1" applyBorder="1" applyAlignment="1" applyProtection="1">
      <alignment horizontal="center" vertical="center"/>
    </xf>
    <xf numFmtId="0" fontId="10" fillId="111" borderId="171" xfId="144" applyFont="1" applyFill="1" applyBorder="1" applyAlignment="1" applyProtection="1">
      <alignment horizontal="center" vertical="center"/>
    </xf>
    <xf numFmtId="0" fontId="10" fillId="111" borderId="195" xfId="144" applyFont="1" applyFill="1" applyBorder="1" applyAlignment="1" applyProtection="1">
      <alignment horizontal="center" vertical="center"/>
    </xf>
    <xf numFmtId="0" fontId="10" fillId="111" borderId="261" xfId="144" applyFont="1" applyFill="1" applyBorder="1" applyAlignment="1" applyProtection="1">
      <alignment horizontal="center" vertical="center"/>
    </xf>
    <xf numFmtId="0" fontId="10" fillId="36" borderId="36" xfId="144" applyFont="1" applyFill="1" applyBorder="1" applyAlignment="1" applyProtection="1">
      <alignment horizontal="center" vertical="center"/>
    </xf>
    <xf numFmtId="0" fontId="10" fillId="36" borderId="35" xfId="144" applyFont="1" applyFill="1" applyBorder="1" applyAlignment="1" applyProtection="1">
      <alignment horizontal="center" vertical="center"/>
    </xf>
    <xf numFmtId="0" fontId="10" fillId="36" borderId="34" xfId="144" applyFont="1" applyFill="1" applyBorder="1" applyAlignment="1" applyProtection="1">
      <alignment horizontal="center" vertical="center"/>
    </xf>
    <xf numFmtId="0" fontId="7" fillId="33" borderId="206" xfId="144" applyFont="1" applyFill="1" applyBorder="1" applyAlignment="1" applyProtection="1">
      <alignment horizontal="right" indent="2"/>
    </xf>
    <xf numFmtId="0" fontId="7" fillId="33" borderId="85" xfId="144" applyFont="1" applyFill="1" applyBorder="1" applyAlignment="1" applyProtection="1">
      <alignment horizontal="right" indent="2"/>
    </xf>
    <xf numFmtId="0" fontId="7" fillId="33" borderId="46" xfId="144" applyFont="1" applyFill="1" applyBorder="1" applyAlignment="1" applyProtection="1">
      <alignment horizontal="right" indent="2"/>
    </xf>
    <xf numFmtId="0" fontId="7" fillId="33" borderId="86" xfId="144" applyFont="1" applyFill="1" applyBorder="1" applyAlignment="1" applyProtection="1">
      <alignment horizontal="right" indent="2"/>
    </xf>
    <xf numFmtId="0" fontId="92" fillId="111" borderId="193" xfId="144" applyFont="1" applyFill="1" applyBorder="1" applyAlignment="1" applyProtection="1">
      <alignment horizontal="center"/>
    </xf>
    <xf numFmtId="0" fontId="92" fillId="111" borderId="194" xfId="144" applyFont="1" applyFill="1" applyBorder="1" applyAlignment="1" applyProtection="1">
      <alignment horizontal="center"/>
    </xf>
    <xf numFmtId="0" fontId="92" fillId="111" borderId="260" xfId="144" applyFont="1" applyFill="1" applyBorder="1" applyAlignment="1" applyProtection="1">
      <alignment horizontal="center"/>
    </xf>
    <xf numFmtId="0" fontId="7" fillId="14" borderId="0" xfId="0" applyFont="1" applyFill="1" applyBorder="1" applyAlignment="1">
      <alignment vertical="center" wrapText="1"/>
    </xf>
    <xf numFmtId="0" fontId="67" fillId="33" borderId="143" xfId="0" applyFont="1" applyFill="1" applyBorder="1" applyAlignment="1">
      <alignment horizontal="left" vertical="center" wrapText="1"/>
    </xf>
    <xf numFmtId="0" fontId="67" fillId="33" borderId="142" xfId="0" applyFont="1" applyFill="1" applyBorder="1" applyAlignment="1">
      <alignment horizontal="left" vertical="center" wrapText="1"/>
    </xf>
    <xf numFmtId="0" fontId="67" fillId="33" borderId="55" xfId="0" applyFont="1" applyFill="1" applyBorder="1" applyAlignment="1">
      <alignment horizontal="left" vertical="center" wrapText="1"/>
    </xf>
    <xf numFmtId="0" fontId="42" fillId="33" borderId="72" xfId="0" applyFont="1" applyFill="1" applyBorder="1" applyAlignment="1">
      <alignment horizontal="center" vertical="center" wrapText="1"/>
    </xf>
    <xf numFmtId="0" fontId="53" fillId="33" borderId="73" xfId="0" applyFont="1" applyFill="1" applyBorder="1" applyAlignment="1">
      <alignment horizontal="center" vertical="center" wrapText="1"/>
    </xf>
    <xf numFmtId="0" fontId="53" fillId="33" borderId="91" xfId="0" applyFont="1" applyFill="1" applyBorder="1" applyAlignment="1">
      <alignment horizontal="center" vertical="center" wrapText="1"/>
    </xf>
    <xf numFmtId="0" fontId="63" fillId="42" borderId="44" xfId="0" applyNumberFormat="1" applyFont="1" applyFill="1" applyBorder="1" applyAlignment="1" applyProtection="1">
      <alignment horizontal="center" vertical="center" wrapText="1"/>
    </xf>
    <xf numFmtId="0" fontId="67" fillId="36" borderId="82" xfId="0" applyFont="1" applyFill="1" applyBorder="1" applyAlignment="1">
      <alignment horizontal="center" vertical="center" wrapText="1"/>
    </xf>
    <xf numFmtId="0" fontId="63" fillId="50" borderId="82" xfId="0" applyNumberFormat="1" applyFont="1" applyFill="1" applyBorder="1" applyAlignment="1" applyProtection="1">
      <alignment horizontal="center" vertical="center" wrapText="1"/>
    </xf>
    <xf numFmtId="0" fontId="67" fillId="41" borderId="82" xfId="0" applyFont="1" applyFill="1" applyBorder="1" applyAlignment="1">
      <alignment horizontal="center" vertical="center" wrapText="1"/>
    </xf>
    <xf numFmtId="0" fontId="63" fillId="42" borderId="82" xfId="0" applyNumberFormat="1" applyFont="1" applyFill="1" applyBorder="1" applyAlignment="1" applyProtection="1">
      <alignment horizontal="center" vertical="center" wrapText="1"/>
    </xf>
    <xf numFmtId="0" fontId="63" fillId="42" borderId="71" xfId="0" applyNumberFormat="1" applyFont="1" applyFill="1" applyBorder="1" applyAlignment="1" applyProtection="1">
      <alignment horizontal="center" vertical="center" wrapText="1"/>
    </xf>
    <xf numFmtId="0" fontId="63" fillId="42" borderId="50" xfId="0" applyNumberFormat="1" applyFont="1" applyFill="1" applyBorder="1" applyAlignment="1" applyProtection="1">
      <alignment horizontal="center" vertical="center" wrapText="1"/>
    </xf>
    <xf numFmtId="0" fontId="63" fillId="42" borderId="76" xfId="0" applyNumberFormat="1" applyFont="1" applyFill="1" applyBorder="1" applyAlignment="1" applyProtection="1">
      <alignment horizontal="center" vertical="center" wrapText="1"/>
    </xf>
    <xf numFmtId="0" fontId="63" fillId="42" borderId="139" xfId="0" applyNumberFormat="1" applyFont="1" applyFill="1" applyBorder="1" applyAlignment="1" applyProtection="1">
      <alignment horizontal="center" vertical="center" wrapText="1"/>
    </xf>
    <xf numFmtId="0" fontId="0" fillId="14" borderId="0" xfId="0" applyFill="1" applyAlignment="1">
      <alignment horizontal="left" vertical="center" wrapText="1"/>
    </xf>
    <xf numFmtId="0" fontId="41" fillId="33" borderId="152" xfId="0" applyFont="1" applyFill="1" applyBorder="1" applyAlignment="1">
      <alignment horizontal="left" wrapText="1"/>
    </xf>
    <xf numFmtId="0" fontId="41" fillId="33" borderId="242" xfId="0" applyFont="1" applyFill="1" applyBorder="1" applyAlignment="1">
      <alignment horizontal="left" wrapText="1"/>
    </xf>
    <xf numFmtId="0" fontId="41" fillId="33" borderId="19" xfId="0" applyFont="1" applyFill="1" applyBorder="1" applyAlignment="1">
      <alignment horizontal="left" wrapText="1"/>
    </xf>
    <xf numFmtId="0" fontId="41" fillId="33" borderId="24" xfId="0" applyFont="1" applyFill="1" applyBorder="1" applyAlignment="1">
      <alignment horizontal="left" wrapText="1"/>
    </xf>
    <xf numFmtId="0" fontId="41" fillId="33" borderId="25" xfId="0" applyFont="1" applyFill="1" applyBorder="1" applyAlignment="1">
      <alignment horizontal="left" wrapText="1"/>
    </xf>
    <xf numFmtId="0" fontId="41" fillId="33" borderId="202" xfId="0" applyFont="1" applyFill="1" applyBorder="1" applyAlignment="1">
      <alignment horizontal="left" wrapText="1"/>
    </xf>
    <xf numFmtId="0" fontId="10" fillId="29" borderId="44" xfId="0" applyFont="1" applyFill="1" applyBorder="1" applyAlignment="1">
      <alignment horizontal="center" vertical="center" wrapText="1"/>
    </xf>
    <xf numFmtId="0" fontId="10" fillId="29" borderId="46" xfId="0" applyFont="1" applyFill="1" applyBorder="1" applyAlignment="1">
      <alignment horizontal="center" vertical="center" wrapText="1"/>
    </xf>
    <xf numFmtId="0" fontId="10" fillId="29" borderId="48" xfId="0" applyFont="1" applyFill="1" applyBorder="1" applyAlignment="1">
      <alignment horizontal="center" vertical="center" wrapText="1"/>
    </xf>
    <xf numFmtId="0" fontId="10" fillId="29" borderId="85" xfId="0" applyFont="1" applyFill="1" applyBorder="1" applyAlignment="1">
      <alignment horizontal="center" vertical="center" wrapText="1"/>
    </xf>
    <xf numFmtId="0" fontId="10" fillId="29" borderId="60" xfId="0" applyFont="1" applyFill="1" applyBorder="1" applyAlignment="1">
      <alignment horizontal="center" vertical="center" wrapText="1"/>
    </xf>
    <xf numFmtId="0" fontId="10" fillId="29" borderId="86" xfId="0" applyFont="1" applyFill="1" applyBorder="1" applyAlignment="1">
      <alignment horizontal="center" vertical="center" wrapText="1"/>
    </xf>
    <xf numFmtId="0" fontId="10" fillId="29" borderId="88" xfId="0" applyFont="1" applyFill="1" applyBorder="1" applyAlignment="1">
      <alignment horizontal="center" vertical="center" wrapText="1"/>
    </xf>
    <xf numFmtId="0" fontId="10" fillId="29" borderId="184" xfId="0" applyFont="1" applyFill="1" applyBorder="1" applyAlignment="1">
      <alignment horizontal="center" vertical="center" wrapText="1"/>
    </xf>
    <xf numFmtId="0" fontId="10" fillId="29" borderId="185" xfId="0" applyFont="1" applyFill="1" applyBorder="1" applyAlignment="1">
      <alignment horizontal="center" vertical="center" wrapText="1"/>
    </xf>
    <xf numFmtId="0" fontId="10" fillId="29" borderId="204" xfId="0" applyFont="1" applyFill="1" applyBorder="1" applyAlignment="1">
      <alignment horizontal="center" vertical="center" wrapText="1"/>
    </xf>
    <xf numFmtId="0" fontId="10" fillId="18" borderId="143" xfId="0" applyFont="1" applyFill="1" applyBorder="1" applyAlignment="1">
      <alignment horizontal="left" vertical="center" wrapText="1"/>
    </xf>
    <xf numFmtId="0" fontId="10" fillId="18" borderId="142" xfId="0" applyFont="1" applyFill="1" applyBorder="1" applyAlignment="1">
      <alignment horizontal="left" vertical="center" wrapText="1"/>
    </xf>
    <xf numFmtId="0" fontId="10" fillId="18" borderId="235" xfId="0" applyFont="1" applyFill="1" applyBorder="1" applyAlignment="1">
      <alignment horizontal="left" vertical="center" wrapText="1"/>
    </xf>
    <xf numFmtId="0" fontId="10" fillId="18" borderId="236" xfId="0" applyFont="1" applyFill="1" applyBorder="1" applyAlignment="1">
      <alignment horizontal="left" vertical="center" wrapText="1"/>
    </xf>
    <xf numFmtId="0" fontId="10" fillId="18" borderId="153" xfId="0" applyFont="1" applyFill="1" applyBorder="1" applyAlignment="1">
      <alignment horizontal="left" vertical="center" wrapText="1"/>
    </xf>
    <xf numFmtId="0" fontId="10" fillId="41" borderId="206" xfId="0" applyFont="1" applyFill="1" applyBorder="1" applyAlignment="1">
      <alignment horizontal="center" vertical="center"/>
    </xf>
    <xf numFmtId="0" fontId="40" fillId="41" borderId="82" xfId="0" applyFont="1" applyFill="1" applyBorder="1" applyAlignment="1">
      <alignment horizontal="center" vertical="center"/>
    </xf>
    <xf numFmtId="0" fontId="40" fillId="41" borderId="71" xfId="0" applyFont="1" applyFill="1" applyBorder="1" applyAlignment="1">
      <alignment horizontal="center" vertical="center"/>
    </xf>
    <xf numFmtId="0" fontId="10" fillId="36" borderId="82" xfId="0" applyFont="1" applyFill="1" applyBorder="1" applyAlignment="1">
      <alignment horizontal="center" vertical="center"/>
    </xf>
    <xf numFmtId="0" fontId="40" fillId="36" borderId="71" xfId="0" applyFont="1" applyFill="1" applyBorder="1" applyAlignment="1">
      <alignment horizontal="center" vertical="center"/>
    </xf>
    <xf numFmtId="0" fontId="10" fillId="41" borderId="76" xfId="0" applyFont="1" applyFill="1" applyBorder="1" applyAlignment="1">
      <alignment horizontal="center" vertical="center" wrapText="1"/>
    </xf>
    <xf numFmtId="0" fontId="10" fillId="29" borderId="36" xfId="0" applyFont="1" applyFill="1" applyBorder="1" applyAlignment="1">
      <alignment horizontal="left" vertical="center" indent="1"/>
    </xf>
    <xf numFmtId="0" fontId="10" fillId="29" borderId="35" xfId="0" applyFont="1" applyFill="1" applyBorder="1" applyAlignment="1">
      <alignment horizontal="left" vertical="center" indent="1"/>
    </xf>
    <xf numFmtId="0" fontId="7" fillId="18" borderId="207" xfId="0" applyFont="1" applyFill="1" applyBorder="1" applyAlignment="1">
      <alignment horizontal="left" vertical="center" wrapText="1" indent="1"/>
    </xf>
    <xf numFmtId="0" fontId="7" fillId="18" borderId="88" xfId="0" applyFont="1" applyFill="1" applyBorder="1" applyAlignment="1">
      <alignment horizontal="left" vertical="center" wrapText="1" indent="1"/>
    </xf>
    <xf numFmtId="0" fontId="7" fillId="18" borderId="206" xfId="0" applyFont="1" applyFill="1" applyBorder="1" applyAlignment="1">
      <alignment horizontal="left" vertical="center" wrapText="1" indent="1"/>
    </xf>
    <xf numFmtId="0" fontId="7" fillId="18" borderId="85" xfId="0" applyFont="1" applyFill="1" applyBorder="1" applyAlignment="1">
      <alignment horizontal="left" vertical="center" wrapText="1" indent="1"/>
    </xf>
    <xf numFmtId="0" fontId="7" fillId="18" borderId="46" xfId="0" applyFont="1" applyFill="1" applyBorder="1" applyAlignment="1">
      <alignment horizontal="left" vertical="center" wrapText="1" indent="1"/>
    </xf>
    <xf numFmtId="0" fontId="7" fillId="18" borderId="86" xfId="0" applyFont="1" applyFill="1" applyBorder="1" applyAlignment="1">
      <alignment horizontal="left" vertical="center" wrapText="1" indent="1"/>
    </xf>
    <xf numFmtId="0" fontId="10" fillId="14" borderId="0" xfId="0" applyFont="1" applyFill="1" applyAlignment="1">
      <alignment horizontal="left" vertical="center"/>
    </xf>
    <xf numFmtId="0" fontId="89" fillId="14" borderId="0" xfId="0" applyFont="1" applyFill="1" applyAlignment="1">
      <alignment horizontal="left" vertical="top" wrapText="1"/>
    </xf>
    <xf numFmtId="0" fontId="89" fillId="14" borderId="0" xfId="0" applyFont="1" applyFill="1" applyAlignment="1">
      <alignment horizontal="left" wrapText="1"/>
    </xf>
    <xf numFmtId="0" fontId="54" fillId="39" borderId="82" xfId="0" applyNumberFormat="1" applyFont="1" applyFill="1" applyBorder="1" applyAlignment="1" applyProtection="1">
      <alignment horizontal="center" vertical="center" wrapText="1"/>
    </xf>
    <xf numFmtId="0" fontId="54" fillId="39" borderId="71" xfId="0" applyNumberFormat="1" applyFont="1" applyFill="1" applyBorder="1" applyAlignment="1" applyProtection="1">
      <alignment horizontal="center" vertical="center" wrapText="1"/>
    </xf>
    <xf numFmtId="0" fontId="10" fillId="39" borderId="50" xfId="0" applyFont="1" applyFill="1" applyBorder="1" applyAlignment="1">
      <alignment horizontal="center" vertical="center" wrapText="1"/>
    </xf>
    <xf numFmtId="0" fontId="10" fillId="39" borderId="76" xfId="0" applyFont="1" applyFill="1" applyBorder="1" applyAlignment="1">
      <alignment horizontal="center" vertical="center" wrapText="1"/>
    </xf>
    <xf numFmtId="0" fontId="10" fillId="39" borderId="139" xfId="0" applyFont="1" applyFill="1" applyBorder="1" applyAlignment="1">
      <alignment horizontal="center" vertical="center" wrapText="1"/>
    </xf>
    <xf numFmtId="0" fontId="10" fillId="40" borderId="76" xfId="0" applyFont="1" applyFill="1" applyBorder="1" applyAlignment="1">
      <alignment horizontal="center" vertical="center" wrapText="1"/>
    </xf>
    <xf numFmtId="0" fontId="10" fillId="40" borderId="139" xfId="0" applyFont="1" applyFill="1" applyBorder="1" applyAlignment="1">
      <alignment horizontal="center" vertical="center" wrapText="1"/>
    </xf>
    <xf numFmtId="0" fontId="89" fillId="0" borderId="0" xfId="0" applyFont="1" applyAlignment="1">
      <alignment horizontal="left" vertical="top" wrapText="1"/>
    </xf>
    <xf numFmtId="0" fontId="38" fillId="33" borderId="21" xfId="0" applyFont="1" applyFill="1" applyBorder="1" applyAlignment="1">
      <alignment horizontal="center" vertical="center" wrapText="1"/>
    </xf>
    <xf numFmtId="0" fontId="38" fillId="33" borderId="23" xfId="0" applyFont="1" applyFill="1" applyBorder="1" applyAlignment="1">
      <alignment horizontal="center" vertical="center" wrapText="1"/>
    </xf>
    <xf numFmtId="0" fontId="38" fillId="33" borderId="19" xfId="0" applyFont="1" applyFill="1" applyBorder="1" applyAlignment="1">
      <alignment horizontal="center" vertical="center" wrapText="1"/>
    </xf>
    <xf numFmtId="0" fontId="38" fillId="33" borderId="24" xfId="0" applyFont="1" applyFill="1" applyBorder="1" applyAlignment="1">
      <alignment horizontal="center" vertical="center" wrapText="1"/>
    </xf>
    <xf numFmtId="0" fontId="38" fillId="33" borderId="246" xfId="0" applyFont="1" applyFill="1" applyBorder="1" applyAlignment="1">
      <alignment horizontal="center" vertical="center" wrapText="1"/>
    </xf>
    <xf numFmtId="0" fontId="38" fillId="33" borderId="385" xfId="0" applyFont="1" applyFill="1" applyBorder="1" applyAlignment="1">
      <alignment horizontal="center" vertical="center" wrapText="1"/>
    </xf>
    <xf numFmtId="0" fontId="54" fillId="39" borderId="206" xfId="0" applyNumberFormat="1" applyFont="1" applyFill="1" applyBorder="1" applyAlignment="1" applyProtection="1">
      <alignment horizontal="center" vertical="center" wrapText="1"/>
    </xf>
    <xf numFmtId="0" fontId="10" fillId="39" borderId="82" xfId="0" applyFont="1" applyFill="1" applyBorder="1" applyAlignment="1">
      <alignment horizontal="center" vertical="center" wrapText="1"/>
    </xf>
    <xf numFmtId="0" fontId="10" fillId="25" borderId="72" xfId="0" applyFont="1" applyFill="1" applyBorder="1" applyAlignment="1">
      <alignment horizontal="left" vertical="center" wrapText="1"/>
    </xf>
    <xf numFmtId="0" fontId="10" fillId="25" borderId="73" xfId="0" applyFont="1" applyFill="1" applyBorder="1" applyAlignment="1">
      <alignment horizontal="left" vertical="center" wrapText="1"/>
    </xf>
    <xf numFmtId="0" fontId="10" fillId="25" borderId="205" xfId="0" applyFont="1" applyFill="1" applyBorder="1" applyAlignment="1">
      <alignment horizontal="left" vertical="center" wrapText="1"/>
    </xf>
    <xf numFmtId="0" fontId="54" fillId="40" borderId="82" xfId="0" applyNumberFormat="1" applyFont="1" applyFill="1" applyBorder="1" applyAlignment="1" applyProtection="1">
      <alignment horizontal="center" vertical="center" wrapText="1"/>
    </xf>
    <xf numFmtId="0" fontId="10" fillId="40" borderId="82" xfId="0" applyFont="1" applyFill="1" applyBorder="1" applyAlignment="1">
      <alignment horizontal="center" vertical="center" wrapText="1"/>
    </xf>
    <xf numFmtId="0" fontId="10" fillId="25" borderId="72" xfId="305" applyFont="1" applyFill="1" applyBorder="1" applyAlignment="1">
      <alignment horizontal="left" vertical="center" wrapText="1"/>
    </xf>
    <xf numFmtId="0" fontId="10" fillId="25" borderId="73" xfId="305" applyFont="1" applyFill="1" applyBorder="1" applyAlignment="1">
      <alignment horizontal="left" vertical="center" wrapText="1"/>
    </xf>
    <xf numFmtId="0" fontId="10" fillId="25" borderId="205" xfId="305" applyFont="1" applyFill="1" applyBorder="1" applyAlignment="1">
      <alignment horizontal="left" vertical="center" wrapText="1"/>
    </xf>
    <xf numFmtId="0" fontId="89" fillId="14" borderId="0" xfId="305" applyFont="1" applyFill="1" applyAlignment="1">
      <alignment horizontal="left" vertical="top" wrapText="1"/>
    </xf>
    <xf numFmtId="0" fontId="201" fillId="0" borderId="21" xfId="305" applyFont="1" applyFill="1" applyBorder="1" applyAlignment="1">
      <alignment horizontal="center" vertical="center" wrapText="1"/>
    </xf>
    <xf numFmtId="0" fontId="87" fillId="0" borderId="23" xfId="305" applyFont="1" applyFill="1" applyBorder="1" applyAlignment="1">
      <alignment horizontal="center" vertical="center" wrapText="1"/>
    </xf>
    <xf numFmtId="0" fontId="87" fillId="0" borderId="19" xfId="305" applyFont="1" applyFill="1" applyBorder="1" applyAlignment="1">
      <alignment horizontal="center" vertical="center" wrapText="1"/>
    </xf>
    <xf numFmtId="0" fontId="87" fillId="0" borderId="24" xfId="305" applyFont="1" applyFill="1" applyBorder="1" applyAlignment="1">
      <alignment horizontal="center" vertical="center" wrapText="1"/>
    </xf>
    <xf numFmtId="0" fontId="87" fillId="0" borderId="246" xfId="305" applyFont="1" applyFill="1" applyBorder="1" applyAlignment="1">
      <alignment horizontal="center" vertical="center" wrapText="1"/>
    </xf>
    <xf numFmtId="0" fontId="87" fillId="0" borderId="385" xfId="305" applyFont="1" applyFill="1" applyBorder="1" applyAlignment="1">
      <alignment horizontal="center" vertical="center" wrapText="1"/>
    </xf>
    <xf numFmtId="0" fontId="54" fillId="39" borderId="206" xfId="305" applyNumberFormat="1" applyFont="1" applyFill="1" applyBorder="1" applyAlignment="1" applyProtection="1">
      <alignment horizontal="center" vertical="center" wrapText="1"/>
    </xf>
    <xf numFmtId="0" fontId="10" fillId="39" borderId="82" xfId="305" applyFont="1" applyFill="1" applyBorder="1" applyAlignment="1">
      <alignment horizontal="center" vertical="center" wrapText="1"/>
    </xf>
    <xf numFmtId="0" fontId="54" fillId="40" borderId="82" xfId="305" applyNumberFormat="1" applyFont="1" applyFill="1" applyBorder="1" applyAlignment="1" applyProtection="1">
      <alignment horizontal="center" vertical="center" wrapText="1"/>
    </xf>
    <xf numFmtId="0" fontId="10" fillId="40" borderId="82" xfId="305" applyFont="1" applyFill="1" applyBorder="1" applyAlignment="1">
      <alignment horizontal="center" vertical="center" wrapText="1"/>
    </xf>
    <xf numFmtId="0" fontId="54" fillId="39" borderId="82" xfId="305" applyNumberFormat="1" applyFont="1" applyFill="1" applyBorder="1" applyAlignment="1" applyProtection="1">
      <alignment horizontal="center" vertical="center" wrapText="1"/>
    </xf>
    <xf numFmtId="0" fontId="54" fillId="39" borderId="71" xfId="305" applyNumberFormat="1" applyFont="1" applyFill="1" applyBorder="1" applyAlignment="1" applyProtection="1">
      <alignment horizontal="center" vertical="center" wrapText="1"/>
    </xf>
    <xf numFmtId="0" fontId="10" fillId="39" borderId="50" xfId="305" applyFont="1" applyFill="1" applyBorder="1" applyAlignment="1">
      <alignment horizontal="center" vertical="center" wrapText="1"/>
    </xf>
    <xf numFmtId="0" fontId="10" fillId="39" borderId="76" xfId="305" applyFont="1" applyFill="1" applyBorder="1" applyAlignment="1">
      <alignment horizontal="center" vertical="center" wrapText="1"/>
    </xf>
    <xf numFmtId="0" fontId="10" fillId="39" borderId="139" xfId="305" applyFont="1" applyFill="1" applyBorder="1" applyAlignment="1">
      <alignment horizontal="center" vertical="center" wrapText="1"/>
    </xf>
    <xf numFmtId="0" fontId="10" fillId="40" borderId="86" xfId="305" applyFont="1" applyFill="1" applyBorder="1" applyAlignment="1">
      <alignment horizontal="center" vertical="center" wrapText="1"/>
    </xf>
    <xf numFmtId="0" fontId="10" fillId="40" borderId="76" xfId="305" applyFont="1" applyFill="1" applyBorder="1" applyAlignment="1">
      <alignment horizontal="center" vertical="center" wrapText="1"/>
    </xf>
    <xf numFmtId="0" fontId="10" fillId="40" borderId="139" xfId="305" applyFont="1" applyFill="1" applyBorder="1" applyAlignment="1">
      <alignment horizontal="center" vertical="center" wrapText="1"/>
    </xf>
    <xf numFmtId="0" fontId="10" fillId="14" borderId="0" xfId="305" applyFont="1" applyFill="1" applyAlignment="1">
      <alignment horizontal="left" vertical="center"/>
    </xf>
    <xf numFmtId="0" fontId="89" fillId="0" borderId="0" xfId="305" applyFont="1" applyAlignment="1">
      <alignment horizontal="left" vertical="top" wrapText="1"/>
    </xf>
    <xf numFmtId="0" fontId="89" fillId="14" borderId="0" xfId="305" applyFont="1" applyFill="1" applyAlignment="1">
      <alignment horizontal="left" wrapText="1"/>
    </xf>
    <xf numFmtId="0" fontId="38" fillId="33" borderId="21" xfId="305" applyFont="1" applyFill="1" applyBorder="1" applyAlignment="1">
      <alignment horizontal="center" vertical="center" wrapText="1"/>
    </xf>
    <xf numFmtId="0" fontId="38" fillId="33" borderId="23" xfId="305" applyFont="1" applyFill="1" applyBorder="1" applyAlignment="1">
      <alignment horizontal="center" vertical="center" wrapText="1"/>
    </xf>
    <xf numFmtId="0" fontId="38" fillId="33" borderId="19" xfId="305" applyFont="1" applyFill="1" applyBorder="1" applyAlignment="1">
      <alignment horizontal="center" vertical="center" wrapText="1"/>
    </xf>
    <xf numFmtId="0" fontId="38" fillId="33" borderId="24" xfId="305" applyFont="1" applyFill="1" applyBorder="1" applyAlignment="1">
      <alignment horizontal="center" vertical="center" wrapText="1"/>
    </xf>
    <xf numFmtId="0" fontId="38" fillId="33" borderId="246" xfId="305" applyFont="1" applyFill="1" applyBorder="1" applyAlignment="1">
      <alignment horizontal="center" vertical="center" wrapText="1"/>
    </xf>
    <xf numFmtId="0" fontId="38" fillId="33" borderId="385" xfId="305" applyFont="1" applyFill="1" applyBorder="1" applyAlignment="1">
      <alignment horizontal="center" vertical="center" wrapText="1"/>
    </xf>
    <xf numFmtId="0" fontId="10" fillId="31" borderId="152" xfId="0" applyFont="1" applyFill="1" applyBorder="1" applyAlignment="1">
      <alignment horizontal="left" vertical="center" wrapText="1"/>
    </xf>
    <xf numFmtId="0" fontId="10" fillId="31" borderId="19" xfId="0" applyFont="1" applyFill="1" applyBorder="1" applyAlignment="1">
      <alignment horizontal="left" vertical="center" wrapText="1"/>
    </xf>
    <xf numFmtId="0" fontId="10" fillId="31" borderId="246" xfId="0" applyFont="1" applyFill="1" applyBorder="1" applyAlignment="1">
      <alignment horizontal="left" vertical="center" wrapText="1"/>
    </xf>
    <xf numFmtId="0" fontId="7" fillId="33" borderId="243" xfId="0" applyFont="1" applyFill="1" applyBorder="1" applyAlignment="1">
      <alignment horizontal="left" vertical="center" wrapText="1"/>
    </xf>
    <xf numFmtId="0" fontId="7" fillId="33" borderId="244" xfId="0" applyFont="1" applyFill="1" applyBorder="1" applyAlignment="1">
      <alignment horizontal="left" vertical="center" wrapText="1"/>
    </xf>
    <xf numFmtId="0" fontId="10" fillId="14" borderId="0" xfId="0" applyFont="1" applyFill="1" applyAlignment="1">
      <alignment horizontal="left" vertical="top" wrapText="1"/>
    </xf>
    <xf numFmtId="0" fontId="7" fillId="33" borderId="247" xfId="0" applyFont="1" applyFill="1" applyBorder="1" applyAlignment="1">
      <alignment horizontal="left" vertical="center" wrapText="1"/>
    </xf>
    <xf numFmtId="0" fontId="61" fillId="33" borderId="21" xfId="0" applyFont="1" applyFill="1" applyBorder="1" applyAlignment="1">
      <alignment horizontal="center" vertical="center" wrapText="1"/>
    </xf>
    <xf numFmtId="0" fontId="61" fillId="33" borderId="19" xfId="0" applyFont="1" applyFill="1" applyBorder="1" applyAlignment="1">
      <alignment horizontal="center" vertical="center" wrapText="1"/>
    </xf>
    <xf numFmtId="0" fontId="61" fillId="33" borderId="246" xfId="0" applyFont="1" applyFill="1" applyBorder="1" applyAlignment="1">
      <alignment horizontal="center" vertical="center" wrapText="1"/>
    </xf>
    <xf numFmtId="0" fontId="10" fillId="31" borderId="206" xfId="0" applyFont="1" applyFill="1" applyBorder="1" applyAlignment="1">
      <alignment horizontal="center" vertical="center" wrapText="1"/>
    </xf>
    <xf numFmtId="0" fontId="10" fillId="31" borderId="46" xfId="0" applyFont="1" applyFill="1" applyBorder="1" applyAlignment="1">
      <alignment horizontal="center" vertical="center" wrapText="1"/>
    </xf>
    <xf numFmtId="0" fontId="10" fillId="31" borderId="207" xfId="0" applyFont="1" applyFill="1" applyBorder="1" applyAlignment="1">
      <alignment horizontal="center" vertical="center" wrapText="1"/>
    </xf>
    <xf numFmtId="0" fontId="10" fillId="31" borderId="71" xfId="0" applyFont="1" applyFill="1" applyBorder="1" applyAlignment="1">
      <alignment horizontal="center" vertical="center" wrapText="1"/>
    </xf>
    <xf numFmtId="0" fontId="10" fillId="31" borderId="61" xfId="0" applyFont="1" applyFill="1" applyBorder="1" applyAlignment="1">
      <alignment horizontal="center" vertical="center" wrapText="1"/>
    </xf>
    <xf numFmtId="0" fontId="10" fillId="31" borderId="65" xfId="0" applyFont="1" applyFill="1" applyBorder="1" applyAlignment="1">
      <alignment horizontal="center" vertical="center" wrapText="1"/>
    </xf>
    <xf numFmtId="0" fontId="10" fillId="39" borderId="62" xfId="0" applyFont="1" applyFill="1" applyBorder="1" applyAlignment="1">
      <alignment horizontal="center" vertical="center" wrapText="1"/>
    </xf>
    <xf numFmtId="0" fontId="54" fillId="39" borderId="89" xfId="0" applyNumberFormat="1" applyFont="1" applyFill="1" applyBorder="1" applyAlignment="1" applyProtection="1">
      <alignment horizontal="center" vertical="center" wrapText="1"/>
    </xf>
    <xf numFmtId="0" fontId="7" fillId="29" borderId="68" xfId="0" applyFont="1" applyFill="1" applyBorder="1" applyAlignment="1">
      <alignment horizontal="left" wrapText="1"/>
    </xf>
    <xf numFmtId="0" fontId="7" fillId="29" borderId="116" xfId="0" applyFont="1" applyFill="1" applyBorder="1" applyAlignment="1">
      <alignment horizontal="left" wrapText="1"/>
    </xf>
    <xf numFmtId="0" fontId="10" fillId="36" borderId="50" xfId="0" applyFont="1" applyFill="1" applyBorder="1" applyAlignment="1">
      <alignment horizontal="center"/>
    </xf>
    <xf numFmtId="0" fontId="10" fillId="36" borderId="76" xfId="0" applyFont="1" applyFill="1" applyBorder="1" applyAlignment="1">
      <alignment horizontal="center"/>
    </xf>
    <xf numFmtId="0" fontId="10" fillId="36" borderId="62" xfId="0" applyFont="1" applyFill="1" applyBorder="1" applyAlignment="1">
      <alignment horizontal="center"/>
    </xf>
    <xf numFmtId="0" fontId="10" fillId="41" borderId="86" xfId="0" applyFont="1" applyFill="1" applyBorder="1" applyAlignment="1">
      <alignment horizontal="center"/>
    </xf>
    <xf numFmtId="0" fontId="10" fillId="41" borderId="76" xfId="0" applyFont="1" applyFill="1" applyBorder="1" applyAlignment="1">
      <alignment horizontal="center"/>
    </xf>
    <xf numFmtId="0" fontId="10" fillId="41" borderId="139" xfId="0" applyFont="1" applyFill="1" applyBorder="1" applyAlignment="1">
      <alignment horizontal="center"/>
    </xf>
    <xf numFmtId="0" fontId="54" fillId="41" borderId="82" xfId="0" applyNumberFormat="1" applyFont="1" applyFill="1" applyBorder="1" applyAlignment="1" applyProtection="1">
      <alignment horizontal="center" vertical="center" wrapText="1"/>
    </xf>
    <xf numFmtId="0" fontId="10" fillId="36" borderId="82" xfId="0" applyNumberFormat="1" applyFont="1" applyFill="1" applyBorder="1" applyAlignment="1">
      <alignment horizontal="center" vertical="center" wrapText="1"/>
    </xf>
    <xf numFmtId="0" fontId="10" fillId="36" borderId="71" xfId="0" applyNumberFormat="1" applyFont="1" applyFill="1" applyBorder="1" applyAlignment="1">
      <alignment horizontal="center" vertical="center" wrapText="1"/>
    </xf>
    <xf numFmtId="0" fontId="88" fillId="14" borderId="0" xfId="0" applyFont="1" applyFill="1" applyAlignment="1">
      <alignment horizontal="left" vertical="top" wrapText="1"/>
    </xf>
    <xf numFmtId="0" fontId="10" fillId="14" borderId="0" xfId="0" applyFont="1" applyFill="1" applyAlignment="1">
      <alignment horizontal="left" vertical="top"/>
    </xf>
    <xf numFmtId="0" fontId="0" fillId="14" borderId="0" xfId="0" applyFill="1" applyAlignment="1">
      <alignment horizontal="left" vertical="top" wrapText="1"/>
    </xf>
    <xf numFmtId="0" fontId="54" fillId="36" borderId="44" xfId="0" applyNumberFormat="1" applyFont="1" applyFill="1" applyBorder="1" applyAlignment="1" applyProtection="1">
      <alignment horizontal="center" vertical="center" wrapText="1"/>
    </xf>
    <xf numFmtId="0" fontId="10" fillId="36" borderId="82" xfId="0" applyFont="1" applyFill="1" applyBorder="1" applyAlignment="1">
      <alignment horizontal="center" vertical="center" wrapText="1"/>
    </xf>
    <xf numFmtId="0" fontId="61" fillId="33" borderId="72" xfId="0" applyFont="1" applyFill="1" applyBorder="1" applyAlignment="1">
      <alignment horizontal="center" wrapText="1"/>
    </xf>
    <xf numFmtId="0" fontId="61" fillId="33" borderId="73" xfId="0" applyFont="1" applyFill="1" applyBorder="1" applyAlignment="1">
      <alignment horizontal="center" wrapText="1"/>
    </xf>
    <xf numFmtId="0" fontId="61" fillId="33" borderId="91" xfId="0" applyFont="1" applyFill="1" applyBorder="1" applyAlignment="1">
      <alignment horizontal="center" wrapText="1"/>
    </xf>
    <xf numFmtId="0" fontId="10" fillId="36" borderId="77" xfId="0" applyFont="1" applyFill="1" applyBorder="1" applyAlignment="1">
      <alignment horizontal="center"/>
    </xf>
    <xf numFmtId="0" fontId="54" fillId="36" borderId="49" xfId="0" applyNumberFormat="1" applyFont="1" applyFill="1" applyBorder="1" applyAlignment="1" applyProtection="1">
      <alignment horizontal="center" vertical="center" wrapText="1"/>
    </xf>
    <xf numFmtId="0" fontId="54" fillId="36" borderId="74" xfId="0" applyNumberFormat="1" applyFont="1" applyFill="1" applyBorder="1" applyAlignment="1" applyProtection="1">
      <alignment horizontal="center" vertical="center" wrapText="1"/>
    </xf>
    <xf numFmtId="0" fontId="54" fillId="36" borderId="75" xfId="0" applyNumberFormat="1" applyFont="1" applyFill="1" applyBorder="1" applyAlignment="1" applyProtection="1">
      <alignment horizontal="center" vertical="center" wrapText="1"/>
    </xf>
    <xf numFmtId="0" fontId="7" fillId="33" borderId="68" xfId="0" applyFont="1" applyFill="1" applyBorder="1" applyAlignment="1">
      <alignment horizontal="left" vertical="center" wrapText="1" indent="2"/>
    </xf>
    <xf numFmtId="0" fontId="7" fillId="33" borderId="147" xfId="0" applyFont="1" applyFill="1" applyBorder="1" applyAlignment="1">
      <alignment horizontal="left" vertical="center" wrapText="1" indent="2"/>
    </xf>
    <xf numFmtId="0" fontId="7" fillId="33" borderId="50" xfId="0" applyFont="1" applyFill="1" applyBorder="1" applyAlignment="1">
      <alignment horizontal="left" vertical="center" wrapText="1" indent="2"/>
    </xf>
    <xf numFmtId="0" fontId="7" fillId="33" borderId="77" xfId="0" applyFont="1" applyFill="1" applyBorder="1" applyAlignment="1">
      <alignment horizontal="left" vertical="center" wrapText="1" indent="2"/>
    </xf>
    <xf numFmtId="0" fontId="7" fillId="33" borderId="49" xfId="0" applyFont="1" applyFill="1" applyBorder="1" applyAlignment="1">
      <alignment horizontal="left" vertical="center" wrapText="1" indent="2"/>
    </xf>
    <xf numFmtId="0" fontId="7" fillId="33" borderId="75" xfId="0" applyFont="1" applyFill="1" applyBorder="1" applyAlignment="1">
      <alignment horizontal="left" vertical="center" wrapText="1" indent="2"/>
    </xf>
    <xf numFmtId="0" fontId="10" fillId="25" borderId="127" xfId="0" applyFont="1" applyFill="1" applyBorder="1" applyAlignment="1">
      <alignment horizontal="left" vertical="center" wrapText="1" indent="2"/>
    </xf>
    <xf numFmtId="0" fontId="10" fillId="25" borderId="73" xfId="0" applyFont="1" applyFill="1" applyBorder="1" applyAlignment="1">
      <alignment horizontal="left" vertical="center" wrapText="1" indent="2"/>
    </xf>
    <xf numFmtId="0" fontId="10" fillId="25" borderId="91" xfId="0" applyFont="1" applyFill="1" applyBorder="1" applyAlignment="1">
      <alignment horizontal="left" vertical="center" wrapText="1" indent="2"/>
    </xf>
    <xf numFmtId="0" fontId="10" fillId="31" borderId="72" xfId="0" applyFont="1" applyFill="1" applyBorder="1" applyAlignment="1">
      <alignment horizontal="left" vertical="center" wrapText="1" indent="2"/>
    </xf>
    <xf numFmtId="0" fontId="10" fillId="31" borderId="73" xfId="0" applyFont="1" applyFill="1" applyBorder="1" applyAlignment="1">
      <alignment horizontal="left" vertical="center" wrapText="1" indent="2"/>
    </xf>
    <xf numFmtId="0" fontId="10" fillId="31" borderId="91" xfId="0" applyFont="1" applyFill="1" applyBorder="1" applyAlignment="1">
      <alignment horizontal="left" vertical="center" wrapText="1" indent="2"/>
    </xf>
    <xf numFmtId="0" fontId="10" fillId="40" borderId="82" xfId="0" applyNumberFormat="1" applyFont="1" applyFill="1" applyBorder="1" applyAlignment="1">
      <alignment horizontal="center" vertical="center" wrapText="1"/>
    </xf>
    <xf numFmtId="0" fontId="10" fillId="40" borderId="71" xfId="0" applyNumberFormat="1" applyFont="1" applyFill="1" applyBorder="1" applyAlignment="1">
      <alignment horizontal="center" vertical="center" wrapText="1"/>
    </xf>
    <xf numFmtId="0" fontId="10" fillId="40" borderId="50" xfId="0" applyFont="1" applyFill="1" applyBorder="1" applyAlignment="1">
      <alignment horizontal="center"/>
    </xf>
    <xf numFmtId="0" fontId="10" fillId="40" borderId="76" xfId="0" applyFont="1" applyFill="1" applyBorder="1" applyAlignment="1">
      <alignment horizontal="center"/>
    </xf>
    <xf numFmtId="0" fontId="10" fillId="40" borderId="139" xfId="0" applyFont="1" applyFill="1" applyBorder="1" applyAlignment="1">
      <alignment horizontal="center"/>
    </xf>
    <xf numFmtId="0" fontId="10" fillId="39" borderId="86" xfId="0" applyFont="1" applyFill="1" applyBorder="1" applyAlignment="1">
      <alignment horizontal="center"/>
    </xf>
    <xf numFmtId="0" fontId="10" fillId="39" borderId="76" xfId="0" applyFont="1" applyFill="1" applyBorder="1" applyAlignment="1">
      <alignment horizontal="center"/>
    </xf>
    <xf numFmtId="0" fontId="10" fillId="39" borderId="139" xfId="0" applyFont="1" applyFill="1" applyBorder="1" applyAlignment="1">
      <alignment horizontal="center"/>
    </xf>
    <xf numFmtId="0" fontId="10" fillId="40" borderId="62" xfId="0" applyFont="1" applyFill="1" applyBorder="1" applyAlignment="1">
      <alignment horizontal="center"/>
    </xf>
    <xf numFmtId="0" fontId="88" fillId="14" borderId="0" xfId="0" applyFont="1" applyFill="1" applyAlignment="1">
      <alignment horizontal="left" vertical="center" wrapText="1"/>
    </xf>
    <xf numFmtId="0" fontId="10" fillId="14" borderId="0" xfId="0" applyFont="1" applyFill="1" applyAlignment="1">
      <alignment horizontal="left" vertical="center" wrapText="1"/>
    </xf>
    <xf numFmtId="0" fontId="54" fillId="40" borderId="49" xfId="0" applyNumberFormat="1" applyFont="1" applyFill="1" applyBorder="1" applyAlignment="1" applyProtection="1">
      <alignment horizontal="center" vertical="center" wrapText="1"/>
    </xf>
    <xf numFmtId="0" fontId="10" fillId="40" borderId="74" xfId="0" applyFont="1" applyFill="1" applyBorder="1" applyAlignment="1">
      <alignment horizontal="center" vertical="center" wrapText="1"/>
    </xf>
    <xf numFmtId="0" fontId="61" fillId="33" borderId="21" xfId="0" applyFont="1" applyFill="1" applyBorder="1" applyAlignment="1">
      <alignment horizontal="left" wrapText="1"/>
    </xf>
    <xf numFmtId="0" fontId="61" fillId="33" borderId="23" xfId="0" applyFont="1" applyFill="1" applyBorder="1" applyAlignment="1">
      <alignment horizontal="left" wrapText="1"/>
    </xf>
    <xf numFmtId="0" fontId="61" fillId="33" borderId="19" xfId="0" applyFont="1" applyFill="1" applyBorder="1" applyAlignment="1">
      <alignment horizontal="left" wrapText="1"/>
    </xf>
    <xf numFmtId="0" fontId="61" fillId="33" borderId="24" xfId="0" applyFont="1" applyFill="1" applyBorder="1" applyAlignment="1">
      <alignment horizontal="left" wrapText="1"/>
    </xf>
    <xf numFmtId="0" fontId="61" fillId="33" borderId="25" xfId="0" applyFont="1" applyFill="1" applyBorder="1" applyAlignment="1">
      <alignment horizontal="left" wrapText="1"/>
    </xf>
    <xf numFmtId="0" fontId="61" fillId="33" borderId="202" xfId="0" applyFont="1" applyFill="1" applyBorder="1" applyAlignment="1">
      <alignment horizontal="left" wrapText="1"/>
    </xf>
    <xf numFmtId="0" fontId="10" fillId="29" borderId="36" xfId="0" applyFont="1" applyFill="1" applyBorder="1" applyAlignment="1">
      <alignment horizontal="left" wrapText="1"/>
    </xf>
    <xf numFmtId="0" fontId="10" fillId="29" borderId="35" xfId="0" applyFont="1" applyFill="1" applyBorder="1" applyAlignment="1">
      <alignment horizontal="left" wrapText="1"/>
    </xf>
    <xf numFmtId="0" fontId="10" fillId="29" borderId="149" xfId="0" applyFont="1" applyFill="1" applyBorder="1" applyAlignment="1">
      <alignment horizontal="left" wrapText="1"/>
    </xf>
    <xf numFmtId="0" fontId="10" fillId="29" borderId="49" xfId="0" applyFont="1" applyFill="1" applyBorder="1" applyAlignment="1">
      <alignment horizontal="left" wrapText="1"/>
    </xf>
    <xf numFmtId="0" fontId="10" fillId="29" borderId="74" xfId="0" applyFont="1" applyFill="1" applyBorder="1" applyAlignment="1">
      <alignment horizontal="left" wrapText="1"/>
    </xf>
    <xf numFmtId="0" fontId="10" fillId="29" borderId="75" xfId="0" applyFont="1" applyFill="1" applyBorder="1" applyAlignment="1">
      <alignment horizontal="left" wrapText="1"/>
    </xf>
    <xf numFmtId="0" fontId="10" fillId="29" borderId="68" xfId="0" applyFont="1" applyFill="1" applyBorder="1" applyAlignment="1">
      <alignment horizontal="left" wrapText="1"/>
    </xf>
    <xf numFmtId="0" fontId="10" fillId="29" borderId="116" xfId="0" applyFont="1" applyFill="1" applyBorder="1" applyAlignment="1">
      <alignment horizontal="left" wrapText="1"/>
    </xf>
    <xf numFmtId="0" fontId="10" fillId="29" borderId="147" xfId="0" applyFont="1" applyFill="1" applyBorder="1" applyAlignment="1">
      <alignment horizontal="left" wrapText="1"/>
    </xf>
    <xf numFmtId="0" fontId="7" fillId="33" borderId="49" xfId="0" applyFont="1" applyFill="1" applyBorder="1" applyAlignment="1">
      <alignment horizontal="left" vertical="center" wrapText="1"/>
    </xf>
    <xf numFmtId="0" fontId="7" fillId="33" borderId="75" xfId="0" applyFont="1" applyFill="1" applyBorder="1" applyAlignment="1">
      <alignment horizontal="left" vertical="center" wrapText="1"/>
    </xf>
    <xf numFmtId="0" fontId="7" fillId="43" borderId="72" xfId="0" applyFont="1" applyFill="1" applyBorder="1" applyAlignment="1">
      <alignment horizontal="center" vertical="center" wrapText="1"/>
    </xf>
    <xf numFmtId="0" fontId="7" fillId="43" borderId="73" xfId="0" applyFont="1" applyFill="1" applyBorder="1" applyAlignment="1">
      <alignment horizontal="center" vertical="center" wrapText="1"/>
    </xf>
    <xf numFmtId="0" fontId="7" fillId="43" borderId="91" xfId="0" applyFont="1" applyFill="1" applyBorder="1" applyAlignment="1">
      <alignment horizontal="center" vertical="center" wrapText="1"/>
    </xf>
    <xf numFmtId="0" fontId="10" fillId="25" borderId="91" xfId="0" applyFont="1" applyFill="1" applyBorder="1" applyAlignment="1">
      <alignment horizontal="left" vertical="center" wrapText="1"/>
    </xf>
    <xf numFmtId="0" fontId="7" fillId="18" borderId="35" xfId="0" applyFont="1" applyFill="1" applyBorder="1" applyAlignment="1" applyProtection="1">
      <alignment horizontal="left" vertical="center" wrapText="1"/>
      <protection locked="0"/>
    </xf>
    <xf numFmtId="0" fontId="7" fillId="18" borderId="34" xfId="0" applyFont="1" applyFill="1" applyBorder="1" applyAlignment="1" applyProtection="1">
      <alignment horizontal="left" vertical="center" wrapText="1"/>
      <protection locked="0"/>
    </xf>
    <xf numFmtId="0" fontId="54" fillId="40" borderId="44" xfId="0" applyNumberFormat="1" applyFont="1" applyFill="1" applyBorder="1" applyAlignment="1" applyProtection="1">
      <alignment horizontal="center" vertical="center" wrapText="1"/>
    </xf>
    <xf numFmtId="0" fontId="7" fillId="33" borderId="35" xfId="0" applyFont="1" applyFill="1" applyBorder="1" applyAlignment="1" applyProtection="1">
      <alignment horizontal="right" vertical="center" wrapText="1"/>
      <protection locked="0"/>
    </xf>
    <xf numFmtId="0" fontId="7" fillId="33" borderId="149" xfId="0" applyFont="1" applyFill="1" applyBorder="1" applyAlignment="1" applyProtection="1">
      <alignment horizontal="right" vertical="center" wrapText="1"/>
      <protection locked="0"/>
    </xf>
    <xf numFmtId="0" fontId="7" fillId="33" borderId="70" xfId="0" applyFont="1" applyFill="1" applyBorder="1" applyAlignment="1">
      <alignment horizontal="left" vertical="center" wrapText="1"/>
    </xf>
    <xf numFmtId="0" fontId="7" fillId="33" borderId="125" xfId="0" applyFont="1" applyFill="1" applyBorder="1" applyAlignment="1">
      <alignment horizontal="left" vertical="center" wrapText="1"/>
    </xf>
    <xf numFmtId="0" fontId="10" fillId="25" borderId="19" xfId="0" applyFont="1" applyFill="1" applyBorder="1" applyAlignment="1">
      <alignment horizontal="left" vertical="center" wrapText="1"/>
    </xf>
    <xf numFmtId="0" fontId="10" fillId="25" borderId="246" xfId="0" applyFont="1" applyFill="1" applyBorder="1" applyAlignment="1">
      <alignment horizontal="left" vertical="center" wrapText="1"/>
    </xf>
    <xf numFmtId="0" fontId="10" fillId="14" borderId="0" xfId="0" applyFont="1" applyFill="1" applyAlignment="1">
      <alignment horizontal="left"/>
    </xf>
    <xf numFmtId="0" fontId="0" fillId="14" borderId="0" xfId="0" applyFill="1" applyAlignment="1">
      <alignment horizontal="left" wrapText="1"/>
    </xf>
    <xf numFmtId="0" fontId="88" fillId="14" borderId="0" xfId="0" applyFont="1" applyFill="1" applyAlignment="1">
      <alignment horizontal="left" wrapText="1"/>
    </xf>
    <xf numFmtId="0" fontId="10" fillId="14" borderId="0" xfId="0" applyFont="1" applyFill="1" applyAlignment="1">
      <alignment horizontal="left" wrapText="1"/>
    </xf>
    <xf numFmtId="0" fontId="0" fillId="33" borderId="72" xfId="0" applyFill="1" applyBorder="1" applyAlignment="1">
      <alignment horizontal="center"/>
    </xf>
    <xf numFmtId="0" fontId="0" fillId="33" borderId="73" xfId="0" applyFill="1" applyBorder="1" applyAlignment="1">
      <alignment horizontal="center"/>
    </xf>
    <xf numFmtId="0" fontId="0" fillId="33" borderId="91" xfId="0" applyFill="1" applyBorder="1" applyAlignment="1">
      <alignment horizontal="center"/>
    </xf>
    <xf numFmtId="49" fontId="10" fillId="36" borderId="50" xfId="0" applyNumberFormat="1" applyFont="1" applyFill="1" applyBorder="1" applyAlignment="1">
      <alignment horizontal="center"/>
    </xf>
    <xf numFmtId="0" fontId="10" fillId="36" borderId="139" xfId="0" applyFont="1" applyFill="1" applyBorder="1" applyAlignment="1">
      <alignment horizontal="center"/>
    </xf>
    <xf numFmtId="0" fontId="0" fillId="14" borderId="0" xfId="0" applyFill="1" applyAlignment="1">
      <alignment vertical="center" wrapText="1"/>
    </xf>
    <xf numFmtId="0" fontId="67" fillId="38" borderId="184" xfId="0" applyFont="1" applyFill="1" applyBorder="1" applyAlignment="1">
      <alignment horizontal="center" vertical="center" wrapText="1"/>
    </xf>
    <xf numFmtId="0" fontId="67" fillId="38" borderId="185" xfId="0" applyFont="1" applyFill="1" applyBorder="1" applyAlignment="1">
      <alignment horizontal="center" vertical="center" wrapText="1"/>
    </xf>
    <xf numFmtId="0" fontId="67" fillId="38" borderId="204" xfId="0" applyFont="1" applyFill="1" applyBorder="1" applyAlignment="1">
      <alignment horizontal="center" vertical="center" wrapText="1"/>
    </xf>
    <xf numFmtId="0" fontId="67" fillId="38" borderId="248" xfId="0" applyFont="1" applyFill="1" applyBorder="1" applyAlignment="1">
      <alignment horizontal="center" vertical="center" wrapText="1"/>
    </xf>
    <xf numFmtId="0" fontId="67" fillId="38" borderId="98" xfId="0" applyFont="1" applyFill="1" applyBorder="1" applyAlignment="1">
      <alignment horizontal="center" vertical="center" wrapText="1"/>
    </xf>
    <xf numFmtId="0" fontId="67" fillId="38" borderId="249" xfId="0" applyFont="1" applyFill="1" applyBorder="1" applyAlignment="1">
      <alignment horizontal="center" vertical="center" wrapText="1"/>
    </xf>
    <xf numFmtId="0" fontId="7" fillId="38" borderId="49" xfId="0" applyFont="1" applyFill="1" applyBorder="1" applyAlignment="1">
      <alignment horizontal="left" vertical="center" wrapText="1" indent="1"/>
    </xf>
    <xf numFmtId="0" fontId="7" fillId="38" borderId="75" xfId="0" applyFont="1" applyFill="1" applyBorder="1" applyAlignment="1">
      <alignment horizontal="left" vertical="center" wrapText="1" indent="1"/>
    </xf>
    <xf numFmtId="0" fontId="7" fillId="38" borderId="50" xfId="0" applyFont="1" applyFill="1" applyBorder="1" applyAlignment="1">
      <alignment horizontal="left" vertical="center" wrapText="1" indent="1"/>
    </xf>
    <xf numFmtId="0" fontId="7" fillId="38" borderId="77" xfId="0" applyFont="1" applyFill="1" applyBorder="1" applyAlignment="1">
      <alignment horizontal="left" vertical="center" wrapText="1" indent="1"/>
    </xf>
    <xf numFmtId="0" fontId="0" fillId="0" borderId="72" xfId="0" applyBorder="1" applyAlignment="1">
      <alignment horizontal="center"/>
    </xf>
    <xf numFmtId="0" fontId="0" fillId="0" borderId="73" xfId="0" applyBorder="1" applyAlignment="1">
      <alignment horizontal="center"/>
    </xf>
    <xf numFmtId="0" fontId="0" fillId="0" borderId="91" xfId="0" applyBorder="1" applyAlignment="1">
      <alignment horizontal="center"/>
    </xf>
    <xf numFmtId="0" fontId="10" fillId="33" borderId="72" xfId="0" applyFont="1" applyFill="1" applyBorder="1" applyAlignment="1">
      <alignment horizontal="center" vertical="center" wrapText="1"/>
    </xf>
    <xf numFmtId="0" fontId="40" fillId="33" borderId="73" xfId="0" applyFont="1" applyFill="1" applyBorder="1" applyAlignment="1">
      <alignment horizontal="center" vertical="center" wrapText="1"/>
    </xf>
    <xf numFmtId="0" fontId="54" fillId="39" borderId="44" xfId="0" applyNumberFormat="1" applyFont="1" applyFill="1" applyBorder="1" applyAlignment="1" applyProtection="1">
      <alignment horizontal="center" vertical="center" wrapText="1"/>
    </xf>
    <xf numFmtId="0" fontId="68" fillId="96" borderId="36" xfId="0" applyFont="1" applyFill="1" applyBorder="1" applyAlignment="1">
      <alignment vertical="center" wrapText="1"/>
    </xf>
    <xf numFmtId="0" fontId="68" fillId="96" borderId="35" xfId="0" applyFont="1" applyFill="1" applyBorder="1" applyAlignment="1">
      <alignment vertical="center" wrapText="1"/>
    </xf>
    <xf numFmtId="0" fontId="15" fillId="30" borderId="36" xfId="0" applyFont="1" applyFill="1" applyBorder="1" applyAlignment="1">
      <alignment vertical="center" wrapText="1"/>
    </xf>
    <xf numFmtId="0" fontId="0" fillId="0" borderId="35" xfId="0" applyBorder="1" applyAlignment="1">
      <alignment vertical="center" wrapText="1"/>
    </xf>
    <xf numFmtId="0" fontId="0" fillId="0" borderId="34" xfId="0" applyBorder="1" applyAlignment="1">
      <alignment vertical="center" wrapText="1"/>
    </xf>
    <xf numFmtId="0" fontId="84" fillId="33" borderId="19" xfId="305" applyFont="1" applyFill="1" applyBorder="1" applyAlignment="1">
      <alignment horizontal="center" vertical="center" wrapText="1"/>
    </xf>
    <xf numFmtId="0" fontId="10" fillId="39" borderId="62" xfId="305" applyFont="1" applyFill="1" applyBorder="1" applyAlignment="1">
      <alignment horizontal="center" vertical="center" wrapText="1"/>
    </xf>
    <xf numFmtId="0" fontId="10" fillId="39" borderId="46" xfId="305" applyFont="1" applyFill="1" applyBorder="1" applyAlignment="1">
      <alignment horizontal="center" vertical="center" wrapText="1"/>
    </xf>
    <xf numFmtId="0" fontId="10" fillId="39" borderId="60" xfId="305" applyFont="1" applyFill="1" applyBorder="1" applyAlignment="1">
      <alignment horizontal="center" vertical="center" wrapText="1"/>
    </xf>
    <xf numFmtId="0" fontId="10" fillId="39" borderId="61" xfId="305" applyFont="1" applyFill="1" applyBorder="1" applyAlignment="1">
      <alignment horizontal="center" vertical="center" wrapText="1"/>
    </xf>
    <xf numFmtId="0" fontId="7" fillId="18" borderId="36" xfId="0" applyFont="1" applyFill="1" applyBorder="1" applyAlignment="1" applyProtection="1">
      <alignment horizontal="left" vertical="center" wrapText="1"/>
      <protection locked="0"/>
    </xf>
    <xf numFmtId="0" fontId="10" fillId="33" borderId="127" xfId="0" applyFont="1" applyFill="1" applyBorder="1" applyAlignment="1">
      <alignment horizontal="center" vertical="center" wrapText="1"/>
    </xf>
    <xf numFmtId="0" fontId="10" fillId="33" borderId="73" xfId="0" applyFont="1" applyFill="1" applyBorder="1" applyAlignment="1">
      <alignment horizontal="center" vertical="center" wrapText="1"/>
    </xf>
    <xf numFmtId="0" fontId="54" fillId="39" borderId="90" xfId="0" applyNumberFormat="1" applyFont="1" applyFill="1" applyBorder="1" applyAlignment="1" applyProtection="1">
      <alignment horizontal="center" vertical="center" wrapText="1"/>
    </xf>
    <xf numFmtId="0" fontId="10" fillId="39" borderId="77" xfId="0" applyFont="1" applyFill="1" applyBorder="1" applyAlignment="1">
      <alignment horizontal="center" vertical="center" wrapText="1"/>
    </xf>
    <xf numFmtId="0" fontId="10" fillId="14" borderId="0" xfId="0" applyFont="1" applyFill="1" applyAlignment="1">
      <alignment wrapText="1"/>
    </xf>
    <xf numFmtId="0" fontId="38" fillId="33" borderId="72" xfId="305" applyFont="1" applyFill="1" applyBorder="1" applyAlignment="1">
      <alignment horizontal="center" vertical="center" wrapText="1"/>
    </xf>
    <xf numFmtId="0" fontId="84" fillId="33" borderId="73" xfId="305" applyFont="1" applyFill="1" applyBorder="1" applyAlignment="1">
      <alignment horizontal="center" vertical="center" wrapText="1"/>
    </xf>
    <xf numFmtId="0" fontId="7" fillId="14" borderId="0" xfId="0" applyFont="1" applyFill="1" applyAlignment="1">
      <alignment vertical="center" wrapText="1"/>
    </xf>
    <xf numFmtId="0" fontId="50" fillId="0" borderId="20" xfId="0" applyFont="1" applyFill="1" applyBorder="1" applyAlignment="1">
      <alignment horizontal="center" vertical="center"/>
    </xf>
    <xf numFmtId="0" fontId="59" fillId="0" borderId="10" xfId="0" applyFont="1" applyFill="1" applyBorder="1" applyAlignment="1">
      <alignment horizontal="center" vertical="center"/>
    </xf>
    <xf numFmtId="0" fontId="10" fillId="0" borderId="49" xfId="0" applyFont="1" applyFill="1" applyBorder="1" applyAlignment="1">
      <alignment horizontal="center" vertical="center"/>
    </xf>
    <xf numFmtId="0" fontId="10" fillId="0" borderId="74" xfId="0" applyFont="1" applyFill="1" applyBorder="1" applyAlignment="1">
      <alignment horizontal="center" vertical="center"/>
    </xf>
    <xf numFmtId="0" fontId="10" fillId="0" borderId="89" xfId="0" applyFont="1" applyFill="1" applyBorder="1" applyAlignment="1">
      <alignment horizontal="center" vertical="center"/>
    </xf>
    <xf numFmtId="0" fontId="10" fillId="0" borderId="85" xfId="0" applyFont="1" applyFill="1" applyBorder="1" applyAlignment="1">
      <alignment horizontal="center" vertical="center"/>
    </xf>
    <xf numFmtId="0" fontId="10" fillId="0" borderId="75" xfId="0" applyFont="1" applyFill="1" applyBorder="1" applyAlignment="1">
      <alignment horizontal="center" vertical="center"/>
    </xf>
    <xf numFmtId="0" fontId="10" fillId="33" borderId="86" xfId="0" applyFont="1" applyFill="1" applyBorder="1" applyAlignment="1">
      <alignment horizontal="center" vertical="center" wrapText="1"/>
    </xf>
    <xf numFmtId="0" fontId="10" fillId="33" borderId="77" xfId="0" applyFont="1" applyFill="1" applyBorder="1" applyAlignment="1">
      <alignment horizontal="center" vertical="center" wrapText="1"/>
    </xf>
    <xf numFmtId="0" fontId="10" fillId="113" borderId="86" xfId="0" applyFont="1" applyFill="1" applyBorder="1" applyAlignment="1">
      <alignment horizontal="center" vertical="center" wrapText="1"/>
    </xf>
    <xf numFmtId="0" fontId="10" fillId="113" borderId="77" xfId="0" applyFont="1" applyFill="1" applyBorder="1" applyAlignment="1">
      <alignment horizontal="center" vertical="center" wrapText="1"/>
    </xf>
    <xf numFmtId="0" fontId="10" fillId="33" borderId="50" xfId="0" applyFont="1" applyFill="1" applyBorder="1" applyAlignment="1">
      <alignment horizontal="center" vertical="center" wrapText="1"/>
    </xf>
    <xf numFmtId="0" fontId="10" fillId="33" borderId="76" xfId="0" applyFont="1" applyFill="1" applyBorder="1" applyAlignment="1">
      <alignment horizontal="center" vertical="center" wrapText="1"/>
    </xf>
    <xf numFmtId="0" fontId="10" fillId="33" borderId="62" xfId="0" applyFont="1" applyFill="1" applyBorder="1" applyAlignment="1">
      <alignment horizontal="center" vertical="center" wrapText="1"/>
    </xf>
    <xf numFmtId="0" fontId="10" fillId="113" borderId="50" xfId="0" applyFont="1" applyFill="1" applyBorder="1" applyAlignment="1">
      <alignment horizontal="center" vertical="center" wrapText="1"/>
    </xf>
    <xf numFmtId="0" fontId="10" fillId="113" borderId="76" xfId="0" applyFont="1" applyFill="1" applyBorder="1" applyAlignment="1">
      <alignment horizontal="center" vertical="center" wrapText="1"/>
    </xf>
    <xf numFmtId="0" fontId="10" fillId="113" borderId="62" xfId="0" applyFont="1" applyFill="1" applyBorder="1" applyAlignment="1">
      <alignment horizontal="center" vertical="center" wrapText="1"/>
    </xf>
    <xf numFmtId="0" fontId="10" fillId="0" borderId="50" xfId="0" applyFont="1" applyFill="1" applyBorder="1" applyAlignment="1">
      <alignment horizontal="center" vertical="center" wrapText="1"/>
    </xf>
    <xf numFmtId="0" fontId="10" fillId="0" borderId="76" xfId="0" applyFont="1" applyFill="1" applyBorder="1" applyAlignment="1">
      <alignment horizontal="center" vertical="center" wrapText="1"/>
    </xf>
    <xf numFmtId="0" fontId="10" fillId="0" borderId="77" xfId="0" applyFont="1" applyFill="1" applyBorder="1" applyAlignment="1">
      <alignment horizontal="center" vertical="center" wrapText="1"/>
    </xf>
    <xf numFmtId="0" fontId="50" fillId="113" borderId="20" xfId="0" applyFont="1" applyFill="1" applyBorder="1" applyAlignment="1">
      <alignment horizontal="center" vertical="center"/>
    </xf>
    <xf numFmtId="0" fontId="59" fillId="113" borderId="10" xfId="0" applyFont="1" applyFill="1" applyBorder="1" applyAlignment="1">
      <alignment horizontal="center" vertical="center"/>
    </xf>
    <xf numFmtId="0" fontId="10" fillId="113" borderId="49" xfId="0" applyFont="1" applyFill="1" applyBorder="1" applyAlignment="1">
      <alignment horizontal="center" vertical="center"/>
    </xf>
    <xf numFmtId="0" fontId="10" fillId="113" borderId="74" xfId="0" applyFont="1" applyFill="1" applyBorder="1" applyAlignment="1">
      <alignment horizontal="center" vertical="center"/>
    </xf>
    <xf numFmtId="0" fontId="10" fillId="113" borderId="89" xfId="0" applyFont="1" applyFill="1" applyBorder="1" applyAlignment="1">
      <alignment horizontal="center" vertical="center"/>
    </xf>
    <xf numFmtId="0" fontId="10" fillId="113" borderId="85" xfId="0" applyFont="1" applyFill="1" applyBorder="1" applyAlignment="1">
      <alignment horizontal="center" vertical="center"/>
    </xf>
    <xf numFmtId="0" fontId="10" fillId="113" borderId="75" xfId="0" applyFont="1" applyFill="1" applyBorder="1" applyAlignment="1">
      <alignment horizontal="center" vertical="center"/>
    </xf>
    <xf numFmtId="0" fontId="10" fillId="54" borderId="49" xfId="0" applyFont="1" applyFill="1" applyBorder="1" applyAlignment="1">
      <alignment horizontal="center" vertical="center"/>
    </xf>
    <xf numFmtId="0" fontId="10" fillId="54" borderId="74" xfId="0" applyFont="1" applyFill="1" applyBorder="1" applyAlignment="1">
      <alignment horizontal="center" vertical="center"/>
    </xf>
    <xf numFmtId="0" fontId="10" fillId="54" borderId="89" xfId="0" applyFont="1" applyFill="1" applyBorder="1" applyAlignment="1">
      <alignment horizontal="center" vertical="center"/>
    </xf>
    <xf numFmtId="0" fontId="10" fillId="54" borderId="50" xfId="0" applyFont="1" applyFill="1" applyBorder="1" applyAlignment="1">
      <alignment horizontal="center" vertical="center" wrapText="1"/>
    </xf>
    <xf numFmtId="0" fontId="10" fillId="54" borderId="76" xfId="0" applyFont="1" applyFill="1" applyBorder="1" applyAlignment="1">
      <alignment horizontal="center" vertical="center" wrapText="1"/>
    </xf>
    <xf numFmtId="0" fontId="10" fillId="54" borderId="77" xfId="0" applyFont="1" applyFill="1" applyBorder="1" applyAlignment="1">
      <alignment horizontal="center" vertical="center" wrapText="1"/>
    </xf>
    <xf numFmtId="0" fontId="10" fillId="53" borderId="85" xfId="0" applyFont="1" applyFill="1" applyBorder="1" applyAlignment="1">
      <alignment horizontal="center" vertical="center"/>
    </xf>
    <xf numFmtId="0" fontId="10" fillId="53" borderId="74" xfId="0" applyFont="1" applyFill="1" applyBorder="1" applyAlignment="1">
      <alignment horizontal="center" vertical="center"/>
    </xf>
    <xf numFmtId="0" fontId="10" fillId="53" borderId="75" xfId="0" applyFont="1" applyFill="1" applyBorder="1" applyAlignment="1">
      <alignment horizontal="center" vertical="center"/>
    </xf>
  </cellXfs>
  <cellStyles count="1048">
    <cellStyle name=" 1" xfId="1"/>
    <cellStyle name=" 1 2" xfId="48"/>
    <cellStyle name=" 1 2 2" xfId="53"/>
    <cellStyle name=" 1 2 3" xfId="309"/>
    <cellStyle name=" 1 3" xfId="54"/>
    <cellStyle name=" 1 3 2" xfId="55"/>
    <cellStyle name=" 1 4" xfId="56"/>
    <cellStyle name=" 1_29(d) - Gas extensions -tariffs" xfId="50"/>
    <cellStyle name=" Writer Import]_x000d__x000a_Display Dialog=No_x000d__x000a__x000d__x000a_[Horizontal Arrange]_x000d__x000a_Dimensions Interlocking=Yes_x000d__x000a_Sum Hierarchy=Yes_x000d__x000a_Generate" xfId="600"/>
    <cellStyle name="_3GIS model v2.77_Distribution Business_Retail Fin Perform " xfId="57"/>
    <cellStyle name="_3GIS model v2.77_Fleet Overhead Costs 2_Retail Fin Perform " xfId="58"/>
    <cellStyle name="_3GIS model v2.77_Fleet Overhead Costs_Retail Fin Perform " xfId="59"/>
    <cellStyle name="_3GIS model v2.77_Forecast 2_Retail Fin Perform " xfId="60"/>
    <cellStyle name="_3GIS model v2.77_Forecast_Retail Fin Perform " xfId="61"/>
    <cellStyle name="_3GIS model v2.77_Funding &amp; Cashflow_1_Retail Fin Perform " xfId="62"/>
    <cellStyle name="_3GIS model v2.77_Funding &amp; Cashflow_Retail Fin Perform " xfId="63"/>
    <cellStyle name="_3GIS model v2.77_Group P&amp;L_1_Retail Fin Perform " xfId="64"/>
    <cellStyle name="_3GIS model v2.77_Group P&amp;L_Retail Fin Perform " xfId="65"/>
    <cellStyle name="_3GIS model v2.77_Opening  Detailed BS_Retail Fin Perform " xfId="66"/>
    <cellStyle name="_3GIS model v2.77_OUTPUT DB_Retail Fin Perform " xfId="67"/>
    <cellStyle name="_3GIS model v2.77_OUTPUT EB_Retail Fin Perform " xfId="68"/>
    <cellStyle name="_3GIS model v2.77_Report_Retail Fin Perform " xfId="69"/>
    <cellStyle name="_3GIS model v2.77_Retail Fin Perform " xfId="70"/>
    <cellStyle name="_3GIS model v2.77_Sheet2 2_Retail Fin Perform " xfId="71"/>
    <cellStyle name="_3GIS model v2.77_Sheet2_Retail Fin Perform " xfId="72"/>
    <cellStyle name="_Capex" xfId="78"/>
    <cellStyle name="_Capex 2" xfId="197"/>
    <cellStyle name="_Capex_29(d) - Gas extensions -tariffs" xfId="290"/>
    <cellStyle name="_UED AMP 2009-14 Final 250309 Less PU" xfId="79"/>
    <cellStyle name="_UED AMP 2009-14 Final 250309 Less PU_1011 monthly" xfId="80"/>
    <cellStyle name="20% - Accent1" xfId="2" builtinId="30" customBuiltin="1"/>
    <cellStyle name="20% - Accent1 2" xfId="236"/>
    <cellStyle name="20% - Accent1 3" xfId="310"/>
    <cellStyle name="20% - Accent1 3 2" xfId="765"/>
    <cellStyle name="20% - Accent1 4" xfId="601"/>
    <cellStyle name="20% - Accent2" xfId="3" builtinId="34" customBuiltin="1"/>
    <cellStyle name="20% - Accent2 2" xfId="237"/>
    <cellStyle name="20% - Accent2 3" xfId="602"/>
    <cellStyle name="20% - Accent3" xfId="4" builtinId="38" customBuiltin="1"/>
    <cellStyle name="20% - Accent3 2" xfId="238"/>
    <cellStyle name="20% - Accent3 3" xfId="603"/>
    <cellStyle name="20% - Accent4" xfId="5" builtinId="42" customBuiltin="1"/>
    <cellStyle name="20% - Accent4 2" xfId="239"/>
    <cellStyle name="20% - Accent4 3" xfId="604"/>
    <cellStyle name="20% - Accent5" xfId="6" builtinId="46" customBuiltin="1"/>
    <cellStyle name="20% - Accent5 2" xfId="240"/>
    <cellStyle name="20% - Accent5 3" xfId="605"/>
    <cellStyle name="20% - Accent6" xfId="7" builtinId="50" customBuiltin="1"/>
    <cellStyle name="20% - Accent6 2" xfId="241"/>
    <cellStyle name="40% - Accent1" xfId="8" builtinId="31" customBuiltin="1"/>
    <cellStyle name="40% - Accent1 2" xfId="242"/>
    <cellStyle name="40% - Accent1 3" xfId="311"/>
    <cellStyle name="40% - Accent1 3 2" xfId="766"/>
    <cellStyle name="40% - Accent1 4" xfId="607"/>
    <cellStyle name="40% - Accent2" xfId="9" builtinId="35" customBuiltin="1"/>
    <cellStyle name="40% - Accent2 2" xfId="243"/>
    <cellStyle name="40% - Accent2 3" xfId="608"/>
    <cellStyle name="40% - Accent3" xfId="10" builtinId="39" customBuiltin="1"/>
    <cellStyle name="40% - Accent3 2" xfId="244"/>
    <cellStyle name="40% - Accent3 3" xfId="609"/>
    <cellStyle name="40% - Accent4" xfId="11" builtinId="43" customBuiltin="1"/>
    <cellStyle name="40% - Accent4 2" xfId="245"/>
    <cellStyle name="40% - Accent4 3" xfId="610"/>
    <cellStyle name="40% - Accent5" xfId="12" builtinId="47" customBuiltin="1"/>
    <cellStyle name="40% - Accent5 2" xfId="246"/>
    <cellStyle name="40% - Accent5 3" xfId="611"/>
    <cellStyle name="40% - Accent6" xfId="13" builtinId="51" customBuiltin="1"/>
    <cellStyle name="40% - Accent6 2" xfId="247"/>
    <cellStyle name="40% - Accent6 3" xfId="612"/>
    <cellStyle name="60% - Accent1" xfId="14" builtinId="32" customBuiltin="1"/>
    <cellStyle name="60% - Accent1 2" xfId="248"/>
    <cellStyle name="60% - Accent1 3" xfId="613"/>
    <cellStyle name="60% - Accent2" xfId="15" builtinId="36" customBuiltin="1"/>
    <cellStyle name="60% - Accent2 2" xfId="249"/>
    <cellStyle name="60% - Accent2 3" xfId="614"/>
    <cellStyle name="60% - Accent3" xfId="16" builtinId="40" customBuiltin="1"/>
    <cellStyle name="60% - Accent3 2" xfId="250"/>
    <cellStyle name="60% - Accent3 3" xfId="615"/>
    <cellStyle name="60% - Accent4" xfId="17" builtinId="44" customBuiltin="1"/>
    <cellStyle name="60% - Accent4 2" xfId="251"/>
    <cellStyle name="60% - Accent4 3" xfId="616"/>
    <cellStyle name="60% - Accent5" xfId="18" builtinId="48" customBuiltin="1"/>
    <cellStyle name="60% - Accent5 2" xfId="252"/>
    <cellStyle name="60% - Accent5 3" xfId="617"/>
    <cellStyle name="60% - Accent6" xfId="19" builtinId="52" customBuiltin="1"/>
    <cellStyle name="60% - Accent6 2" xfId="253"/>
    <cellStyle name="60% - Accent6 3" xfId="618"/>
    <cellStyle name="Accent1" xfId="20" builtinId="29" customBuiltin="1"/>
    <cellStyle name="Accent1 - 20%" xfId="81"/>
    <cellStyle name="Accent1 - 40%" xfId="82"/>
    <cellStyle name="Accent1 - 60%" xfId="83"/>
    <cellStyle name="Accent1 2" xfId="254"/>
    <cellStyle name="Accent1 3" xfId="619"/>
    <cellStyle name="Accent1 4" xfId="646"/>
    <cellStyle name="Accent2" xfId="21" builtinId="33" customBuiltin="1"/>
    <cellStyle name="Accent2 - 20%" xfId="84"/>
    <cellStyle name="Accent2 - 40%" xfId="85"/>
    <cellStyle name="Accent2 - 60%" xfId="86"/>
    <cellStyle name="Accent2 2" xfId="255"/>
    <cellStyle name="Accent3" xfId="22" builtinId="37" customBuiltin="1"/>
    <cellStyle name="Accent3 - 20%" xfId="87"/>
    <cellStyle name="Accent3 - 40%" xfId="88"/>
    <cellStyle name="Accent3 - 60%" xfId="89"/>
    <cellStyle name="Accent3 2" xfId="256"/>
    <cellStyle name="Accent4" xfId="23" builtinId="41" customBuiltin="1"/>
    <cellStyle name="Accent4 - 20%" xfId="90"/>
    <cellStyle name="Accent4 - 40%" xfId="91"/>
    <cellStyle name="Accent4 - 60%" xfId="92"/>
    <cellStyle name="Accent4 2" xfId="257"/>
    <cellStyle name="Accent4 3" xfId="621"/>
    <cellStyle name="Accent4 4" xfId="641"/>
    <cellStyle name="Accent5" xfId="25" builtinId="45" customBuiltin="1"/>
    <cellStyle name="Accent5 - 20%" xfId="93"/>
    <cellStyle name="Accent5 - 40%" xfId="94"/>
    <cellStyle name="Accent5 - 60%" xfId="95"/>
    <cellStyle name="Accent5 2" xfId="258"/>
    <cellStyle name="Accent6" xfId="26" builtinId="49" customBuiltin="1"/>
    <cellStyle name="Accent6 - 20%" xfId="96"/>
    <cellStyle name="Accent6 - 40%" xfId="97"/>
    <cellStyle name="Accent6 - 60%" xfId="98"/>
    <cellStyle name="Accent6 2" xfId="259"/>
    <cellStyle name="Agara" xfId="99"/>
    <cellStyle name="AussieDate" xfId="623"/>
    <cellStyle name="AussieDate 2" xfId="630"/>
    <cellStyle name="B79812_.wvu.PrintTitlest" xfId="100"/>
    <cellStyle name="Bad" xfId="27" builtinId="27" customBuiltin="1"/>
    <cellStyle name="Bad 2" xfId="260"/>
    <cellStyle name="Bad 2 2" xfId="622"/>
    <cellStyle name="Black" xfId="101"/>
    <cellStyle name="Black 2" xfId="624"/>
    <cellStyle name="Blockout" xfId="102"/>
    <cellStyle name="Blockout 2" xfId="198"/>
    <cellStyle name="Blockout 2 2" xfId="731"/>
    <cellStyle name="Blockout 3" xfId="312"/>
    <cellStyle name="Blockout 3 2" xfId="767"/>
    <cellStyle name="Blockout 4" xfId="711"/>
    <cellStyle name="Blue" xfId="103"/>
    <cellStyle name="Blue 2" xfId="625"/>
    <cellStyle name="Brand Default" xfId="626"/>
    <cellStyle name="Brand Default 2" xfId="620"/>
    <cellStyle name="Brand Subtitle with Underline" xfId="627"/>
    <cellStyle name="Brand Subtitle with Underline 2" xfId="606"/>
    <cellStyle name="Brand Title" xfId="628"/>
    <cellStyle name="Brand Title 2" xfId="672"/>
    <cellStyle name="Calculation" xfId="28" builtinId="22" customBuiltin="1"/>
    <cellStyle name="Calculation 2" xfId="49"/>
    <cellStyle name="Calculation 2 2" xfId="313"/>
    <cellStyle name="Calculation 2 3" xfId="314"/>
    <cellStyle name="Calculation 3" xfId="629"/>
    <cellStyle name="Check Cell" xfId="29" builtinId="23" customBuiltin="1"/>
    <cellStyle name="Check Cell 2" xfId="261"/>
    <cellStyle name="Check Cell 2 2 2 2" xfId="315"/>
    <cellStyle name="Comma" xfId="30" builtinId="3"/>
    <cellStyle name="Comma [0]7Z_87C" xfId="104"/>
    <cellStyle name="Comma 0" xfId="105"/>
    <cellStyle name="Comma 0 2" xfId="632"/>
    <cellStyle name="Comma 1" xfId="106"/>
    <cellStyle name="Comma 1 2" xfId="199"/>
    <cellStyle name="Comma 1 3" xfId="633"/>
    <cellStyle name="Comma 10" xfId="316"/>
    <cellStyle name="Comma 10 2" xfId="768"/>
    <cellStyle name="Comma 11" xfId="317"/>
    <cellStyle name="Comma 11 2" xfId="769"/>
    <cellStyle name="Comma 12" xfId="631"/>
    <cellStyle name="Comma 13" xfId="673"/>
    <cellStyle name="Comma 14" xfId="688"/>
    <cellStyle name="Comma 15" xfId="762"/>
    <cellStyle name="Comma 16" xfId="686"/>
    <cellStyle name="Comma 17" xfId="746"/>
    <cellStyle name="Comma 18" xfId="1035"/>
    <cellStyle name="Comma 19" xfId="1033"/>
    <cellStyle name="Comma 2" xfId="107"/>
    <cellStyle name="Comma 2 2" xfId="108"/>
    <cellStyle name="Comma 2 2 2" xfId="318"/>
    <cellStyle name="Comma 2 2 2 2" xfId="770"/>
    <cellStyle name="Comma 2 2 3" xfId="319"/>
    <cellStyle name="Comma 2 2 3 2" xfId="771"/>
    <cellStyle name="Comma 2 2 4" xfId="713"/>
    <cellStyle name="Comma 2 3" xfId="109"/>
    <cellStyle name="Comma 2 3 2" xfId="201"/>
    <cellStyle name="Comma 2 3 2 2" xfId="733"/>
    <cellStyle name="Comma 2 3 3" xfId="714"/>
    <cellStyle name="Comma 2 4" xfId="200"/>
    <cellStyle name="Comma 2 4 2" xfId="732"/>
    <cellStyle name="Comma 2 5" xfId="262"/>
    <cellStyle name="Comma 2 5 2" xfId="748"/>
    <cellStyle name="Comma 2 6" xfId="320"/>
    <cellStyle name="Comma 2 6 2" xfId="772"/>
    <cellStyle name="Comma 2 7" xfId="674"/>
    <cellStyle name="Comma 2 8" xfId="712"/>
    <cellStyle name="Comma 3" xfId="110"/>
    <cellStyle name="Comma 3 2" xfId="202"/>
    <cellStyle name="Comma 3 2 2" xfId="321"/>
    <cellStyle name="Comma 3 3" xfId="263"/>
    <cellStyle name="Comma 3 3 2" xfId="322"/>
    <cellStyle name="Comma 3 3 2 2" xfId="773"/>
    <cellStyle name="Comma 3 3 3" xfId="675"/>
    <cellStyle name="Comma 3 3 4" xfId="749"/>
    <cellStyle name="Comma 3 4" xfId="323"/>
    <cellStyle name="Comma 3 4 2" xfId="774"/>
    <cellStyle name="Comma 3 5" xfId="324"/>
    <cellStyle name="Comma 3 6" xfId="325"/>
    <cellStyle name="Comma 3 6 2" xfId="775"/>
    <cellStyle name="Comma 3 7" xfId="634"/>
    <cellStyle name="Comma 4" xfId="264"/>
    <cellStyle name="Comma 4 2" xfId="326"/>
    <cellStyle name="Comma 4 2 2" xfId="776"/>
    <cellStyle name="Comma 5" xfId="265"/>
    <cellStyle name="Comma 5 2" xfId="750"/>
    <cellStyle name="Comma 6" xfId="266"/>
    <cellStyle name="Comma 6 2" xfId="751"/>
    <cellStyle name="Comma 7" xfId="285"/>
    <cellStyle name="Comma 7 2" xfId="755"/>
    <cellStyle name="Comma 8" xfId="286"/>
    <cellStyle name="Comma 8 2" xfId="756"/>
    <cellStyle name="Comma 9" xfId="327"/>
    <cellStyle name="Comma 9 2" xfId="328"/>
    <cellStyle name="Comma 9 2 2" xfId="778"/>
    <cellStyle name="Comma 9 3" xfId="329"/>
    <cellStyle name="Comma 9 3 2" xfId="779"/>
    <cellStyle name="Comma 9 4" xfId="777"/>
    <cellStyle name="Comma0" xfId="111"/>
    <cellStyle name="Comma0 2" xfId="635"/>
    <cellStyle name="Currency" xfId="31" builtinId="4"/>
    <cellStyle name="Currency 11" xfId="112"/>
    <cellStyle name="Currency 11 2" xfId="203"/>
    <cellStyle name="Currency 11 2 2" xfId="734"/>
    <cellStyle name="Currency 11 3" xfId="715"/>
    <cellStyle name="Currency 2" xfId="113"/>
    <cellStyle name="Currency 2 2" xfId="204"/>
    <cellStyle name="Currency 2 2 2" xfId="735"/>
    <cellStyle name="Currency 2 3" xfId="330"/>
    <cellStyle name="Currency 2 3 2" xfId="780"/>
    <cellStyle name="Currency 2 4" xfId="716"/>
    <cellStyle name="Currency 3" xfId="114"/>
    <cellStyle name="Currency 3 2" xfId="205"/>
    <cellStyle name="Currency 3 2 2" xfId="736"/>
    <cellStyle name="Currency 3 3" xfId="676"/>
    <cellStyle name="Currency 3 4" xfId="717"/>
    <cellStyle name="Currency 4" xfId="115"/>
    <cellStyle name="Currency 4 2" xfId="206"/>
    <cellStyle name="Currency 4 2 2" xfId="737"/>
    <cellStyle name="Currency 4 3" xfId="718"/>
    <cellStyle name="Currency 5" xfId="331"/>
    <cellStyle name="Currency 5 2" xfId="781"/>
    <cellStyle name="Currency 6" xfId="332"/>
    <cellStyle name="Currency 6 2" xfId="333"/>
    <cellStyle name="Currency 6 2 2" xfId="783"/>
    <cellStyle name="Currency 6 3" xfId="334"/>
    <cellStyle name="Currency 6 3 2" xfId="784"/>
    <cellStyle name="Currency 6 4" xfId="782"/>
    <cellStyle name="Currency 7" xfId="335"/>
    <cellStyle name="Currency 7 2" xfId="785"/>
    <cellStyle name="Currency 8" xfId="636"/>
    <cellStyle name="Currency 9" xfId="689"/>
    <cellStyle name="D4_B8B1_005004B79812_.wvu.PrintTitlest" xfId="116"/>
    <cellStyle name="Date" xfId="117"/>
    <cellStyle name="Date 2" xfId="207"/>
    <cellStyle name="dms_Blue_HDR" xfId="304"/>
    <cellStyle name="Dollars" xfId="637"/>
    <cellStyle name="Dollars 2" xfId="677"/>
    <cellStyle name="Emphasis 1" xfId="118"/>
    <cellStyle name="Emphasis 2" xfId="119"/>
    <cellStyle name="Emphasis 3" xfId="120"/>
    <cellStyle name="Euro" xfId="121"/>
    <cellStyle name="Euro 2" xfId="638"/>
    <cellStyle name="Explanatory Text" xfId="32" builtinId="53" customBuiltin="1"/>
    <cellStyle name="Explanatory Text 2" xfId="267"/>
    <cellStyle name="Fixed" xfId="122"/>
    <cellStyle name="Fixed 2" xfId="208"/>
    <cellStyle name="Gilsans" xfId="123"/>
    <cellStyle name="Gilsans 2" xfId="639"/>
    <cellStyle name="Gilsansl" xfId="124"/>
    <cellStyle name="Gilsansl 2" xfId="640"/>
    <cellStyle name="Good" xfId="33" builtinId="26" customBuiltin="1"/>
    <cellStyle name="Good 2" xfId="268"/>
    <cellStyle name="Heading 1" xfId="34" builtinId="16" customBuiltin="1"/>
    <cellStyle name="Heading 1 2" xfId="125"/>
    <cellStyle name="Heading 1 2 2" xfId="269"/>
    <cellStyle name="Heading 1 3" xfId="126"/>
    <cellStyle name="Heading 1 4" xfId="642"/>
    <cellStyle name="Heading 2" xfId="35" builtinId="17" customBuiltin="1"/>
    <cellStyle name="Heading 2 2" xfId="127"/>
    <cellStyle name="Heading 2 2 2" xfId="270"/>
    <cellStyle name="Heading 2 3" xfId="128"/>
    <cellStyle name="Heading 2 4" xfId="643"/>
    <cellStyle name="Heading 3" xfId="36" builtinId="18" customBuiltin="1"/>
    <cellStyle name="Heading 3 2" xfId="73"/>
    <cellStyle name="Heading 3 2 10" xfId="757"/>
    <cellStyle name="Heading 3 2 2" xfId="271"/>
    <cellStyle name="Heading 3 2 2 2" xfId="336"/>
    <cellStyle name="Heading 3 2 2 2 2" xfId="337"/>
    <cellStyle name="Heading 3 2 2 2 2 2" xfId="338"/>
    <cellStyle name="Heading 3 2 2 2 2 2 2" xfId="788"/>
    <cellStyle name="Heading 3 2 2 2 2 2 3" xfId="700"/>
    <cellStyle name="Heading 3 2 2 2 2 2 4" xfId="743"/>
    <cellStyle name="Heading 3 2 2 2 2 3" xfId="339"/>
    <cellStyle name="Heading 3 2 2 2 2 3 2" xfId="789"/>
    <cellStyle name="Heading 3 2 2 2 2 3 3" xfId="699"/>
    <cellStyle name="Heading 3 2 2 2 2 3 4" xfId="1032"/>
    <cellStyle name="Heading 3 2 2 2 2 4" xfId="340"/>
    <cellStyle name="Heading 3 2 2 2 2 4 2" xfId="790"/>
    <cellStyle name="Heading 3 2 2 2 2 4 3" xfId="698"/>
    <cellStyle name="Heading 3 2 2 2 2 4 4" xfId="1031"/>
    <cellStyle name="Heading 3 2 2 2 2 5" xfId="787"/>
    <cellStyle name="Heading 3 2 2 2 2 6" xfId="701"/>
    <cellStyle name="Heading 3 2 2 2 2 7" xfId="990"/>
    <cellStyle name="Heading 3 2 2 2 3" xfId="341"/>
    <cellStyle name="Heading 3 2 2 2 3 2" xfId="791"/>
    <cellStyle name="Heading 3 2 2 2 3 3" xfId="693"/>
    <cellStyle name="Heading 3 2 2 2 3 4" xfId="758"/>
    <cellStyle name="Heading 3 2 2 2 4" xfId="342"/>
    <cellStyle name="Heading 3 2 2 2 4 2" xfId="792"/>
    <cellStyle name="Heading 3 2 2 2 4 3" xfId="697"/>
    <cellStyle name="Heading 3 2 2 2 4 4" xfId="880"/>
    <cellStyle name="Heading 3 2 2 2 5" xfId="343"/>
    <cellStyle name="Heading 3 2 2 2 5 2" xfId="793"/>
    <cellStyle name="Heading 3 2 2 2 5 3" xfId="696"/>
    <cellStyle name="Heading 3 2 2 2 5 4" xfId="1030"/>
    <cellStyle name="Heading 3 2 2 2 6" xfId="786"/>
    <cellStyle name="Heading 3 2 2 2 7" xfId="702"/>
    <cellStyle name="Heading 3 2 2 2 8" xfId="983"/>
    <cellStyle name="Heading 3 2 2 3" xfId="344"/>
    <cellStyle name="Heading 3 2 2 3 2" xfId="345"/>
    <cellStyle name="Heading 3 2 2 3 2 2" xfId="346"/>
    <cellStyle name="Heading 3 2 2 3 2 2 2" xfId="796"/>
    <cellStyle name="Heading 3 2 2 3 2 2 3" xfId="694"/>
    <cellStyle name="Heading 3 2 2 3 2 2 4" xfId="1027"/>
    <cellStyle name="Heading 3 2 2 3 2 3" xfId="347"/>
    <cellStyle name="Heading 3 2 2 3 2 3 2" xfId="797"/>
    <cellStyle name="Heading 3 2 2 3 2 3 3" xfId="692"/>
    <cellStyle name="Heading 3 2 2 3 2 3 4" xfId="901"/>
    <cellStyle name="Heading 3 2 2 3 2 4" xfId="348"/>
    <cellStyle name="Heading 3 2 2 3 2 4 2" xfId="798"/>
    <cellStyle name="Heading 3 2 2 3 2 4 3" xfId="685"/>
    <cellStyle name="Heading 3 2 2 3 2 4 4" xfId="991"/>
    <cellStyle name="Heading 3 2 2 3 2 5" xfId="795"/>
    <cellStyle name="Heading 3 2 2 3 2 6" xfId="764"/>
    <cellStyle name="Heading 3 2 2 3 2 7" xfId="1028"/>
    <cellStyle name="Heading 3 2 2 3 3" xfId="349"/>
    <cellStyle name="Heading 3 2 2 3 3 2" xfId="799"/>
    <cellStyle name="Heading 3 2 2 3 3 3" xfId="994"/>
    <cellStyle name="Heading 3 2 2 3 3 4" xfId="903"/>
    <cellStyle name="Heading 3 2 2 3 4" xfId="350"/>
    <cellStyle name="Heading 3 2 2 3 4 2" xfId="800"/>
    <cellStyle name="Heading 3 2 2 3 4 3" xfId="995"/>
    <cellStyle name="Heading 3 2 2 3 4 4" xfId="723"/>
    <cellStyle name="Heading 3 2 2 3 5" xfId="351"/>
    <cellStyle name="Heading 3 2 2 3 5 2" xfId="801"/>
    <cellStyle name="Heading 3 2 2 3 5 3" xfId="996"/>
    <cellStyle name="Heading 3 2 2 3 5 4" xfId="706"/>
    <cellStyle name="Heading 3 2 2 3 6" xfId="794"/>
    <cellStyle name="Heading 3 2 2 3 7" xfId="695"/>
    <cellStyle name="Heading 3 2 2 3 8" xfId="1029"/>
    <cellStyle name="Heading 3 2 2 4" xfId="352"/>
    <cellStyle name="Heading 3 2 2 4 2" xfId="353"/>
    <cellStyle name="Heading 3 2 2 4 2 2" xfId="803"/>
    <cellStyle name="Heading 3 2 2 4 2 3" xfId="998"/>
    <cellStyle name="Heading 3 2 2 4 2 4" xfId="992"/>
    <cellStyle name="Heading 3 2 2 4 3" xfId="354"/>
    <cellStyle name="Heading 3 2 2 4 3 2" xfId="804"/>
    <cellStyle name="Heading 3 2 2 4 3 3" xfId="999"/>
    <cellStyle name="Heading 3 2 2 4 3 4" xfId="904"/>
    <cellStyle name="Heading 3 2 2 4 4" xfId="355"/>
    <cellStyle name="Heading 3 2 2 4 4 2" xfId="805"/>
    <cellStyle name="Heading 3 2 2 4 4 3" xfId="1000"/>
    <cellStyle name="Heading 3 2 2 4 4 4" xfId="905"/>
    <cellStyle name="Heading 3 2 2 4 5" xfId="802"/>
    <cellStyle name="Heading 3 2 2 4 6" xfId="997"/>
    <cellStyle name="Heading 3 2 2 4 7" xfId="740"/>
    <cellStyle name="Heading 3 2 2 5" xfId="356"/>
    <cellStyle name="Heading 3 2 2 5 2" xfId="357"/>
    <cellStyle name="Heading 3 2 2 5 2 2" xfId="807"/>
    <cellStyle name="Heading 3 2 2 5 2 3" xfId="1002"/>
    <cellStyle name="Heading 3 2 2 5 2 4" xfId="708"/>
    <cellStyle name="Heading 3 2 2 5 3" xfId="358"/>
    <cellStyle name="Heading 3 2 2 5 3 2" xfId="808"/>
    <cellStyle name="Heading 3 2 2 5 3 3" xfId="1003"/>
    <cellStyle name="Heading 3 2 2 5 3 4" xfId="907"/>
    <cellStyle name="Heading 3 2 2 5 4" xfId="806"/>
    <cellStyle name="Heading 3 2 2 5 5" xfId="1001"/>
    <cellStyle name="Heading 3 2 2 5 6" xfId="906"/>
    <cellStyle name="Heading 3 2 2 6" xfId="752"/>
    <cellStyle name="Heading 3 2 2 7" xfId="707"/>
    <cellStyle name="Heading 3 2 2 8" xfId="1036"/>
    <cellStyle name="Heading 3 2 3" xfId="129"/>
    <cellStyle name="Heading 3 2 4" xfId="359"/>
    <cellStyle name="Heading 3 2 4 2" xfId="360"/>
    <cellStyle name="Heading 3 2 4 2 2" xfId="361"/>
    <cellStyle name="Heading 3 2 4 2 2 2" xfId="811"/>
    <cellStyle name="Heading 3 2 4 2 2 3" xfId="1006"/>
    <cellStyle name="Heading 3 2 4 2 2 4" xfId="747"/>
    <cellStyle name="Heading 3 2 4 2 3" xfId="362"/>
    <cellStyle name="Heading 3 2 4 2 3 2" xfId="812"/>
    <cellStyle name="Heading 3 2 4 2 3 3" xfId="1007"/>
    <cellStyle name="Heading 3 2 4 2 3 4" xfId="911"/>
    <cellStyle name="Heading 3 2 4 2 4" xfId="363"/>
    <cellStyle name="Heading 3 2 4 2 4 2" xfId="813"/>
    <cellStyle name="Heading 3 2 4 2 4 3" xfId="1008"/>
    <cellStyle name="Heading 3 2 4 2 4 4" xfId="728"/>
    <cellStyle name="Heading 3 2 4 2 5" xfId="810"/>
    <cellStyle name="Heading 3 2 4 2 6" xfId="1005"/>
    <cellStyle name="Heading 3 2 4 2 7" xfId="759"/>
    <cellStyle name="Heading 3 2 4 3" xfId="364"/>
    <cellStyle name="Heading 3 2 4 3 2" xfId="814"/>
    <cellStyle name="Heading 3 2 4 3 3" xfId="1009"/>
    <cellStyle name="Heading 3 2 4 3 4" xfId="687"/>
    <cellStyle name="Heading 3 2 4 4" xfId="365"/>
    <cellStyle name="Heading 3 2 4 4 2" xfId="815"/>
    <cellStyle name="Heading 3 2 4 4 3" xfId="1010"/>
    <cellStyle name="Heading 3 2 4 4 4" xfId="729"/>
    <cellStyle name="Heading 3 2 4 5" xfId="366"/>
    <cellStyle name="Heading 3 2 4 5 2" xfId="816"/>
    <cellStyle name="Heading 3 2 4 5 3" xfId="1011"/>
    <cellStyle name="Heading 3 2 4 5 4" xfId="912"/>
    <cellStyle name="Heading 3 2 4 6" xfId="809"/>
    <cellStyle name="Heading 3 2 4 7" xfId="1004"/>
    <cellStyle name="Heading 3 2 4 8" xfId="761"/>
    <cellStyle name="Heading 3 2 5" xfId="367"/>
    <cellStyle name="Heading 3 2 5 2" xfId="368"/>
    <cellStyle name="Heading 3 2 5 2 2" xfId="369"/>
    <cellStyle name="Heading 3 2 5 2 2 2" xfId="819"/>
    <cellStyle name="Heading 3 2 5 2 2 3" xfId="1014"/>
    <cellStyle name="Heading 3 2 5 2 2 4" xfId="724"/>
    <cellStyle name="Heading 3 2 5 2 3" xfId="370"/>
    <cellStyle name="Heading 3 2 5 2 3 2" xfId="820"/>
    <cellStyle name="Heading 3 2 5 2 3 3" xfId="1015"/>
    <cellStyle name="Heading 3 2 5 2 3 4" xfId="709"/>
    <cellStyle name="Heading 3 2 5 2 4" xfId="371"/>
    <cellStyle name="Heading 3 2 5 2 4 2" xfId="821"/>
    <cellStyle name="Heading 3 2 5 2 4 3" xfId="1016"/>
    <cellStyle name="Heading 3 2 5 2 4 4" xfId="730"/>
    <cellStyle name="Heading 3 2 5 2 5" xfId="818"/>
    <cellStyle name="Heading 3 2 5 2 6" xfId="1013"/>
    <cellStyle name="Heading 3 2 5 2 7" xfId="719"/>
    <cellStyle name="Heading 3 2 5 3" xfId="372"/>
    <cellStyle name="Heading 3 2 5 3 2" xfId="822"/>
    <cellStyle name="Heading 3 2 5 3 3" xfId="1017"/>
    <cellStyle name="Heading 3 2 5 3 4" xfId="741"/>
    <cellStyle name="Heading 3 2 5 4" xfId="373"/>
    <cellStyle name="Heading 3 2 5 4 2" xfId="823"/>
    <cellStyle name="Heading 3 2 5 4 3" xfId="1018"/>
    <cellStyle name="Heading 3 2 5 4 4" xfId="760"/>
    <cellStyle name="Heading 3 2 5 5" xfId="374"/>
    <cellStyle name="Heading 3 2 5 5 2" xfId="824"/>
    <cellStyle name="Heading 3 2 5 5 3" xfId="1019"/>
    <cellStyle name="Heading 3 2 5 5 4" xfId="725"/>
    <cellStyle name="Heading 3 2 5 6" xfId="817"/>
    <cellStyle name="Heading 3 2 5 7" xfId="1012"/>
    <cellStyle name="Heading 3 2 5 8" xfId="915"/>
    <cellStyle name="Heading 3 2 6" xfId="375"/>
    <cellStyle name="Heading 3 2 6 2" xfId="376"/>
    <cellStyle name="Heading 3 2 6 2 2" xfId="826"/>
    <cellStyle name="Heading 3 2 6 2 3" xfId="1021"/>
    <cellStyle name="Heading 3 2 6 2 4" xfId="744"/>
    <cellStyle name="Heading 3 2 6 3" xfId="377"/>
    <cellStyle name="Heading 3 2 6 3 2" xfId="827"/>
    <cellStyle name="Heading 3 2 6 3 3" xfId="1022"/>
    <cellStyle name="Heading 3 2 6 3 4" xfId="691"/>
    <cellStyle name="Heading 3 2 6 4" xfId="378"/>
    <cellStyle name="Heading 3 2 6 4 2" xfId="828"/>
    <cellStyle name="Heading 3 2 6 4 3" xfId="1023"/>
    <cellStyle name="Heading 3 2 6 4 4" xfId="934"/>
    <cellStyle name="Heading 3 2 6 5" xfId="825"/>
    <cellStyle name="Heading 3 2 6 6" xfId="1020"/>
    <cellStyle name="Heading 3 2 6 7" xfId="742"/>
    <cellStyle name="Heading 3 2 7" xfId="379"/>
    <cellStyle name="Heading 3 2 7 2" xfId="380"/>
    <cellStyle name="Heading 3 2 7 2 2" xfId="830"/>
    <cellStyle name="Heading 3 2 7 2 3" xfId="1025"/>
    <cellStyle name="Heading 3 2 7 2 4" xfId="703"/>
    <cellStyle name="Heading 3 2 7 3" xfId="381"/>
    <cellStyle name="Heading 3 2 7 3 2" xfId="831"/>
    <cellStyle name="Heading 3 2 7 3 3" xfId="1026"/>
    <cellStyle name="Heading 3 2 7 3 4" xfId="704"/>
    <cellStyle name="Heading 3 2 7 4" xfId="829"/>
    <cellStyle name="Heading 3 2 7 5" xfId="1024"/>
    <cellStyle name="Heading 3 2 7 6" xfId="935"/>
    <cellStyle name="Heading 3 2 8" xfId="705"/>
    <cellStyle name="Heading 3 2 9" xfId="726"/>
    <cellStyle name="Heading 3 3" xfId="130"/>
    <cellStyle name="Heading 3 4" xfId="644"/>
    <cellStyle name="Heading 3 5" xfId="690"/>
    <cellStyle name="Heading 3 6" xfId="993"/>
    <cellStyle name="Heading 3 7" xfId="1046"/>
    <cellStyle name="Heading 3 8" xfId="1039"/>
    <cellStyle name="Heading 4" xfId="37" builtinId="19" customBuiltin="1"/>
    <cellStyle name="Heading 4 2" xfId="131"/>
    <cellStyle name="Heading 4 2 2" xfId="272"/>
    <cellStyle name="Heading 4 3" xfId="132"/>
    <cellStyle name="Heading 4 4" xfId="645"/>
    <cellStyle name="Heading(4)" xfId="133"/>
    <cellStyle name="Hyperlink" xfId="38" builtinId="8"/>
    <cellStyle name="Hyperlink 2" xfId="134"/>
    <cellStyle name="Hyperlink 2 2" xfId="382"/>
    <cellStyle name="Hyperlink 2 3" xfId="383"/>
    <cellStyle name="Hyperlink 3" xfId="384"/>
    <cellStyle name="Hyperlink 4" xfId="385"/>
    <cellStyle name="Hyperlink Arrow" xfId="135"/>
    <cellStyle name="Hyperlink Text" xfId="136"/>
    <cellStyle name="import" xfId="386"/>
    <cellStyle name="import%" xfId="387"/>
    <cellStyle name="import_ICRC Electricity model 1-1  (1 Feb 2003) " xfId="51"/>
    <cellStyle name="Input" xfId="39" builtinId="20" customBuiltin="1"/>
    <cellStyle name="Input 2" xfId="74"/>
    <cellStyle name="Input 2 2" xfId="388"/>
    <cellStyle name="Input 2 3" xfId="389"/>
    <cellStyle name="Input1" xfId="137"/>
    <cellStyle name="Input1 2" xfId="209"/>
    <cellStyle name="Input1 2 2" xfId="390"/>
    <cellStyle name="Input1 2 2 2" xfId="832"/>
    <cellStyle name="Input1 2 3" xfId="738"/>
    <cellStyle name="Input1 3" xfId="391"/>
    <cellStyle name="Input1 3 2" xfId="392"/>
    <cellStyle name="Input1 3 2 2" xfId="834"/>
    <cellStyle name="Input1 3 3" xfId="833"/>
    <cellStyle name="Input1 4" xfId="393"/>
    <cellStyle name="Input1 4 2" xfId="835"/>
    <cellStyle name="Input1 5" xfId="394"/>
    <cellStyle name="Input1 5 2" xfId="836"/>
    <cellStyle name="Input1 6" xfId="720"/>
    <cellStyle name="Input1%" xfId="395"/>
    <cellStyle name="Input1_ICRC Electricity model 1-1  (1 Feb 2003) " xfId="52"/>
    <cellStyle name="Input1default" xfId="396"/>
    <cellStyle name="Input1default%" xfId="397"/>
    <cellStyle name="Input2" xfId="138"/>
    <cellStyle name="Input2 2" xfId="210"/>
    <cellStyle name="Input2 3" xfId="398"/>
    <cellStyle name="Input3" xfId="139"/>
    <cellStyle name="Input3 2" xfId="211"/>
    <cellStyle name="Input3 2 2" xfId="739"/>
    <cellStyle name="Input3 3" xfId="399"/>
    <cellStyle name="Input3 3 2" xfId="837"/>
    <cellStyle name="Input3 4" xfId="721"/>
    <cellStyle name="InputCell" xfId="400"/>
    <cellStyle name="InputCell 2" xfId="401"/>
    <cellStyle name="InputCell 2 2" xfId="839"/>
    <cellStyle name="InputCell 3" xfId="402"/>
    <cellStyle name="InputCell 3 2" xfId="840"/>
    <cellStyle name="InputCell 4" xfId="838"/>
    <cellStyle name="InputCellText" xfId="403"/>
    <cellStyle name="InputCellText 2" xfId="404"/>
    <cellStyle name="InputCellText 2 2" xfId="842"/>
    <cellStyle name="InputCellText 3" xfId="405"/>
    <cellStyle name="InputCellText 3 2" xfId="843"/>
    <cellStyle name="InputCellText 4" xfId="841"/>
    <cellStyle name="key result" xfId="406"/>
    <cellStyle name="Lines" xfId="140"/>
    <cellStyle name="Linked Cell" xfId="40" builtinId="24" customBuiltin="1"/>
    <cellStyle name="Linked Cell 2" xfId="273"/>
    <cellStyle name="Local import" xfId="407"/>
    <cellStyle name="Local import %" xfId="408"/>
    <cellStyle name="Mine" xfId="141"/>
    <cellStyle name="Mine 2" xfId="647"/>
    <cellStyle name="Model Name" xfId="142"/>
    <cellStyle name="Neutral" xfId="41" builtinId="28" customBuiltin="1"/>
    <cellStyle name="Neutral 2" xfId="274"/>
    <cellStyle name="NonInputCell" xfId="409"/>
    <cellStyle name="NonInputCell 2" xfId="410"/>
    <cellStyle name="NonInputCell 2 2" xfId="845"/>
    <cellStyle name="NonInputCell 3" xfId="411"/>
    <cellStyle name="NonInputCell 3 2" xfId="846"/>
    <cellStyle name="NonInputCell 4" xfId="844"/>
    <cellStyle name="Normal" xfId="0" builtinId="0"/>
    <cellStyle name="Normal - Style1" xfId="143"/>
    <cellStyle name="Normal 10" xfId="305"/>
    <cellStyle name="Normal 10 2" xfId="412"/>
    <cellStyle name="Normal 11" xfId="306"/>
    <cellStyle name="Normal 11 2" xfId="413"/>
    <cellStyle name="Normal 11 3" xfId="414"/>
    <cellStyle name="Normal 11 4" xfId="415"/>
    <cellStyle name="Normal 11 4 2" xfId="847"/>
    <cellStyle name="Normal 11 5" xfId="763"/>
    <cellStyle name="Normal 114" xfId="307"/>
    <cellStyle name="Normal 114 2" xfId="416"/>
    <cellStyle name="Normal 12" xfId="417"/>
    <cellStyle name="Normal 12 2" xfId="418"/>
    <cellStyle name="Normal 13" xfId="144"/>
    <cellStyle name="Normal 13 2" xfId="212"/>
    <cellStyle name="Normal 13_29(d) - Gas extensions -tariffs" xfId="291"/>
    <cellStyle name="Normal 14" xfId="419"/>
    <cellStyle name="Normal 14 2" xfId="420"/>
    <cellStyle name="Normal 14 3" xfId="421"/>
    <cellStyle name="Normal 14 3 2" xfId="422"/>
    <cellStyle name="Normal 14 3 2 2" xfId="851"/>
    <cellStyle name="Normal 14 3 3" xfId="423"/>
    <cellStyle name="Normal 14 3 3 2" xfId="852"/>
    <cellStyle name="Normal 14 3 4" xfId="850"/>
    <cellStyle name="Normal 14 4" xfId="424"/>
    <cellStyle name="Normal 14 4 2" xfId="853"/>
    <cellStyle name="Normal 14 5" xfId="425"/>
    <cellStyle name="Normal 14 6" xfId="849"/>
    <cellStyle name="Normal 15" xfId="287"/>
    <cellStyle name="Normal 15 2" xfId="426"/>
    <cellStyle name="Normal 16" xfId="288"/>
    <cellStyle name="Normal 16 2" xfId="427"/>
    <cellStyle name="Normal 17" xfId="428"/>
    <cellStyle name="Normal 17 2" xfId="429"/>
    <cellStyle name="Normal 17 2 2" xfId="430"/>
    <cellStyle name="Normal 17 2 2 2" xfId="431"/>
    <cellStyle name="Normal 17 2 2 2 2" xfId="857"/>
    <cellStyle name="Normal 17 2 2 3" xfId="432"/>
    <cellStyle name="Normal 17 2 2 3 2" xfId="858"/>
    <cellStyle name="Normal 17 2 2 4" xfId="856"/>
    <cellStyle name="Normal 17 2 3" xfId="433"/>
    <cellStyle name="Normal 17 2 3 2" xfId="859"/>
    <cellStyle name="Normal 17 2 4" xfId="434"/>
    <cellStyle name="Normal 17 2 4 2" xfId="860"/>
    <cellStyle name="Normal 17 2 5" xfId="855"/>
    <cellStyle name="Normal 17 3" xfId="435"/>
    <cellStyle name="Normal 17 3 2" xfId="436"/>
    <cellStyle name="Normal 17 3 2 2" xfId="437"/>
    <cellStyle name="Normal 17 3 2 2 2" xfId="863"/>
    <cellStyle name="Normal 17 3 2 3" xfId="438"/>
    <cellStyle name="Normal 17 3 2 3 2" xfId="864"/>
    <cellStyle name="Normal 17 3 2 4" xfId="862"/>
    <cellStyle name="Normal 17 3 3" xfId="439"/>
    <cellStyle name="Normal 17 3 3 2" xfId="865"/>
    <cellStyle name="Normal 17 3 4" xfId="440"/>
    <cellStyle name="Normal 17 3 4 2" xfId="866"/>
    <cellStyle name="Normal 17 3 5" xfId="861"/>
    <cellStyle name="Normal 17 4" xfId="441"/>
    <cellStyle name="Normal 17 4 2" xfId="442"/>
    <cellStyle name="Normal 17 4 2 2" xfId="868"/>
    <cellStyle name="Normal 17 4 3" xfId="443"/>
    <cellStyle name="Normal 17 4 3 2" xfId="869"/>
    <cellStyle name="Normal 17 4 4" xfId="867"/>
    <cellStyle name="Normal 17 5" xfId="444"/>
    <cellStyle name="Normal 17 5 2" xfId="870"/>
    <cellStyle name="Normal 17 6" xfId="445"/>
    <cellStyle name="Normal 17 6 2" xfId="871"/>
    <cellStyle name="Normal 17 7" xfId="854"/>
    <cellStyle name="Normal 18" xfId="446"/>
    <cellStyle name="Normal 18 2" xfId="447"/>
    <cellStyle name="Normal 19" xfId="448"/>
    <cellStyle name="Normal 2" xfId="24"/>
    <cellStyle name="Normal 2 2" xfId="145"/>
    <cellStyle name="Normal 2 2 2" xfId="275"/>
    <cellStyle name="Normal 2 2 3" xfId="449"/>
    <cellStyle name="Normal 2 2 4" xfId="450"/>
    <cellStyle name="Normal 2 2 5" xfId="451"/>
    <cellStyle name="Normal 2 3" xfId="146"/>
    <cellStyle name="Normal 2 3 2" xfId="214"/>
    <cellStyle name="Normal 2 3_29(d) - Gas extensions -tariffs" xfId="293"/>
    <cellStyle name="Normal 2 4" xfId="213"/>
    <cellStyle name="Normal 2 4 2" xfId="452"/>
    <cellStyle name="Normal 2 4 3" xfId="453"/>
    <cellStyle name="Normal 2 5" xfId="276"/>
    <cellStyle name="Normal 2 6" xfId="678"/>
    <cellStyle name="Normal 2_29(d) - Gas extensions -tariffs" xfId="292"/>
    <cellStyle name="Normal 20" xfId="454"/>
    <cellStyle name="Normal 20 2" xfId="455"/>
    <cellStyle name="Normal 20 2 2" xfId="456"/>
    <cellStyle name="Normal 20 2 2 2" xfId="874"/>
    <cellStyle name="Normal 20 2 3" xfId="873"/>
    <cellStyle name="Normal 20 3" xfId="457"/>
    <cellStyle name="Normal 20 3 2" xfId="875"/>
    <cellStyle name="Normal 20 4" xfId="458"/>
    <cellStyle name="Normal 20 4 2" xfId="876"/>
    <cellStyle name="Normal 20 5" xfId="872"/>
    <cellStyle name="Normal 21" xfId="459"/>
    <cellStyle name="Normal 21 2" xfId="460"/>
    <cellStyle name="Normal 21 2 2" xfId="878"/>
    <cellStyle name="Normal 21 3" xfId="461"/>
    <cellStyle name="Normal 21 3 2" xfId="879"/>
    <cellStyle name="Normal 21 4" xfId="877"/>
    <cellStyle name="Normal 22" xfId="462"/>
    <cellStyle name="Normal 23" xfId="463"/>
    <cellStyle name="Normal 23 2" xfId="464"/>
    <cellStyle name="Normal 23 2 2" xfId="465"/>
    <cellStyle name="Normal 23 2 2 2" xfId="883"/>
    <cellStyle name="Normal 23 2 3" xfId="882"/>
    <cellStyle name="Normal 23 3" xfId="466"/>
    <cellStyle name="Normal 23 3 2" xfId="884"/>
    <cellStyle name="Normal 23 4" xfId="467"/>
    <cellStyle name="Normal 23 4 2" xfId="885"/>
    <cellStyle name="Normal 23 5" xfId="881"/>
    <cellStyle name="Normal 24" xfId="468"/>
    <cellStyle name="Normal 24 2" xfId="469"/>
    <cellStyle name="Normal 24 2 2" xfId="470"/>
    <cellStyle name="Normal 24 2 2 2" xfId="888"/>
    <cellStyle name="Normal 24 2 3" xfId="887"/>
    <cellStyle name="Normal 24 3" xfId="471"/>
    <cellStyle name="Normal 24 3 2" xfId="889"/>
    <cellStyle name="Normal 24 4" xfId="472"/>
    <cellStyle name="Normal 24 4 2" xfId="890"/>
    <cellStyle name="Normal 24 5" xfId="886"/>
    <cellStyle name="Normal 25" xfId="473"/>
    <cellStyle name="Normal 25 2" xfId="474"/>
    <cellStyle name="Normal 25 2 2" xfId="475"/>
    <cellStyle name="Normal 25 2 2 2" xfId="893"/>
    <cellStyle name="Normal 25 2 3" xfId="892"/>
    <cellStyle name="Normal 25 3" xfId="476"/>
    <cellStyle name="Normal 25 3 2" xfId="894"/>
    <cellStyle name="Normal 25 4" xfId="477"/>
    <cellStyle name="Normal 25 4 2" xfId="895"/>
    <cellStyle name="Normal 25 5" xfId="891"/>
    <cellStyle name="Normal 26" xfId="478"/>
    <cellStyle name="Normal 26 2" xfId="479"/>
    <cellStyle name="Normal 26 2 2" xfId="480"/>
    <cellStyle name="Normal 26 2 2 2" xfId="898"/>
    <cellStyle name="Normal 26 2 3" xfId="897"/>
    <cellStyle name="Normal 26 3" xfId="481"/>
    <cellStyle name="Normal 26 3 2" xfId="899"/>
    <cellStyle name="Normal 26 4" xfId="482"/>
    <cellStyle name="Normal 26 4 2" xfId="900"/>
    <cellStyle name="Normal 26 5" xfId="896"/>
    <cellStyle name="Normal 27" xfId="483"/>
    <cellStyle name="Normal 28" xfId="484"/>
    <cellStyle name="Normal 28 2" xfId="902"/>
    <cellStyle name="Normal 29" xfId="485"/>
    <cellStyle name="Normal 3" xfId="147"/>
    <cellStyle name="Normal 3 2" xfId="215"/>
    <cellStyle name="Normal 3 3" xfId="486"/>
    <cellStyle name="Normal 3 3 2" xfId="487"/>
    <cellStyle name="Normal 3 3 3" xfId="488"/>
    <cellStyle name="Normal 3 4" xfId="489"/>
    <cellStyle name="Normal 3 5" xfId="490"/>
    <cellStyle name="Normal 3 5 2" xfId="491"/>
    <cellStyle name="Normal 3 5 2 2" xfId="909"/>
    <cellStyle name="Normal 3 5 3" xfId="492"/>
    <cellStyle name="Normal 3 5 3 2" xfId="910"/>
    <cellStyle name="Normal 3 5 4" xfId="908"/>
    <cellStyle name="Normal 3_29(d) - Gas extensions -tariffs" xfId="294"/>
    <cellStyle name="Normal 30" xfId="493"/>
    <cellStyle name="Normal 31" xfId="494"/>
    <cellStyle name="Normal 32" xfId="495"/>
    <cellStyle name="Normal 32 2" xfId="913"/>
    <cellStyle name="Normal 33" xfId="496"/>
    <cellStyle name="Normal 33 2" xfId="914"/>
    <cellStyle name="Normal 34" xfId="497"/>
    <cellStyle name="Normal 35" xfId="598"/>
    <cellStyle name="Normal 36" xfId="599"/>
    <cellStyle name="Normal 37" xfId="684"/>
    <cellStyle name="Normal 38" xfId="148"/>
    <cellStyle name="Normal 38 2" xfId="216"/>
    <cellStyle name="Normal 38_29(d) - Gas extensions -tariffs" xfId="295"/>
    <cellStyle name="Normal 4" xfId="149"/>
    <cellStyle name="Normal 4 2" xfId="217"/>
    <cellStyle name="Normal 4 2 2" xfId="498"/>
    <cellStyle name="Normal 4 2 2 2" xfId="499"/>
    <cellStyle name="Normal 4 2 2 2 2" xfId="500"/>
    <cellStyle name="Normal 4 2 2 2 2 2" xfId="918"/>
    <cellStyle name="Normal 4 2 2 2 3" xfId="501"/>
    <cellStyle name="Normal 4 2 2 2 3 2" xfId="919"/>
    <cellStyle name="Normal 4 2 2 2 4" xfId="917"/>
    <cellStyle name="Normal 4 2 2 3" xfId="502"/>
    <cellStyle name="Normal 4 2 2 3 2" xfId="920"/>
    <cellStyle name="Normal 4 2 2 4" xfId="503"/>
    <cellStyle name="Normal 4 2 2 4 2" xfId="921"/>
    <cellStyle name="Normal 4 2 2 5" xfId="916"/>
    <cellStyle name="Normal 4 2 3" xfId="504"/>
    <cellStyle name="Normal 4 2 3 2" xfId="505"/>
    <cellStyle name="Normal 4 2 3 2 2" xfId="506"/>
    <cellStyle name="Normal 4 2 3 2 2 2" xfId="924"/>
    <cellStyle name="Normal 4 2 3 2 3" xfId="507"/>
    <cellStyle name="Normal 4 2 3 2 3 2" xfId="925"/>
    <cellStyle name="Normal 4 2 3 2 4" xfId="923"/>
    <cellStyle name="Normal 4 2 3 3" xfId="508"/>
    <cellStyle name="Normal 4 2 3 3 2" xfId="926"/>
    <cellStyle name="Normal 4 2 3 4" xfId="509"/>
    <cellStyle name="Normal 4 2 3 4 2" xfId="927"/>
    <cellStyle name="Normal 4 2 3 5" xfId="922"/>
    <cellStyle name="Normal 4 3" xfId="277"/>
    <cellStyle name="Normal 4 3 2" xfId="510"/>
    <cellStyle name="Normal 4 3 2 2" xfId="511"/>
    <cellStyle name="Normal 4 3 2 2 2" xfId="929"/>
    <cellStyle name="Normal 4 3 2 3" xfId="512"/>
    <cellStyle name="Normal 4 3 2 3 2" xfId="930"/>
    <cellStyle name="Normal 4 3 2 4" xfId="928"/>
    <cellStyle name="Normal 4 3 3" xfId="513"/>
    <cellStyle name="Normal 4 3 3 2" xfId="514"/>
    <cellStyle name="Normal 4 3 3 2 2" xfId="932"/>
    <cellStyle name="Normal 4 3 3 3" xfId="931"/>
    <cellStyle name="Normal 4 3 4" xfId="515"/>
    <cellStyle name="Normal 4 3 4 2" xfId="933"/>
    <cellStyle name="Normal 4 3 5" xfId="753"/>
    <cellStyle name="Normal 4 4" xfId="516"/>
    <cellStyle name="Normal 4 5" xfId="517"/>
    <cellStyle name="Normal 4 6" xfId="518"/>
    <cellStyle name="Normal 4 6 2" xfId="936"/>
    <cellStyle name="Normal 4_29(d) - Gas extensions -tariffs" xfId="296"/>
    <cellStyle name="Normal 40" xfId="150"/>
    <cellStyle name="Normal 40 2" xfId="218"/>
    <cellStyle name="Normal 40_29(d) - Gas extensions -tariffs" xfId="297"/>
    <cellStyle name="Normal 5" xfId="151"/>
    <cellStyle name="Normal 5 2" xfId="278"/>
    <cellStyle name="Normal 5 3" xfId="519"/>
    <cellStyle name="Normal 6" xfId="152"/>
    <cellStyle name="Normal 6 2" xfId="279"/>
    <cellStyle name="Normal 6 2 2" xfId="520"/>
    <cellStyle name="Normal 7" xfId="196"/>
    <cellStyle name="Normal 7 2" xfId="280"/>
    <cellStyle name="Normal 7 2 2" xfId="521"/>
    <cellStyle name="Normal 7 2 2 2" xfId="522"/>
    <cellStyle name="Normal 7 2 2 2 2" xfId="938"/>
    <cellStyle name="Normal 7 2 2 3" xfId="523"/>
    <cellStyle name="Normal 7 2 2 3 2" xfId="939"/>
    <cellStyle name="Normal 7 2 2 4" xfId="937"/>
    <cellStyle name="Normal 7 2 3" xfId="524"/>
    <cellStyle name="Normal 7 2 3 2" xfId="940"/>
    <cellStyle name="Normal 7 2 4" xfId="525"/>
    <cellStyle name="Normal 7 2 4 2" xfId="941"/>
    <cellStyle name="Normal 7 2 5" xfId="754"/>
    <cellStyle name="Normal 8" xfId="233"/>
    <cellStyle name="Normal 8 2" xfId="526"/>
    <cellStyle name="Normal 8 2 2" xfId="527"/>
    <cellStyle name="Normal 8 2 3" xfId="528"/>
    <cellStyle name="Normal 8 2 3 2" xfId="529"/>
    <cellStyle name="Normal 8 2 3 2 2" xfId="944"/>
    <cellStyle name="Normal 8 2 3 3" xfId="530"/>
    <cellStyle name="Normal 8 2 3 3 2" xfId="945"/>
    <cellStyle name="Normal 8 2 3 4" xfId="943"/>
    <cellStyle name="Normal 8 2 4" xfId="531"/>
    <cellStyle name="Normal 8 2 4 2" xfId="946"/>
    <cellStyle name="Normal 8 2 5" xfId="942"/>
    <cellStyle name="Normal 9" xfId="281"/>
    <cellStyle name="Normal 9 2" xfId="532"/>
    <cellStyle name="Normal_2010 06 22 - IE - Scheme Template for data collection 2" xfId="308"/>
    <cellStyle name="Normal_2010 07 28 - AA - Template for data collection 2" xfId="533"/>
    <cellStyle name="Note" xfId="42" builtinId="10" customBuiltin="1"/>
    <cellStyle name="Note 2" xfId="75"/>
    <cellStyle name="Note 2 2" xfId="534"/>
    <cellStyle name="Note 2 3" xfId="535"/>
    <cellStyle name="Note 3" xfId="536"/>
    <cellStyle name="Note 3 2" xfId="537"/>
    <cellStyle name="Note 3 3" xfId="538"/>
    <cellStyle name="Note 4" xfId="539"/>
    <cellStyle name="Note 4 2" xfId="540"/>
    <cellStyle name="Note 4 3" xfId="541"/>
    <cellStyle name="Note 5" xfId="648"/>
    <cellStyle name="Note 6" xfId="679"/>
    <cellStyle name="Output" xfId="43" builtinId="21" customBuiltin="1"/>
    <cellStyle name="Output 2" xfId="76"/>
    <cellStyle name="Output 2 2" xfId="542"/>
    <cellStyle name="Output 2 3" xfId="543"/>
    <cellStyle name="Output 3" xfId="649"/>
    <cellStyle name="Percent" xfId="44" builtinId="5"/>
    <cellStyle name="Percent [2]" xfId="153"/>
    <cellStyle name="Percent [2] 2" xfId="219"/>
    <cellStyle name="Percent [2] 3" xfId="651"/>
    <cellStyle name="Percent [2]_29(d) - Gas extensions -tariffs" xfId="298"/>
    <cellStyle name="Percent 10" xfId="680"/>
    <cellStyle name="Percent 12" xfId="544"/>
    <cellStyle name="Percent 12 2" xfId="545"/>
    <cellStyle name="Percent 12 2 2" xfId="546"/>
    <cellStyle name="Percent 12 2 2 2" xfId="949"/>
    <cellStyle name="Percent 12 2 3" xfId="948"/>
    <cellStyle name="Percent 12 3" xfId="547"/>
    <cellStyle name="Percent 12 3 2" xfId="950"/>
    <cellStyle name="Percent 12 4" xfId="548"/>
    <cellStyle name="Percent 12 4 2" xfId="951"/>
    <cellStyle name="Percent 12 5" xfId="947"/>
    <cellStyle name="Percent 2" xfId="154"/>
    <cellStyle name="Percent 2 2" xfId="220"/>
    <cellStyle name="Percent 2 2 2" xfId="549"/>
    <cellStyle name="Percent 2 2 2 2" xfId="550"/>
    <cellStyle name="Percent 2 2 2 2 2" xfId="551"/>
    <cellStyle name="Percent 2 2 2 2 2 2" xfId="954"/>
    <cellStyle name="Percent 2 2 2 2 3" xfId="552"/>
    <cellStyle name="Percent 2 2 2 2 3 2" xfId="955"/>
    <cellStyle name="Percent 2 2 2 2 4" xfId="953"/>
    <cellStyle name="Percent 2 2 2 3" xfId="553"/>
    <cellStyle name="Percent 2 2 2 3 2" xfId="956"/>
    <cellStyle name="Percent 2 2 2 4" xfId="554"/>
    <cellStyle name="Percent 2 2 2 4 2" xfId="957"/>
    <cellStyle name="Percent 2 2 2 5" xfId="952"/>
    <cellStyle name="Percent 2 2 3" xfId="555"/>
    <cellStyle name="Percent 2 2 3 2" xfId="556"/>
    <cellStyle name="Percent 2 2 3 2 2" xfId="557"/>
    <cellStyle name="Percent 2 2 3 2 2 2" xfId="960"/>
    <cellStyle name="Percent 2 2 3 2 3" xfId="558"/>
    <cellStyle name="Percent 2 2 3 2 3 2" xfId="961"/>
    <cellStyle name="Percent 2 2 3 2 4" xfId="959"/>
    <cellStyle name="Percent 2 2 3 3" xfId="559"/>
    <cellStyle name="Percent 2 2 3 3 2" xfId="962"/>
    <cellStyle name="Percent 2 2 3 4" xfId="560"/>
    <cellStyle name="Percent 2 2 3 4 2" xfId="963"/>
    <cellStyle name="Percent 2 2 3 5" xfId="958"/>
    <cellStyle name="Percent 2 3" xfId="561"/>
    <cellStyle name="Percent 2 3 2" xfId="562"/>
    <cellStyle name="Percent 2 3 2 2" xfId="563"/>
    <cellStyle name="Percent 2 3 2 2 2" xfId="966"/>
    <cellStyle name="Percent 2 3 2 3" xfId="564"/>
    <cellStyle name="Percent 2 3 2 3 2" xfId="967"/>
    <cellStyle name="Percent 2 3 2 4" xfId="965"/>
    <cellStyle name="Percent 2 3 3" xfId="565"/>
    <cellStyle name="Percent 2 3 3 2" xfId="968"/>
    <cellStyle name="Percent 2 3 4" xfId="566"/>
    <cellStyle name="Percent 2 3 4 2" xfId="969"/>
    <cellStyle name="Percent 2 3 5" xfId="964"/>
    <cellStyle name="Percent 2 4" xfId="567"/>
    <cellStyle name="Percent 2 4 2" xfId="568"/>
    <cellStyle name="Percent 2 4 2 2" xfId="569"/>
    <cellStyle name="Percent 2 4 2 2 2" xfId="972"/>
    <cellStyle name="Percent 2 4 2 3" xfId="570"/>
    <cellStyle name="Percent 2 4 2 3 2" xfId="973"/>
    <cellStyle name="Percent 2 4 2 4" xfId="971"/>
    <cellStyle name="Percent 2 4 3" xfId="571"/>
    <cellStyle name="Percent 2 4 3 2" xfId="974"/>
    <cellStyle name="Percent 2 4 4" xfId="572"/>
    <cellStyle name="Percent 2 4 4 2" xfId="975"/>
    <cellStyle name="Percent 2 4 5" xfId="970"/>
    <cellStyle name="Percent 2 5" xfId="681"/>
    <cellStyle name="Percent 3" xfId="155"/>
    <cellStyle name="Percent 3 2" xfId="221"/>
    <cellStyle name="Percent 3 4" xfId="573"/>
    <cellStyle name="Percent 3 4 2" xfId="574"/>
    <cellStyle name="Percent 3 4 2 2" xfId="977"/>
    <cellStyle name="Percent 3 4 3" xfId="575"/>
    <cellStyle name="Percent 3 4 3 2" xfId="978"/>
    <cellStyle name="Percent 3 4 4" xfId="976"/>
    <cellStyle name="Percent 4" xfId="282"/>
    <cellStyle name="Percent 5" xfId="576"/>
    <cellStyle name="Percent 5 2" xfId="577"/>
    <cellStyle name="Percent 5 2 2" xfId="980"/>
    <cellStyle name="Percent 5 3" xfId="578"/>
    <cellStyle name="Percent 5 3 2" xfId="981"/>
    <cellStyle name="Percent 5 4" xfId="979"/>
    <cellStyle name="Percent 6" xfId="579"/>
    <cellStyle name="Percent 6 2" xfId="982"/>
    <cellStyle name="Percent 7" xfId="289"/>
    <cellStyle name="Percent 8" xfId="580"/>
    <cellStyle name="Percent 9" xfId="650"/>
    <cellStyle name="Percentage" xfId="156"/>
    <cellStyle name="Period Title" xfId="157"/>
    <cellStyle name="PSChar" xfId="158"/>
    <cellStyle name="PSChar 2" xfId="652"/>
    <cellStyle name="PSDate" xfId="159"/>
    <cellStyle name="PSDate 2" xfId="653"/>
    <cellStyle name="PSDec" xfId="160"/>
    <cellStyle name="PSDec 2" xfId="654"/>
    <cellStyle name="PSDetail" xfId="161"/>
    <cellStyle name="PSHeading" xfId="162"/>
    <cellStyle name="PSHeading 2" xfId="581"/>
    <cellStyle name="PSHeading 2 2" xfId="582"/>
    <cellStyle name="PSHeading 2 2 2" xfId="985"/>
    <cellStyle name="PSHeading 2 2 3" xfId="1041"/>
    <cellStyle name="PSHeading 2 2 4" xfId="1034"/>
    <cellStyle name="PSHeading 2 3" xfId="984"/>
    <cellStyle name="PSHeading 2 4" xfId="1040"/>
    <cellStyle name="PSHeading 2 5" xfId="710"/>
    <cellStyle name="PSHeading 3" xfId="583"/>
    <cellStyle name="PSHeading 3 2" xfId="584"/>
    <cellStyle name="PSHeading 3 2 2" xfId="585"/>
    <cellStyle name="PSHeading 3 2 2 2" xfId="988"/>
    <cellStyle name="PSHeading 3 2 2 3" xfId="1044"/>
    <cellStyle name="PSHeading 3 2 2 4" xfId="722"/>
    <cellStyle name="PSHeading 3 2 3" xfId="987"/>
    <cellStyle name="PSHeading 3 2 4" xfId="1043"/>
    <cellStyle name="PSHeading 3 2 5" xfId="1038"/>
    <cellStyle name="PSHeading 3 3" xfId="986"/>
    <cellStyle name="PSHeading 3 4" xfId="1042"/>
    <cellStyle name="PSHeading 3 5" xfId="1037"/>
    <cellStyle name="PSHeading 4" xfId="586"/>
    <cellStyle name="PSHeading 4 2" xfId="989"/>
    <cellStyle name="PSHeading 4 3" xfId="1045"/>
    <cellStyle name="PSHeading 4 4" xfId="1047"/>
    <cellStyle name="PSHeading 5" xfId="655"/>
    <cellStyle name="PSHeading 6" xfId="682"/>
    <cellStyle name="PSHeading 7" xfId="727"/>
    <cellStyle name="PSHeading 8" xfId="848"/>
    <cellStyle name="PSHeading 9" xfId="745"/>
    <cellStyle name="PSInt" xfId="163"/>
    <cellStyle name="PSInt 2" xfId="656"/>
    <cellStyle name="PSSpacer" xfId="164"/>
    <cellStyle name="PSSpacer 2" xfId="657"/>
    <cellStyle name="Ratio" xfId="165"/>
    <cellStyle name="Ratio 2" xfId="222"/>
    <cellStyle name="Ratio 3" xfId="658"/>
    <cellStyle name="Ratio_29(d) - Gas extensions -tariffs" xfId="299"/>
    <cellStyle name="Right Date" xfId="166"/>
    <cellStyle name="Right Number" xfId="167"/>
    <cellStyle name="Right Year" xfId="168"/>
    <cellStyle name="RIN_Input$_3dp" xfId="587"/>
    <cellStyle name="SAPError" xfId="169"/>
    <cellStyle name="SAPError 2" xfId="223"/>
    <cellStyle name="SAPError 3" xfId="659"/>
    <cellStyle name="SAPKey" xfId="170"/>
    <cellStyle name="SAPKey 2" xfId="224"/>
    <cellStyle name="SAPKey 3" xfId="660"/>
    <cellStyle name="SAPLocked" xfId="171"/>
    <cellStyle name="SAPLocked 2" xfId="225"/>
    <cellStyle name="SAPLocked 3" xfId="661"/>
    <cellStyle name="SAPOutput" xfId="172"/>
    <cellStyle name="SAPOutput 2" xfId="226"/>
    <cellStyle name="SAPOutput 3" xfId="662"/>
    <cellStyle name="SAPSpace" xfId="173"/>
    <cellStyle name="SAPSpace 2" xfId="227"/>
    <cellStyle name="SAPSpace 3" xfId="663"/>
    <cellStyle name="SAPText" xfId="174"/>
    <cellStyle name="SAPText 2" xfId="228"/>
    <cellStyle name="SAPText 3" xfId="664"/>
    <cellStyle name="SAPUnLocked" xfId="175"/>
    <cellStyle name="SAPUnLocked 2" xfId="229"/>
    <cellStyle name="SAPUnLocked 3" xfId="665"/>
    <cellStyle name="Sheet Title" xfId="176"/>
    <cellStyle name="SheetHeader1" xfId="588"/>
    <cellStyle name="Style 1" xfId="177"/>
    <cellStyle name="Style 1 2" xfId="230"/>
    <cellStyle name="Style 1 2 2" xfId="589"/>
    <cellStyle name="Style 1 3" xfId="590"/>
    <cellStyle name="Style 1 3 2" xfId="591"/>
    <cellStyle name="Style 1 3 3" xfId="592"/>
    <cellStyle name="Style 1 4" xfId="593"/>
    <cellStyle name="Style 1 5" xfId="666"/>
    <cellStyle name="Style 1_29(d) - Gas extensions -tariffs" xfId="300"/>
    <cellStyle name="Style2" xfId="178"/>
    <cellStyle name="Style3" xfId="179"/>
    <cellStyle name="Style4" xfId="180"/>
    <cellStyle name="Style4 2" xfId="231"/>
    <cellStyle name="Style4 3" xfId="667"/>
    <cellStyle name="Style4_29(d) - Gas extensions -tariffs" xfId="301"/>
    <cellStyle name="Style5" xfId="181"/>
    <cellStyle name="Style5 2" xfId="232"/>
    <cellStyle name="Style5 3" xfId="668"/>
    <cellStyle name="Style5_29(d) - Gas extensions -tariffs" xfId="302"/>
    <cellStyle name="Table Head Green" xfId="182"/>
    <cellStyle name="Table Head_pldt" xfId="183"/>
    <cellStyle name="Table Source" xfId="184"/>
    <cellStyle name="Table Units" xfId="185"/>
    <cellStyle name="TableLvl2" xfId="594"/>
    <cellStyle name="TableLvl3" xfId="595"/>
    <cellStyle name="Text" xfId="186"/>
    <cellStyle name="Text 2" xfId="187"/>
    <cellStyle name="Text 3" xfId="234"/>
    <cellStyle name="Text Head 1" xfId="188"/>
    <cellStyle name="Text Head 2" xfId="189"/>
    <cellStyle name="Text Indent 2" xfId="190"/>
    <cellStyle name="Theirs" xfId="191"/>
    <cellStyle name="Title" xfId="45" builtinId="15" customBuiltin="1"/>
    <cellStyle name="Title 2" xfId="283"/>
    <cellStyle name="Title 2 2" xfId="683"/>
    <cellStyle name="Title 3" xfId="669"/>
    <cellStyle name="TOC 1" xfId="192"/>
    <cellStyle name="TOC 2" xfId="193"/>
    <cellStyle name="TOC 3" xfId="194"/>
    <cellStyle name="Total" xfId="46" builtinId="25" customBuiltin="1"/>
    <cellStyle name="Total 2" xfId="77"/>
    <cellStyle name="Total 2 2" xfId="596"/>
    <cellStyle name="Total 2 3" xfId="597"/>
    <cellStyle name="Total 3" xfId="670"/>
    <cellStyle name="Warning Text" xfId="47" builtinId="11" customBuiltin="1"/>
    <cellStyle name="Warning Text 2" xfId="284"/>
    <cellStyle name="year" xfId="195"/>
    <cellStyle name="year 2" xfId="235"/>
    <cellStyle name="year 3" xfId="671"/>
    <cellStyle name="year_29(d) - Gas extensions -tariffs" xfId="303"/>
  </cellStyles>
  <dxfs count="31">
    <dxf>
      <font>
        <b/>
        <i val="0"/>
        <color rgb="FFFF0000"/>
      </font>
    </dxf>
    <dxf>
      <font>
        <b/>
        <i val="0"/>
        <color rgb="FFFF0000"/>
      </font>
    </dxf>
    <dxf>
      <font>
        <color theme="0" tint="-0.34998626667073579"/>
      </font>
    </dxf>
    <dxf>
      <font>
        <color theme="0" tint="-0.34998626667073579"/>
      </font>
    </dxf>
    <dxf>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dxf>
    <dxf>
      <alignment horizontal="general" vertical="center" textRotation="0" wrapText="0" indent="0" justifyLastLine="0" shrinkToFit="0" readingOrder="0"/>
      <border diagonalUp="0" diagonalDown="0" outline="0">
        <left/>
        <right style="thin">
          <color theme="0" tint="-0.24994659260841701"/>
        </right>
        <top style="thin">
          <color theme="0" tint="-0.24994659260841701"/>
        </top>
        <bottom style="thin">
          <color theme="0" tint="-0.24994659260841701"/>
        </bottom>
      </border>
    </dxf>
    <dxf>
      <numFmt numFmtId="30" formatCode="@"/>
      <alignment horizontal="general" vertical="center" textRotation="0" wrapText="0" indent="0" justifyLastLine="0" shrinkToFit="0" readingOrder="0"/>
      <border diagonalUp="0" diagonalDown="0" outline="0">
        <left style="thin">
          <color theme="0" tint="-0.24994659260841701"/>
        </left>
        <right/>
        <top style="thin">
          <color theme="0" tint="-0.24994659260841701"/>
        </top>
        <bottom style="thin">
          <color theme="0" tint="-0.24994659260841701"/>
        </bottom>
      </border>
    </dxf>
    <dxf>
      <alignment horizontal="general" vertical="center" textRotation="0" wrapText="0" indent="0" justifyLastLine="0" shrinkToFit="0" readingOrder="0"/>
      <border diagonalUp="0" diagonalDown="0" outline="0">
        <left style="thin">
          <color theme="0" tint="-0.24994659260841701"/>
        </left>
        <right style="thin">
          <color theme="0" tint="-0.24994659260841701"/>
        </right>
        <top style="thin">
          <color theme="0" tint="-0.24994659260841701"/>
        </top>
        <bottom style="thin">
          <color theme="0" tint="-0.24994659260841701"/>
        </bottom>
      </border>
    </dxf>
    <dxf>
      <alignment horizontal="general" vertical="center" textRotation="0" wrapText="0" indent="0" justifyLastLine="0" shrinkToFit="0" readingOrder="0"/>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dxf>
    <dxf>
      <alignment horizontal="general" vertical="center" textRotation="0" wrapText="0" indent="0" justifyLastLine="0" shrinkToFit="0" readingOrder="0"/>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dxf>
    <dxf>
      <alignment horizontal="general" vertical="center" textRotation="0" wrapText="0" indent="0" justifyLastLine="0" shrinkToFit="0" readingOrder="0"/>
      <border diagonalUp="0" diagonalDown="0">
        <left style="medium">
          <color auto="1"/>
        </left>
        <right style="thin">
          <color theme="0" tint="-0.24994659260841701"/>
        </right>
        <top style="thin">
          <color theme="0" tint="-0.24994659260841701"/>
        </top>
        <bottom style="thin">
          <color theme="0" tint="-0.24994659260841701"/>
        </bottom>
        <vertical/>
        <horizontal/>
      </border>
    </dxf>
    <dxf>
      <numFmt numFmtId="30" formatCode="@"/>
      <alignment horizontal="general" vertical="center" textRotation="0" wrapText="0" indent="0" justifyLastLine="0" shrinkToFit="0" readingOrder="0"/>
      <border diagonalUp="0" diagonalDown="0">
        <left style="thin">
          <color theme="0" tint="-0.24994659260841701"/>
        </left>
        <right/>
        <top style="thin">
          <color theme="0" tint="-0.24994659260841701"/>
        </top>
        <bottom style="thin">
          <color theme="0" tint="-0.24994659260841701"/>
        </bottom>
        <vertical/>
        <horizontal/>
      </border>
    </dxf>
    <dxf>
      <font>
        <b val="0"/>
        <i val="0"/>
        <strike val="0"/>
        <condense val="0"/>
        <extend val="0"/>
        <outline val="0"/>
        <shadow val="0"/>
        <u val="none"/>
        <vertAlign val="baseline"/>
        <sz val="10"/>
        <color auto="1"/>
        <name val="Arial"/>
        <scheme val="none"/>
      </font>
      <alignment horizontal="general" vertical="center" textRotation="0" wrapText="0" indent="0" justifyLastLine="0" shrinkToFit="0" readingOrder="0"/>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dxf>
    <dxf>
      <alignment horizontal="general" vertical="center" textRotation="0" wrapText="0" indent="0" justifyLastLine="0" shrinkToFit="0" readingOrder="0"/>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dxf>
    <dxf>
      <alignment horizontal="general" vertical="center" textRotation="0" wrapText="0" indent="0" justifyLastLine="0" shrinkToFit="0" readingOrder="0"/>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dxf>
    <dxf>
      <alignment horizontal="general" vertical="center" textRotation="0" wrapText="0" indent="0" justifyLastLine="0" shrinkToFit="0" readingOrder="0"/>
      <border diagonalUp="0" diagonalDown="0">
        <left style="medium">
          <color auto="1"/>
        </left>
        <right style="thin">
          <color theme="0" tint="-0.24994659260841701"/>
        </right>
        <top style="thin">
          <color theme="0" tint="-0.24994659260841701"/>
        </top>
        <bottom style="thin">
          <color theme="0" tint="-0.24994659260841701"/>
        </bottom>
        <vertical/>
        <horizontal/>
      </border>
    </dxf>
    <dxf>
      <font>
        <b val="0"/>
        <i val="0"/>
        <strike val="0"/>
        <condense val="0"/>
        <extend val="0"/>
        <outline val="0"/>
        <shadow val="0"/>
        <u val="none"/>
        <vertAlign val="baseline"/>
        <sz val="10"/>
        <color auto="1"/>
        <name val="Arial"/>
        <scheme val="none"/>
      </font>
      <alignment horizontal="general" vertical="top" textRotation="0" wrapText="0" indent="0" justifyLastLine="0" shrinkToFit="0" readingOrder="0"/>
      <border diagonalUp="0" diagonalDown="0">
        <left style="thin">
          <color theme="0" tint="-0.24994659260841701"/>
        </left>
        <right/>
        <top style="thin">
          <color theme="0" tint="-0.24994659260841701"/>
        </top>
        <bottom style="thin">
          <color theme="0" tint="-0.24994659260841701"/>
        </bottom>
        <vertical/>
        <horizontal/>
      </border>
    </dxf>
    <dxf>
      <font>
        <b val="0"/>
        <i val="0"/>
        <strike val="0"/>
        <condense val="0"/>
        <extend val="0"/>
        <outline val="0"/>
        <shadow val="0"/>
        <u val="none"/>
        <vertAlign val="baseline"/>
        <sz val="10"/>
        <color auto="1"/>
        <name val="Arial"/>
        <scheme val="none"/>
      </font>
      <alignment horizontal="center" vertical="top" textRotation="0" wrapText="0" indent="0" justifyLastLine="0" shrinkToFit="0" readingOrder="0"/>
      <border diagonalUp="0" diagonalDown="0">
        <left style="medium">
          <color indexed="64"/>
        </left>
        <right style="thin">
          <color theme="0" tint="-0.24994659260841701"/>
        </right>
        <top style="thin">
          <color theme="0" tint="-0.24994659260841701"/>
        </top>
        <bottom style="thin">
          <color theme="0" tint="-0.24994659260841701"/>
        </bottom>
        <vertical/>
        <horizontal/>
      </border>
    </dxf>
    <dxf>
      <numFmt numFmtId="1" formatCode="0"/>
      <alignment horizontal="center" vertical="top" textRotation="0" wrapText="0" indent="0" justifyLastLine="0" shrinkToFit="0" readingOrder="0"/>
      <border diagonalUp="0" diagonalDown="0">
        <left style="thin">
          <color theme="0" tint="-0.24994659260841701"/>
        </left>
        <right/>
        <top style="thin">
          <color theme="0" tint="-0.24994659260841701"/>
        </top>
        <bottom style="thin">
          <color theme="0" tint="-0.24994659260841701"/>
        </bottom>
        <vertical/>
        <horizontal/>
      </border>
    </dxf>
    <dxf>
      <alignment horizontal="center" vertical="top" textRotation="0" wrapText="0" indent="0" justifyLastLine="0" shrinkToFit="0" readingOrder="0"/>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dxf>
    <dxf>
      <font>
        <b val="0"/>
        <i val="0"/>
        <strike val="0"/>
        <condense val="0"/>
        <extend val="0"/>
        <outline val="0"/>
        <shadow val="0"/>
        <u val="none"/>
        <vertAlign val="baseline"/>
        <sz val="10"/>
        <color theme="1"/>
        <name val="Arial"/>
        <scheme val="none"/>
      </font>
      <fill>
        <patternFill patternType="solid">
          <fgColor indexed="64"/>
          <bgColor theme="0"/>
        </patternFill>
      </fill>
      <alignment horizontal="general" vertical="top" textRotation="0" wrapText="0" indent="0" justifyLastLine="0" shrinkToFit="0" readingOrder="0"/>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10"/>
        <color theme="1"/>
        <name val="Arial"/>
        <scheme val="none"/>
      </font>
      <fill>
        <patternFill patternType="solid">
          <fgColor indexed="64"/>
          <bgColor theme="0"/>
        </patternFill>
      </fill>
      <alignment horizontal="center" vertical="top" textRotation="0" wrapText="0" indent="0" justifyLastLine="0" shrinkToFit="0" readingOrder="0"/>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10"/>
        <color theme="1"/>
        <name val="Arial"/>
        <scheme val="none"/>
      </font>
      <fill>
        <patternFill patternType="solid">
          <fgColor indexed="64"/>
          <bgColor theme="0"/>
        </patternFill>
      </fill>
      <alignment horizontal="general" vertical="top" textRotation="0" wrapText="0" indent="0" justifyLastLine="0" shrinkToFit="0" readingOrder="0"/>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10"/>
        <color auto="1"/>
        <name val="Arial"/>
        <scheme val="none"/>
      </font>
      <alignment horizontal="general" vertical="top" textRotation="0" wrapText="0" indent="0" justifyLastLine="0" shrinkToFit="0" readingOrder="0"/>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dxf>
    <dxf>
      <font>
        <b val="0"/>
        <i val="0"/>
        <strike val="0"/>
        <condense val="0"/>
        <extend val="0"/>
        <outline val="0"/>
        <shadow val="0"/>
        <u val="none"/>
        <vertAlign val="baseline"/>
        <sz val="10"/>
        <color auto="1"/>
        <name val="Arial"/>
        <scheme val="none"/>
      </font>
      <alignment horizontal="general" vertical="top" textRotation="0" wrapText="0" indent="0" justifyLastLine="0" shrinkToFit="0" readingOrder="0"/>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dxf>
    <dxf>
      <font>
        <b val="0"/>
        <i val="0"/>
        <strike val="0"/>
        <condense val="0"/>
        <extend val="0"/>
        <outline val="0"/>
        <shadow val="0"/>
        <u val="none"/>
        <vertAlign val="baseline"/>
        <sz val="10"/>
        <color auto="1"/>
        <name val="Arial"/>
        <scheme val="none"/>
      </font>
      <alignment horizontal="general" vertical="top" textRotation="0" wrapText="0" indent="0" justifyLastLine="0" shrinkToFit="0" readingOrder="0"/>
      <border diagonalUp="0" diagonalDown="0">
        <left style="medium">
          <color indexed="64"/>
        </left>
        <right style="thin">
          <color theme="0" tint="-0.24994659260841701"/>
        </right>
        <top style="thin">
          <color theme="0" tint="-0.24994659260841701"/>
        </top>
        <bottom style="thin">
          <color theme="0" tint="-0.24994659260841701"/>
        </bottom>
        <vertical/>
        <horizontal/>
      </border>
    </dxf>
    <dxf>
      <font>
        <b val="0"/>
        <i val="0"/>
        <strike val="0"/>
        <condense val="0"/>
        <extend val="0"/>
        <outline val="0"/>
        <shadow val="0"/>
        <u val="none"/>
        <vertAlign val="baseline"/>
        <sz val="10"/>
        <color auto="1"/>
        <name val="Arial"/>
        <scheme val="none"/>
      </font>
      <numFmt numFmtId="179" formatCode="##\ ###\ ###\ ###\ ##0"/>
      <fill>
        <patternFill patternType="solid">
          <fgColor indexed="64"/>
          <bgColor theme="0"/>
        </patternFill>
      </fill>
      <alignment horizontal="left" vertical="top" textRotation="0" wrapText="0" indent="0" justifyLastLine="0" shrinkToFit="0" readingOrder="0"/>
      <border diagonalUp="0" diagonalDown="0">
        <left style="thin">
          <color theme="0" tint="-0.34998626667073579"/>
        </left>
        <right/>
        <top style="thin">
          <color theme="0" tint="-0.34998626667073579"/>
        </top>
        <bottom style="thin">
          <color theme="0" tint="-0.34998626667073579"/>
        </bottom>
        <vertical/>
        <horizontal/>
      </border>
      <protection locked="1" hidden="0"/>
    </dxf>
    <dxf>
      <font>
        <b val="0"/>
        <i val="0"/>
        <strike val="0"/>
        <condense val="0"/>
        <extend val="0"/>
        <outline val="0"/>
        <shadow val="0"/>
        <u val="none"/>
        <vertAlign val="baseline"/>
        <sz val="11"/>
        <color theme="1"/>
        <name val="Arial"/>
        <scheme val="none"/>
      </font>
      <fill>
        <patternFill patternType="solid">
          <fgColor indexed="64"/>
          <bgColor theme="0"/>
        </patternFill>
      </fill>
      <alignment horizontal="general" vertical="top" textRotation="0" wrapText="0" indent="0" justifyLastLine="0" shrinkToFit="0" readingOrder="0"/>
      <border diagonalUp="0" diagonalDown="0">
        <left style="medium">
          <color indexed="64"/>
        </left>
        <right style="thin">
          <color theme="0" tint="-0.34998626667073579"/>
        </right>
        <top style="thin">
          <color theme="0" tint="-0.34998626667073579"/>
        </top>
        <bottom style="thin">
          <color theme="0" tint="-0.34998626667073579"/>
        </bottom>
        <vertical/>
        <horizontal/>
      </border>
      <protection locked="1" hidden="0"/>
    </dxf>
    <dxf>
      <font>
        <b val="0"/>
        <i val="0"/>
        <strike val="0"/>
        <condense val="0"/>
        <extend val="0"/>
        <outline val="0"/>
        <shadow val="0"/>
        <u val="none"/>
        <vertAlign val="baseline"/>
        <sz val="11"/>
        <color theme="1"/>
        <name val="Arial"/>
        <scheme val="none"/>
      </font>
      <fill>
        <patternFill patternType="solid">
          <fgColor indexed="64"/>
          <bgColor theme="0"/>
        </patternFill>
      </fill>
      <alignment horizontal="general" vertical="top" textRotation="0" wrapText="0" indent="0" justifyLastLine="0" shrinkToFit="0" readingOrder="0"/>
      <border diagonalUp="0" diagonalDown="0">
        <left/>
        <right style="thin">
          <color theme="0" tint="-0.34998626667073579"/>
        </right>
        <top style="thin">
          <color theme="0" tint="-0.34998626667073579"/>
        </top>
        <bottom style="thin">
          <color theme="0" tint="-0.34998626667073579"/>
        </bottom>
        <vertical/>
        <horizontal/>
      </border>
      <protection locked="1" hidden="0"/>
    </dxf>
    <dxf>
      <border outline="0">
        <left style="medium">
          <color indexed="64"/>
        </left>
        <top style="medium">
          <color indexed="64"/>
        </top>
        <bottom style="medium">
          <color auto="1"/>
        </bottom>
      </border>
    </dxf>
    <dxf>
      <font>
        <b/>
        <i val="0"/>
        <strike val="0"/>
        <condense val="0"/>
        <extend val="0"/>
        <outline val="0"/>
        <shadow val="0"/>
        <u val="none"/>
        <vertAlign val="baseline"/>
        <sz val="10"/>
        <color auto="1"/>
        <name val="Arial"/>
        <scheme val="none"/>
      </font>
      <fill>
        <patternFill patternType="solid">
          <fgColor indexed="64"/>
          <bgColor theme="8" tint="0.59999389629810485"/>
        </patternFill>
      </fill>
      <alignment horizontal="general" vertical="center" textRotation="0" wrapText="1" indent="0" justifyLastLine="0" shrinkToFit="0" readingOrder="0"/>
      <border diagonalUp="0" diagonalDown="0" outline="0">
        <left style="thin">
          <color theme="0" tint="-0.24994659260841701"/>
        </left>
        <right style="thin">
          <color theme="0" tint="-0.24994659260841701"/>
        </right>
        <top/>
        <bottom/>
      </border>
    </dxf>
  </dxfs>
  <tableStyles count="0" defaultTableStyle="TableStyleMedium2" defaultPivotStyle="PivotStyleLight16"/>
  <colors>
    <mruColors>
      <color rgb="FFCCFFFF"/>
      <color rgb="FFFFFFCC"/>
      <color rgb="FF333399"/>
      <color rgb="FF99FF99"/>
      <color rgb="FFCCFFCC"/>
      <color rgb="FFFFCC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4.xml"/><Relationship Id="rId50" Type="http://schemas.openxmlformats.org/officeDocument/2006/relationships/externalLink" Target="externalLinks/externalLink7.xml"/><Relationship Id="rId55" Type="http://schemas.openxmlformats.org/officeDocument/2006/relationships/externalLink" Target="externalLinks/externalLink12.xml"/><Relationship Id="rId63" Type="http://schemas.openxmlformats.org/officeDocument/2006/relationships/externalLink" Target="externalLinks/externalLink20.xml"/><Relationship Id="rId68"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2.xml"/><Relationship Id="rId53" Type="http://schemas.openxmlformats.org/officeDocument/2006/relationships/externalLink" Target="externalLinks/externalLink10.xml"/><Relationship Id="rId58" Type="http://schemas.openxmlformats.org/officeDocument/2006/relationships/externalLink" Target="externalLinks/externalLink15.xml"/><Relationship Id="rId66" Type="http://schemas.openxmlformats.org/officeDocument/2006/relationships/externalLink" Target="externalLinks/externalLink2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6.xml"/><Relationship Id="rId57" Type="http://schemas.openxmlformats.org/officeDocument/2006/relationships/externalLink" Target="externalLinks/externalLink14.xml"/><Relationship Id="rId61" Type="http://schemas.openxmlformats.org/officeDocument/2006/relationships/externalLink" Target="externalLinks/externalLink1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52" Type="http://schemas.openxmlformats.org/officeDocument/2006/relationships/externalLink" Target="externalLinks/externalLink9.xml"/><Relationship Id="rId60" Type="http://schemas.openxmlformats.org/officeDocument/2006/relationships/externalLink" Target="externalLinks/externalLink17.xml"/><Relationship Id="rId65" Type="http://schemas.openxmlformats.org/officeDocument/2006/relationships/externalLink" Target="externalLinks/externalLink2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5.xml"/><Relationship Id="rId56" Type="http://schemas.openxmlformats.org/officeDocument/2006/relationships/externalLink" Target="externalLinks/externalLink13.xml"/><Relationship Id="rId64" Type="http://schemas.openxmlformats.org/officeDocument/2006/relationships/externalLink" Target="externalLinks/externalLink21.xml"/><Relationship Id="rId69"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externalLink" Target="externalLinks/externalLink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3.xml"/><Relationship Id="rId59" Type="http://schemas.openxmlformats.org/officeDocument/2006/relationships/externalLink" Target="externalLinks/externalLink16.xml"/><Relationship Id="rId67"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11.xml"/><Relationship Id="rId62" Type="http://schemas.openxmlformats.org/officeDocument/2006/relationships/externalLink" Target="externalLinks/externalLink19.xml"/><Relationship Id="rId70" Type="http://schemas.openxmlformats.org/officeDocument/2006/relationships/calcChain" Target="calcChain.xml"/></Relationships>
</file>

<file path=xl/drawings/_rels/drawing10.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2.png"/></Relationships>
</file>

<file path=xl/drawings/_rels/drawing13.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2.png"/></Relationships>
</file>

<file path=xl/drawings/_rels/drawing14.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2.png"/></Relationships>
</file>

<file path=xl/drawings/_rels/drawing15.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2.png"/></Relationships>
</file>

<file path=xl/drawings/_rels/drawing16.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2.png"/></Relationships>
</file>

<file path=xl/drawings/_rels/drawing17.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2.png"/></Relationships>
</file>

<file path=xl/drawings/_rels/drawing18.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2.png"/></Relationships>
</file>

<file path=xl/drawings/_rels/drawing19.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8" Type="http://schemas.openxmlformats.org/officeDocument/2006/relationships/hyperlink" Target="#'23.2 Opex excl. RPM'!A1"/><Relationship Id="rId13" Type="http://schemas.openxmlformats.org/officeDocument/2006/relationships/hyperlink" Target="#Instructions!A1"/><Relationship Id="rId18" Type="http://schemas.openxmlformats.org/officeDocument/2006/relationships/hyperlink" Target="#'6. Mains replacement'!A1"/><Relationship Id="rId26" Type="http://schemas.openxmlformats.org/officeDocument/2006/relationships/hyperlink" Target="#'27. Customer numbers'!A1"/><Relationship Id="rId3" Type="http://schemas.openxmlformats.org/officeDocument/2006/relationships/hyperlink" Target="#'16. Capex allocation'!A1"/><Relationship Id="rId21" Type="http://schemas.openxmlformats.org/officeDocument/2006/relationships/hyperlink" Target="#'9. Other capex'!A1"/><Relationship Id="rId34" Type="http://schemas.openxmlformats.org/officeDocument/2006/relationships/hyperlink" Target="#'20. Changes in provisions'!A1"/><Relationship Id="rId7" Type="http://schemas.openxmlformats.org/officeDocument/2006/relationships/hyperlink" Target="#'23.1 Opex incl. RPM'!A1"/><Relationship Id="rId12" Type="http://schemas.openxmlformats.org/officeDocument/2006/relationships/hyperlink" Target="#'15. Related party transactions'!A1"/><Relationship Id="rId17" Type="http://schemas.openxmlformats.org/officeDocument/2006/relationships/hyperlink" Target="#'5. Mains augmentation'!A1"/><Relationship Id="rId25" Type="http://schemas.openxmlformats.org/officeDocument/2006/relationships/hyperlink" Target="#'26. Allocation of total revenue'!A1"/><Relationship Id="rId33" Type="http://schemas.openxmlformats.org/officeDocument/2006/relationships/hyperlink" Target="#'30. Network characteristics'!A1"/><Relationship Id="rId2" Type="http://schemas.openxmlformats.org/officeDocument/2006/relationships/hyperlink" Target="#'14. Overheads'!A1"/><Relationship Id="rId16" Type="http://schemas.openxmlformats.org/officeDocument/2006/relationships/hyperlink" Target="#'4. Connections market expansn'!A1"/><Relationship Id="rId20" Type="http://schemas.openxmlformats.org/officeDocument/2006/relationships/hyperlink" Target="#'8. Meter replacement'!A1"/><Relationship Id="rId29" Type="http://schemas.openxmlformats.org/officeDocument/2006/relationships/hyperlink" Target="#'29.3 Gas extensions - demand'!A1"/><Relationship Id="rId1" Type="http://schemas.openxmlformats.org/officeDocument/2006/relationships/image" Target="../media/image1.png"/><Relationship Id="rId6" Type="http://schemas.openxmlformats.org/officeDocument/2006/relationships/hyperlink" Target="#'22. WACC Inputs'!A1"/><Relationship Id="rId11" Type="http://schemas.openxmlformats.org/officeDocument/2006/relationships/hyperlink" Target="#'24. Cost category matrix'!A1"/><Relationship Id="rId24" Type="http://schemas.openxmlformats.org/officeDocument/2006/relationships/hyperlink" Target="#'25. ARS'!A1"/><Relationship Id="rId32" Type="http://schemas.openxmlformats.org/officeDocument/2006/relationships/hyperlink" Target="#'31 - Pass throughs'!A1"/><Relationship Id="rId5" Type="http://schemas.openxmlformats.org/officeDocument/2006/relationships/hyperlink" Target="#'21 - Indicative bill impacts'!A1"/><Relationship Id="rId15" Type="http://schemas.openxmlformats.org/officeDocument/2006/relationships/hyperlink" Target="#'2. Escalators'!A1"/><Relationship Id="rId23" Type="http://schemas.openxmlformats.org/officeDocument/2006/relationships/hyperlink" Target="#'Business &amp; other details'!A1"/><Relationship Id="rId28" Type="http://schemas.openxmlformats.org/officeDocument/2006/relationships/hyperlink" Target="#'29.1 Gas extenstions ($)'!A1"/><Relationship Id="rId10" Type="http://schemas.openxmlformats.org/officeDocument/2006/relationships/hyperlink" Target="#'23.4 Opex incentive mechanism'!A1"/><Relationship Id="rId19" Type="http://schemas.openxmlformats.org/officeDocument/2006/relationships/hyperlink" Target="#'7. Telemetry'!A1"/><Relationship Id="rId31" Type="http://schemas.openxmlformats.org/officeDocument/2006/relationships/hyperlink" Target="#'29.2 Gas extenstions cust no'!A1"/><Relationship Id="rId4" Type="http://schemas.openxmlformats.org/officeDocument/2006/relationships/hyperlink" Target="#'17. Gross Capex '!A1"/><Relationship Id="rId9" Type="http://schemas.openxmlformats.org/officeDocument/2006/relationships/hyperlink" Target="#'23.3 Opex rate-of-change'!A1"/><Relationship Id="rId14" Type="http://schemas.openxmlformats.org/officeDocument/2006/relationships/hyperlink" Target="#'1. CPI'!A1"/><Relationship Id="rId22" Type="http://schemas.openxmlformats.org/officeDocument/2006/relationships/hyperlink" Target="#'12. IT'!A1"/><Relationship Id="rId27" Type="http://schemas.openxmlformats.org/officeDocument/2006/relationships/hyperlink" Target="#'28. Consumption and demand'!A1"/><Relationship Id="rId30" Type="http://schemas.openxmlformats.org/officeDocument/2006/relationships/hyperlink" Target="#'29.4 Gas extensions - tariffs'!A1"/></Relationships>
</file>

<file path=xl/drawings/_rels/drawing20.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2.png"/></Relationships>
</file>

<file path=xl/drawings/_rels/drawing21.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2.png"/></Relationships>
</file>

<file path=xl/drawings/_rels/drawing22.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2.png"/></Relationships>
</file>

<file path=xl/drawings/_rels/drawing23.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2.png"/></Relationships>
</file>

<file path=xl/drawings/_rels/drawing24.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2.png"/></Relationships>
</file>

<file path=xl/drawings/_rels/drawing25.xml.rels><?xml version="1.0" encoding="UTF-8" standalone="yes"?>
<Relationships xmlns="http://schemas.openxmlformats.org/package/2006/relationships"><Relationship Id="rId3" Type="http://schemas.openxmlformats.org/officeDocument/2006/relationships/hyperlink" Target="#'1.1 Instructions'!A1"/><Relationship Id="rId2" Type="http://schemas.openxmlformats.org/officeDocument/2006/relationships/hyperlink" Target="#Contents!A1"/><Relationship Id="rId1" Type="http://schemas.openxmlformats.org/officeDocument/2006/relationships/image" Target="../media/image2.png"/></Relationships>
</file>

<file path=xl/drawings/_rels/drawing26.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2.png"/></Relationships>
</file>

<file path=xl/drawings/_rels/drawing27.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2.png"/></Relationships>
</file>

<file path=xl/drawings/_rels/drawing28.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2.png"/></Relationships>
</file>

<file path=xl/drawings/_rels/drawing29.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hyperlink" Target="#Contents!A1"/><Relationship Id="rId1" Type="http://schemas.openxmlformats.org/officeDocument/2006/relationships/image" Target="../media/image2.png"/></Relationships>
</file>

<file path=xl/drawings/_rels/drawing30.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2.png"/></Relationships>
</file>

<file path=xl/drawings/_rels/drawing31.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2.png"/></Relationships>
</file>

<file path=xl/drawings/_rels/drawing32.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2.png"/></Relationships>
</file>

<file path=xl/drawings/_rels/drawing33.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2.png"/></Relationships>
</file>

<file path=xl/drawings/_rels/drawing34.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2.png"/></Relationships>
</file>

<file path=xl/drawings/_rels/drawing35.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2.png"/></Relationships>
</file>

<file path=xl/drawings/_rels/drawing36.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2.png"/></Relationships>
</file>

<file path=xl/drawings/_rels/drawing37.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2.png"/></Relationships>
</file>

<file path=xl/drawings/_rels/drawing38.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2.png"/></Relationships>
</file>

<file path=xl/drawings/_rels/drawing39.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2.png"/></Relationships>
</file>

<file path=xl/drawings/_rels/drawing40.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2.png"/></Relationships>
</file>

<file path=xl/drawings/_rels/drawing41.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2.png"/></Relationships>
</file>

<file path=xl/drawings/_rels/drawing42.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2.png"/></Relationships>
</file>

<file path=xl/drawings/_rels/drawing43.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42</xdr:col>
      <xdr:colOff>155864</xdr:colOff>
      <xdr:row>6</xdr:row>
      <xdr:rowOff>294409</xdr:rowOff>
    </xdr:from>
    <xdr:to>
      <xdr:col>52</xdr:col>
      <xdr:colOff>77847</xdr:colOff>
      <xdr:row>12</xdr:row>
      <xdr:rowOff>37246</xdr:rowOff>
    </xdr:to>
    <xdr:grpSp>
      <xdr:nvGrpSpPr>
        <xdr:cNvPr id="2" name="Group 1"/>
        <xdr:cNvGrpSpPr/>
      </xdr:nvGrpSpPr>
      <xdr:grpSpPr>
        <a:xfrm>
          <a:off x="63320221" y="1546266"/>
          <a:ext cx="6045197" cy="1035516"/>
          <a:chOff x="6257924" y="76200"/>
          <a:chExt cx="5973778" cy="1034035"/>
        </a:xfrm>
      </xdr:grpSpPr>
      <xdr:grpSp>
        <xdr:nvGrpSpPr>
          <xdr:cNvPr id="3" name="Group 2"/>
          <xdr:cNvGrpSpPr/>
        </xdr:nvGrpSpPr>
        <xdr:grpSpPr>
          <a:xfrm>
            <a:off x="6257924" y="94034"/>
            <a:ext cx="1753561" cy="971060"/>
            <a:chOff x="11448892" y="2483864"/>
            <a:chExt cx="1750813" cy="517167"/>
          </a:xfrm>
        </xdr:grpSpPr>
        <xdr:sp macro="[0]!MarkConfidential" textlink="">
          <xdr:nvSpPr>
            <xdr:cNvPr id="10" name="Rounded Rectangle 9"/>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11" name="Rounded Rectangle 10"/>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4" name="Group 3"/>
          <xdr:cNvGrpSpPr/>
        </xdr:nvGrpSpPr>
        <xdr:grpSpPr>
          <a:xfrm>
            <a:off x="9047916" y="76200"/>
            <a:ext cx="3183786" cy="1034035"/>
            <a:chOff x="8959453" y="47625"/>
            <a:chExt cx="3191911" cy="1037397"/>
          </a:xfrm>
        </xdr:grpSpPr>
        <xdr:sp macro="" textlink="">
          <xdr:nvSpPr>
            <xdr:cNvPr id="5" name="Rounded Rectangle 4"/>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6" name="Group 5"/>
            <xdr:cNvGrpSpPr/>
          </xdr:nvGrpSpPr>
          <xdr:grpSpPr>
            <a:xfrm>
              <a:off x="10422881" y="79536"/>
              <a:ext cx="1576451" cy="972629"/>
              <a:chOff x="24351211" y="420304"/>
              <a:chExt cx="1935032" cy="711040"/>
            </a:xfrm>
          </xdr:grpSpPr>
          <xdr:sp macro="[0]!dms_ReturnNonAmended" textlink="">
            <xdr:nvSpPr>
              <xdr:cNvPr id="8" name="Rounded Rectangle 7"/>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9" name="Rounded Rectangle 8"/>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7" name="Rounded Rectangle 6"/>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0.xml><?xml version="1.0" encoding="utf-8"?>
<xdr:wsDr xmlns:xdr="http://schemas.openxmlformats.org/drawingml/2006/spreadsheetDrawing" xmlns:a="http://schemas.openxmlformats.org/drawingml/2006/main">
  <xdr:twoCellAnchor>
    <xdr:from>
      <xdr:col>3</xdr:col>
      <xdr:colOff>425800</xdr:colOff>
      <xdr:row>0</xdr:row>
      <xdr:rowOff>74686</xdr:rowOff>
    </xdr:from>
    <xdr:to>
      <xdr:col>3</xdr:col>
      <xdr:colOff>1171386</xdr:colOff>
      <xdr:row>3</xdr:row>
      <xdr:rowOff>289903</xdr:rowOff>
    </xdr:to>
    <xdr:grpSp>
      <xdr:nvGrpSpPr>
        <xdr:cNvPr id="7" name="Group 6"/>
        <xdr:cNvGrpSpPr/>
      </xdr:nvGrpSpPr>
      <xdr:grpSpPr>
        <a:xfrm>
          <a:off x="425800" y="74686"/>
          <a:ext cx="745586" cy="1113288"/>
          <a:chOff x="0" y="1560739"/>
          <a:chExt cx="762000" cy="931132"/>
        </a:xfrm>
      </xdr:grpSpPr>
      <xdr:pic>
        <xdr:nvPicPr>
          <xdr:cNvPr id="8" name="Picture 3" descr="item"/>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60739"/>
            <a:ext cx="762000" cy="4898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9" name="AutoShape 4">
            <a:hlinkClick xmlns:r="http://schemas.openxmlformats.org/officeDocument/2006/relationships" r:id="rId2"/>
          </xdr:cNvPr>
          <xdr:cNvSpPr>
            <a:spLocks noChangeArrowheads="1"/>
          </xdr:cNvSpPr>
        </xdr:nvSpPr>
        <xdr:spPr bwMode="auto">
          <a:xfrm>
            <a:off x="19050" y="2039711"/>
            <a:ext cx="736671" cy="234132"/>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0" i="0" u="none" strike="noStrike" baseline="0">
                <a:solidFill>
                  <a:srgbClr val="000080"/>
                </a:solidFill>
                <a:latin typeface="Arial Black"/>
              </a:rPr>
              <a:t>Contents</a:t>
            </a:r>
          </a:p>
        </xdr:txBody>
      </xdr:sp>
      <xdr:sp macro="" textlink="">
        <xdr:nvSpPr>
          <xdr:cNvPr id="10" name="AutoShape 5">
            <a:hlinkClick xmlns:r="http://schemas.openxmlformats.org/officeDocument/2006/relationships" r:id="rId3"/>
          </xdr:cNvPr>
          <xdr:cNvSpPr>
            <a:spLocks noChangeArrowheads="1"/>
          </xdr:cNvSpPr>
        </xdr:nvSpPr>
        <xdr:spPr bwMode="auto">
          <a:xfrm>
            <a:off x="19050" y="2261507"/>
            <a:ext cx="736671" cy="23036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650" b="0" i="0" u="none" strike="noStrike" baseline="0">
                <a:solidFill>
                  <a:srgbClr val="000080"/>
                </a:solidFill>
                <a:latin typeface="Arial Black"/>
              </a:rPr>
              <a:t>Instructions</a:t>
            </a:r>
          </a:p>
        </xdr:txBody>
      </xdr:sp>
    </xdr:grpSp>
    <xdr:clientData/>
  </xdr:twoCellAnchor>
  <xdr:twoCellAnchor>
    <xdr:from>
      <xdr:col>13</xdr:col>
      <xdr:colOff>51954</xdr:colOff>
      <xdr:row>0</xdr:row>
      <xdr:rowOff>138545</xdr:rowOff>
    </xdr:from>
    <xdr:to>
      <xdr:col>15</xdr:col>
      <xdr:colOff>633053</xdr:colOff>
      <xdr:row>2</xdr:row>
      <xdr:rowOff>183761</xdr:rowOff>
    </xdr:to>
    <xdr:grpSp>
      <xdr:nvGrpSpPr>
        <xdr:cNvPr id="6" name="Group 5"/>
        <xdr:cNvGrpSpPr/>
      </xdr:nvGrpSpPr>
      <xdr:grpSpPr>
        <a:xfrm>
          <a:off x="16992847" y="138545"/>
          <a:ext cx="3112027" cy="643930"/>
          <a:chOff x="7608794" y="145676"/>
          <a:chExt cx="3047258" cy="652342"/>
        </a:xfrm>
      </xdr:grpSpPr>
      <xdr:sp macro="[0]!MarkConfidential" textlink="">
        <xdr:nvSpPr>
          <xdr:cNvPr id="11" name="Rounded Rectangle 10"/>
          <xdr:cNvSpPr/>
        </xdr:nvSpPr>
        <xdr:spPr>
          <a:xfrm>
            <a:off x="7608794" y="145676"/>
            <a:ext cx="3047258" cy="269785"/>
          </a:xfrm>
          <a:prstGeom prst="roundRect">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200" b="1">
                <a:solidFill>
                  <a:srgbClr val="FF0000"/>
                </a:solidFill>
                <a:latin typeface="Calibri" panose="020F0502020204030204" pitchFamily="34" charset="0"/>
                <a:cs typeface="Calibri" panose="020F0502020204030204" pitchFamily="34" charset="0"/>
              </a:rPr>
              <a:t>Mark selected</a:t>
            </a:r>
            <a:r>
              <a:rPr lang="en-AU" sz="1200" b="1" baseline="0">
                <a:solidFill>
                  <a:srgbClr val="FF0000"/>
                </a:solidFill>
                <a:latin typeface="Calibri" panose="020F0502020204030204" pitchFamily="34" charset="0"/>
                <a:cs typeface="Calibri" panose="020F0502020204030204" pitchFamily="34" charset="0"/>
              </a:rPr>
              <a:t> cells CONFIDENTIAL</a:t>
            </a:r>
            <a:endParaRPr lang="en-AU" sz="12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12" name="Rounded Rectangle 11"/>
          <xdr:cNvSpPr/>
        </xdr:nvSpPr>
        <xdr:spPr>
          <a:xfrm>
            <a:off x="7608794" y="517036"/>
            <a:ext cx="3036935" cy="280982"/>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200" b="1">
                <a:solidFill>
                  <a:schemeClr val="accent6">
                    <a:lumMod val="75000"/>
                  </a:schemeClr>
                </a:solidFill>
              </a:rPr>
              <a:t>Return</a:t>
            </a:r>
            <a:r>
              <a:rPr lang="en-AU" sz="1200" b="1" baseline="0">
                <a:solidFill>
                  <a:schemeClr val="accent6">
                    <a:lumMod val="75000"/>
                  </a:schemeClr>
                </a:solidFill>
              </a:rPr>
              <a:t> cells to NON-CONFIDENTIAL</a:t>
            </a:r>
            <a:endParaRPr lang="en-AU" sz="1200" b="1">
              <a:solidFill>
                <a:schemeClr val="accent6">
                  <a:lumMod val="75000"/>
                </a:schemeClr>
              </a:solidFill>
            </a:endParaRPr>
          </a:p>
        </xdr:txBody>
      </xdr:sp>
    </xdr:grpSp>
    <xdr:clientData/>
  </xdr:twoCellAnchor>
</xdr:wsDr>
</file>

<file path=xl/drawings/drawing11.xml><?xml version="1.0" encoding="utf-8"?>
<xdr:wsDr xmlns:xdr="http://schemas.openxmlformats.org/drawingml/2006/spreadsheetDrawing" xmlns:a="http://schemas.openxmlformats.org/drawingml/2006/main">
  <xdr:twoCellAnchor>
    <xdr:from>
      <xdr:col>3</xdr:col>
      <xdr:colOff>268940</xdr:colOff>
      <xdr:row>0</xdr:row>
      <xdr:rowOff>44823</xdr:rowOff>
    </xdr:from>
    <xdr:to>
      <xdr:col>3</xdr:col>
      <xdr:colOff>1277469</xdr:colOff>
      <xdr:row>3</xdr:row>
      <xdr:rowOff>156882</xdr:rowOff>
    </xdr:to>
    <xdr:grpSp>
      <xdr:nvGrpSpPr>
        <xdr:cNvPr id="9" name="Group 8"/>
        <xdr:cNvGrpSpPr/>
      </xdr:nvGrpSpPr>
      <xdr:grpSpPr>
        <a:xfrm>
          <a:off x="268940" y="44823"/>
          <a:ext cx="1008529" cy="1010130"/>
          <a:chOff x="0" y="1560739"/>
          <a:chExt cx="762000" cy="931132"/>
        </a:xfrm>
      </xdr:grpSpPr>
      <xdr:pic>
        <xdr:nvPicPr>
          <xdr:cNvPr id="10" name="Picture 3" descr="item"/>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60739"/>
            <a:ext cx="762000" cy="4898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1" name="AutoShape 4">
            <a:hlinkClick xmlns:r="http://schemas.openxmlformats.org/officeDocument/2006/relationships" r:id="rId2"/>
          </xdr:cNvPr>
          <xdr:cNvSpPr>
            <a:spLocks noChangeArrowheads="1"/>
          </xdr:cNvSpPr>
        </xdr:nvSpPr>
        <xdr:spPr bwMode="auto">
          <a:xfrm>
            <a:off x="19050" y="2039711"/>
            <a:ext cx="736671" cy="234132"/>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0" i="0" u="none" strike="noStrike" baseline="0">
                <a:solidFill>
                  <a:srgbClr val="000080"/>
                </a:solidFill>
                <a:latin typeface="Arial Black"/>
              </a:rPr>
              <a:t>Contents</a:t>
            </a:r>
          </a:p>
        </xdr:txBody>
      </xdr:sp>
      <xdr:sp macro="" textlink="">
        <xdr:nvSpPr>
          <xdr:cNvPr id="12" name="AutoShape 5">
            <a:hlinkClick xmlns:r="http://schemas.openxmlformats.org/officeDocument/2006/relationships" r:id="rId3"/>
          </xdr:cNvPr>
          <xdr:cNvSpPr>
            <a:spLocks noChangeArrowheads="1"/>
          </xdr:cNvSpPr>
        </xdr:nvSpPr>
        <xdr:spPr bwMode="auto">
          <a:xfrm>
            <a:off x="19050" y="2261507"/>
            <a:ext cx="736671" cy="23036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650" b="0" i="0" u="none" strike="noStrike" baseline="0">
                <a:solidFill>
                  <a:srgbClr val="000080"/>
                </a:solidFill>
                <a:latin typeface="Arial Black"/>
              </a:rPr>
              <a:t>Instructions</a:t>
            </a:r>
          </a:p>
        </xdr:txBody>
      </xdr:sp>
    </xdr:grpSp>
    <xdr:clientData/>
  </xdr:twoCellAnchor>
  <xdr:twoCellAnchor>
    <xdr:from>
      <xdr:col>10</xdr:col>
      <xdr:colOff>217714</xdr:colOff>
      <xdr:row>0</xdr:row>
      <xdr:rowOff>136071</xdr:rowOff>
    </xdr:from>
    <xdr:to>
      <xdr:col>13</xdr:col>
      <xdr:colOff>184017</xdr:colOff>
      <xdr:row>2</xdr:row>
      <xdr:rowOff>206028</xdr:rowOff>
    </xdr:to>
    <xdr:grpSp>
      <xdr:nvGrpSpPr>
        <xdr:cNvPr id="6" name="Group 5"/>
        <xdr:cNvGrpSpPr/>
      </xdr:nvGrpSpPr>
      <xdr:grpSpPr>
        <a:xfrm>
          <a:off x="13307785" y="136071"/>
          <a:ext cx="3109553" cy="668671"/>
          <a:chOff x="7608794" y="145676"/>
          <a:chExt cx="3047258" cy="652342"/>
        </a:xfrm>
      </xdr:grpSpPr>
      <xdr:sp macro="[0]!MarkConfidential" textlink="">
        <xdr:nvSpPr>
          <xdr:cNvPr id="7" name="Rounded Rectangle 6"/>
          <xdr:cNvSpPr/>
        </xdr:nvSpPr>
        <xdr:spPr>
          <a:xfrm>
            <a:off x="7608794" y="145676"/>
            <a:ext cx="3047258" cy="269785"/>
          </a:xfrm>
          <a:prstGeom prst="roundRect">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200" b="1">
                <a:solidFill>
                  <a:srgbClr val="FF0000"/>
                </a:solidFill>
                <a:latin typeface="Calibri" panose="020F0502020204030204" pitchFamily="34" charset="0"/>
                <a:cs typeface="Calibri" panose="020F0502020204030204" pitchFamily="34" charset="0"/>
              </a:rPr>
              <a:t>Mark selected</a:t>
            </a:r>
            <a:r>
              <a:rPr lang="en-AU" sz="1200" b="1" baseline="0">
                <a:solidFill>
                  <a:srgbClr val="FF0000"/>
                </a:solidFill>
                <a:latin typeface="Calibri" panose="020F0502020204030204" pitchFamily="34" charset="0"/>
                <a:cs typeface="Calibri" panose="020F0502020204030204" pitchFamily="34" charset="0"/>
              </a:rPr>
              <a:t> cells CONFIDENTIAL</a:t>
            </a:r>
            <a:endParaRPr lang="en-AU" sz="12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8" name="Rounded Rectangle 7"/>
          <xdr:cNvSpPr/>
        </xdr:nvSpPr>
        <xdr:spPr>
          <a:xfrm>
            <a:off x="7608794" y="517036"/>
            <a:ext cx="3036935" cy="280982"/>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200" b="1">
                <a:solidFill>
                  <a:schemeClr val="accent6">
                    <a:lumMod val="75000"/>
                  </a:schemeClr>
                </a:solidFill>
              </a:rPr>
              <a:t>Return</a:t>
            </a:r>
            <a:r>
              <a:rPr lang="en-AU" sz="1200" b="1" baseline="0">
                <a:solidFill>
                  <a:schemeClr val="accent6">
                    <a:lumMod val="75000"/>
                  </a:schemeClr>
                </a:solidFill>
              </a:rPr>
              <a:t> cells to NON-CONFIDENTIAL</a:t>
            </a:r>
            <a:endParaRPr lang="en-AU" sz="1200" b="1">
              <a:solidFill>
                <a:schemeClr val="accent6">
                  <a:lumMod val="75000"/>
                </a:schemeClr>
              </a:solidFill>
            </a:endParaRPr>
          </a:p>
        </xdr:txBody>
      </xdr:sp>
    </xdr:grp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168087</xdr:colOff>
      <xdr:row>0</xdr:row>
      <xdr:rowOff>44823</xdr:rowOff>
    </xdr:from>
    <xdr:to>
      <xdr:col>0</xdr:col>
      <xdr:colOff>987237</xdr:colOff>
      <xdr:row>3</xdr:row>
      <xdr:rowOff>156882</xdr:rowOff>
    </xdr:to>
    <xdr:grpSp>
      <xdr:nvGrpSpPr>
        <xdr:cNvPr id="2" name="Group 1"/>
        <xdr:cNvGrpSpPr/>
      </xdr:nvGrpSpPr>
      <xdr:grpSpPr>
        <a:xfrm>
          <a:off x="168087" y="44823"/>
          <a:ext cx="819150" cy="1010130"/>
          <a:chOff x="0" y="1560739"/>
          <a:chExt cx="762000" cy="931132"/>
        </a:xfrm>
      </xdr:grpSpPr>
      <xdr:pic>
        <xdr:nvPicPr>
          <xdr:cNvPr id="3" name="Picture 3" descr="item"/>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60739"/>
            <a:ext cx="762000" cy="4898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4" name="AutoShape 4">
            <a:hlinkClick xmlns:r="http://schemas.openxmlformats.org/officeDocument/2006/relationships" r:id="rId2"/>
          </xdr:cNvPr>
          <xdr:cNvSpPr>
            <a:spLocks noChangeArrowheads="1"/>
          </xdr:cNvSpPr>
        </xdr:nvSpPr>
        <xdr:spPr bwMode="auto">
          <a:xfrm>
            <a:off x="19050" y="2039711"/>
            <a:ext cx="736671" cy="234132"/>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0" i="0" u="none" strike="noStrike" baseline="0">
                <a:solidFill>
                  <a:srgbClr val="000080"/>
                </a:solidFill>
                <a:latin typeface="Arial Black"/>
              </a:rPr>
              <a:t>Contents</a:t>
            </a:r>
          </a:p>
        </xdr:txBody>
      </xdr:sp>
      <xdr:sp macro="" textlink="">
        <xdr:nvSpPr>
          <xdr:cNvPr id="5" name="AutoShape 5">
            <a:hlinkClick xmlns:r="http://schemas.openxmlformats.org/officeDocument/2006/relationships" r:id="rId3"/>
          </xdr:cNvPr>
          <xdr:cNvSpPr>
            <a:spLocks noChangeArrowheads="1"/>
          </xdr:cNvSpPr>
        </xdr:nvSpPr>
        <xdr:spPr bwMode="auto">
          <a:xfrm>
            <a:off x="19050" y="2261507"/>
            <a:ext cx="736671" cy="23036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650" b="0" i="0" u="none" strike="noStrike" baseline="0">
                <a:solidFill>
                  <a:srgbClr val="000080"/>
                </a:solidFill>
                <a:latin typeface="Arial Black"/>
              </a:rPr>
              <a:t>Instructions</a:t>
            </a:r>
          </a:p>
        </xdr:txBody>
      </xdr:sp>
    </xdr:grpSp>
    <xdr:clientData/>
  </xdr:twoCellAnchor>
  <xdr:twoCellAnchor>
    <xdr:from>
      <xdr:col>8</xdr:col>
      <xdr:colOff>13608</xdr:colOff>
      <xdr:row>0</xdr:row>
      <xdr:rowOff>163286</xdr:rowOff>
    </xdr:from>
    <xdr:to>
      <xdr:col>10</xdr:col>
      <xdr:colOff>1027661</xdr:colOff>
      <xdr:row>2</xdr:row>
      <xdr:rowOff>233243</xdr:rowOff>
    </xdr:to>
    <xdr:grpSp>
      <xdr:nvGrpSpPr>
        <xdr:cNvPr id="6" name="Group 5"/>
        <xdr:cNvGrpSpPr/>
      </xdr:nvGrpSpPr>
      <xdr:grpSpPr>
        <a:xfrm>
          <a:off x="10627179" y="163286"/>
          <a:ext cx="3109553" cy="668671"/>
          <a:chOff x="7608794" y="145676"/>
          <a:chExt cx="3047258" cy="652342"/>
        </a:xfrm>
      </xdr:grpSpPr>
      <xdr:sp macro="[0]!MarkConfidential" textlink="">
        <xdr:nvSpPr>
          <xdr:cNvPr id="7" name="Rounded Rectangle 6"/>
          <xdr:cNvSpPr/>
        </xdr:nvSpPr>
        <xdr:spPr>
          <a:xfrm>
            <a:off x="7608794" y="145676"/>
            <a:ext cx="3047258" cy="269785"/>
          </a:xfrm>
          <a:prstGeom prst="roundRect">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200" b="1">
                <a:solidFill>
                  <a:srgbClr val="FF0000"/>
                </a:solidFill>
                <a:latin typeface="Calibri" panose="020F0502020204030204" pitchFamily="34" charset="0"/>
                <a:cs typeface="Calibri" panose="020F0502020204030204" pitchFamily="34" charset="0"/>
              </a:rPr>
              <a:t>Mark selected</a:t>
            </a:r>
            <a:r>
              <a:rPr lang="en-AU" sz="1200" b="1" baseline="0">
                <a:solidFill>
                  <a:srgbClr val="FF0000"/>
                </a:solidFill>
                <a:latin typeface="Calibri" panose="020F0502020204030204" pitchFamily="34" charset="0"/>
                <a:cs typeface="Calibri" panose="020F0502020204030204" pitchFamily="34" charset="0"/>
              </a:rPr>
              <a:t> cells CONFIDENTIAL</a:t>
            </a:r>
            <a:endParaRPr lang="en-AU" sz="12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8" name="Rounded Rectangle 7"/>
          <xdr:cNvSpPr/>
        </xdr:nvSpPr>
        <xdr:spPr>
          <a:xfrm>
            <a:off x="7608794" y="517036"/>
            <a:ext cx="3036935" cy="280982"/>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200" b="1">
                <a:solidFill>
                  <a:schemeClr val="accent6">
                    <a:lumMod val="75000"/>
                  </a:schemeClr>
                </a:solidFill>
              </a:rPr>
              <a:t>Return</a:t>
            </a:r>
            <a:r>
              <a:rPr lang="en-AU" sz="1200" b="1" baseline="0">
                <a:solidFill>
                  <a:schemeClr val="accent6">
                    <a:lumMod val="75000"/>
                  </a:schemeClr>
                </a:solidFill>
              </a:rPr>
              <a:t> cells to NON-CONFIDENTIAL</a:t>
            </a:r>
            <a:endParaRPr lang="en-AU" sz="1200" b="1">
              <a:solidFill>
                <a:schemeClr val="accent6">
                  <a:lumMod val="75000"/>
                </a:schemeClr>
              </a:solidFill>
            </a:endParaRPr>
          </a:p>
        </xdr:txBody>
      </xdr:sp>
    </xdr:grpSp>
    <xdr:clientData/>
  </xdr:twoCellAnchor>
</xdr:wsDr>
</file>

<file path=xl/drawings/drawing13.xml><?xml version="1.0" encoding="utf-8"?>
<xdr:wsDr xmlns:xdr="http://schemas.openxmlformats.org/drawingml/2006/spreadsheetDrawing" xmlns:a="http://schemas.openxmlformats.org/drawingml/2006/main">
  <xdr:twoCellAnchor>
    <xdr:from>
      <xdr:col>3</xdr:col>
      <xdr:colOff>112058</xdr:colOff>
      <xdr:row>0</xdr:row>
      <xdr:rowOff>123264</xdr:rowOff>
    </xdr:from>
    <xdr:to>
      <xdr:col>3</xdr:col>
      <xdr:colOff>806262</xdr:colOff>
      <xdr:row>3</xdr:row>
      <xdr:rowOff>159123</xdr:rowOff>
    </xdr:to>
    <xdr:grpSp>
      <xdr:nvGrpSpPr>
        <xdr:cNvPr id="2" name="Group 1"/>
        <xdr:cNvGrpSpPr/>
      </xdr:nvGrpSpPr>
      <xdr:grpSpPr>
        <a:xfrm>
          <a:off x="112058" y="123264"/>
          <a:ext cx="694204" cy="933930"/>
          <a:chOff x="0" y="1560739"/>
          <a:chExt cx="762000" cy="931132"/>
        </a:xfrm>
      </xdr:grpSpPr>
      <xdr:pic>
        <xdr:nvPicPr>
          <xdr:cNvPr id="3" name="Picture 3" descr="item"/>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60739"/>
            <a:ext cx="762000" cy="4898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4" name="AutoShape 4">
            <a:hlinkClick xmlns:r="http://schemas.openxmlformats.org/officeDocument/2006/relationships" r:id="rId2"/>
          </xdr:cNvPr>
          <xdr:cNvSpPr>
            <a:spLocks noChangeArrowheads="1"/>
          </xdr:cNvSpPr>
        </xdr:nvSpPr>
        <xdr:spPr bwMode="auto">
          <a:xfrm>
            <a:off x="19050" y="2039711"/>
            <a:ext cx="736671" cy="234132"/>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0" i="0" u="none" strike="noStrike" baseline="0">
                <a:solidFill>
                  <a:srgbClr val="000080"/>
                </a:solidFill>
                <a:latin typeface="Arial Black"/>
              </a:rPr>
              <a:t>Contents</a:t>
            </a:r>
          </a:p>
        </xdr:txBody>
      </xdr:sp>
      <xdr:sp macro="" textlink="">
        <xdr:nvSpPr>
          <xdr:cNvPr id="5" name="AutoShape 5">
            <a:hlinkClick xmlns:r="http://schemas.openxmlformats.org/officeDocument/2006/relationships" r:id="rId3"/>
          </xdr:cNvPr>
          <xdr:cNvSpPr>
            <a:spLocks noChangeArrowheads="1"/>
          </xdr:cNvSpPr>
        </xdr:nvSpPr>
        <xdr:spPr bwMode="auto">
          <a:xfrm>
            <a:off x="19050" y="2261507"/>
            <a:ext cx="736671" cy="23036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650" b="0" i="0" u="none" strike="noStrike" baseline="0">
                <a:solidFill>
                  <a:srgbClr val="000080"/>
                </a:solidFill>
                <a:latin typeface="Arial Black"/>
              </a:rPr>
              <a:t>Instructions</a:t>
            </a:r>
          </a:p>
        </xdr:txBody>
      </xdr:sp>
    </xdr:grpSp>
    <xdr:clientData/>
  </xdr:twoCellAnchor>
  <xdr:twoCellAnchor>
    <xdr:from>
      <xdr:col>13</xdr:col>
      <xdr:colOff>432955</xdr:colOff>
      <xdr:row>0</xdr:row>
      <xdr:rowOff>155864</xdr:rowOff>
    </xdr:from>
    <xdr:to>
      <xdr:col>16</xdr:col>
      <xdr:colOff>252053</xdr:colOff>
      <xdr:row>2</xdr:row>
      <xdr:rowOff>201080</xdr:rowOff>
    </xdr:to>
    <xdr:grpSp>
      <xdr:nvGrpSpPr>
        <xdr:cNvPr id="6" name="Group 5"/>
        <xdr:cNvGrpSpPr/>
      </xdr:nvGrpSpPr>
      <xdr:grpSpPr>
        <a:xfrm>
          <a:off x="16026741" y="155864"/>
          <a:ext cx="3098419" cy="643930"/>
          <a:chOff x="7608794" y="145676"/>
          <a:chExt cx="3047258" cy="652342"/>
        </a:xfrm>
      </xdr:grpSpPr>
      <xdr:sp macro="[0]!MarkConfidential" textlink="">
        <xdr:nvSpPr>
          <xdr:cNvPr id="7" name="Rounded Rectangle 6"/>
          <xdr:cNvSpPr/>
        </xdr:nvSpPr>
        <xdr:spPr>
          <a:xfrm>
            <a:off x="7608794" y="145676"/>
            <a:ext cx="3047258" cy="269785"/>
          </a:xfrm>
          <a:prstGeom prst="roundRect">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200" b="1">
                <a:solidFill>
                  <a:srgbClr val="FF0000"/>
                </a:solidFill>
                <a:latin typeface="Calibri" panose="020F0502020204030204" pitchFamily="34" charset="0"/>
                <a:cs typeface="Calibri" panose="020F0502020204030204" pitchFamily="34" charset="0"/>
              </a:rPr>
              <a:t>Mark selected</a:t>
            </a:r>
            <a:r>
              <a:rPr lang="en-AU" sz="1200" b="1" baseline="0">
                <a:solidFill>
                  <a:srgbClr val="FF0000"/>
                </a:solidFill>
                <a:latin typeface="Calibri" panose="020F0502020204030204" pitchFamily="34" charset="0"/>
                <a:cs typeface="Calibri" panose="020F0502020204030204" pitchFamily="34" charset="0"/>
              </a:rPr>
              <a:t> cells CONFIDENTIAL</a:t>
            </a:r>
            <a:endParaRPr lang="en-AU" sz="12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8" name="Rounded Rectangle 7"/>
          <xdr:cNvSpPr/>
        </xdr:nvSpPr>
        <xdr:spPr>
          <a:xfrm>
            <a:off x="7608794" y="517036"/>
            <a:ext cx="3036935" cy="280982"/>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200" b="1">
                <a:solidFill>
                  <a:schemeClr val="accent6">
                    <a:lumMod val="75000"/>
                  </a:schemeClr>
                </a:solidFill>
              </a:rPr>
              <a:t>Return</a:t>
            </a:r>
            <a:r>
              <a:rPr lang="en-AU" sz="1200" b="1" baseline="0">
                <a:solidFill>
                  <a:schemeClr val="accent6">
                    <a:lumMod val="75000"/>
                  </a:schemeClr>
                </a:solidFill>
              </a:rPr>
              <a:t> cells to NON-CONFIDENTIAL</a:t>
            </a:r>
            <a:endParaRPr lang="en-AU" sz="1200" b="1">
              <a:solidFill>
                <a:schemeClr val="accent6">
                  <a:lumMod val="75000"/>
                </a:schemeClr>
              </a:solidFill>
            </a:endParaRPr>
          </a:p>
        </xdr:txBody>
      </xdr:sp>
    </xdr:grpSp>
    <xdr:clientData/>
  </xdr:twoCellAnchor>
</xdr:wsDr>
</file>

<file path=xl/drawings/drawing14.xml><?xml version="1.0" encoding="utf-8"?>
<xdr:wsDr xmlns:xdr="http://schemas.openxmlformats.org/drawingml/2006/spreadsheetDrawing" xmlns:a="http://schemas.openxmlformats.org/drawingml/2006/main">
  <xdr:twoCellAnchor>
    <xdr:from>
      <xdr:col>3</xdr:col>
      <xdr:colOff>112058</xdr:colOff>
      <xdr:row>0</xdr:row>
      <xdr:rowOff>123264</xdr:rowOff>
    </xdr:from>
    <xdr:to>
      <xdr:col>3</xdr:col>
      <xdr:colOff>806262</xdr:colOff>
      <xdr:row>3</xdr:row>
      <xdr:rowOff>159123</xdr:rowOff>
    </xdr:to>
    <xdr:grpSp>
      <xdr:nvGrpSpPr>
        <xdr:cNvPr id="2" name="Group 1"/>
        <xdr:cNvGrpSpPr/>
      </xdr:nvGrpSpPr>
      <xdr:grpSpPr>
        <a:xfrm>
          <a:off x="112058" y="123264"/>
          <a:ext cx="694204" cy="933930"/>
          <a:chOff x="0" y="1560739"/>
          <a:chExt cx="762000" cy="931132"/>
        </a:xfrm>
      </xdr:grpSpPr>
      <xdr:pic>
        <xdr:nvPicPr>
          <xdr:cNvPr id="3" name="Picture 3" descr="item"/>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60739"/>
            <a:ext cx="762000" cy="4898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4" name="AutoShape 4">
            <a:hlinkClick xmlns:r="http://schemas.openxmlformats.org/officeDocument/2006/relationships" r:id="rId2"/>
          </xdr:cNvPr>
          <xdr:cNvSpPr>
            <a:spLocks noChangeArrowheads="1"/>
          </xdr:cNvSpPr>
        </xdr:nvSpPr>
        <xdr:spPr bwMode="auto">
          <a:xfrm>
            <a:off x="19050" y="2039711"/>
            <a:ext cx="736671" cy="234132"/>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0" i="0" u="none" strike="noStrike" baseline="0">
                <a:solidFill>
                  <a:srgbClr val="000080"/>
                </a:solidFill>
                <a:latin typeface="Arial Black"/>
              </a:rPr>
              <a:t>Contents</a:t>
            </a:r>
          </a:p>
        </xdr:txBody>
      </xdr:sp>
      <xdr:sp macro="" textlink="">
        <xdr:nvSpPr>
          <xdr:cNvPr id="5" name="AutoShape 5">
            <a:hlinkClick xmlns:r="http://schemas.openxmlformats.org/officeDocument/2006/relationships" r:id="rId3"/>
          </xdr:cNvPr>
          <xdr:cNvSpPr>
            <a:spLocks noChangeArrowheads="1"/>
          </xdr:cNvSpPr>
        </xdr:nvSpPr>
        <xdr:spPr bwMode="auto">
          <a:xfrm>
            <a:off x="19050" y="2261507"/>
            <a:ext cx="736671" cy="23036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650" b="0" i="0" u="none" strike="noStrike" baseline="0">
                <a:solidFill>
                  <a:srgbClr val="000080"/>
                </a:solidFill>
                <a:latin typeface="Arial Black"/>
              </a:rPr>
              <a:t>Instructions</a:t>
            </a:r>
          </a:p>
        </xdr:txBody>
      </xdr:sp>
    </xdr:grpSp>
    <xdr:clientData/>
  </xdr:twoCellAnchor>
  <xdr:twoCellAnchor>
    <xdr:from>
      <xdr:col>11</xdr:col>
      <xdr:colOff>163286</xdr:colOff>
      <xdr:row>0</xdr:row>
      <xdr:rowOff>95249</xdr:rowOff>
    </xdr:from>
    <xdr:to>
      <xdr:col>14</xdr:col>
      <xdr:colOff>129589</xdr:colOff>
      <xdr:row>2</xdr:row>
      <xdr:rowOff>165206</xdr:rowOff>
    </xdr:to>
    <xdr:grpSp>
      <xdr:nvGrpSpPr>
        <xdr:cNvPr id="6" name="Group 5"/>
        <xdr:cNvGrpSpPr/>
      </xdr:nvGrpSpPr>
      <xdr:grpSpPr>
        <a:xfrm>
          <a:off x="12831536" y="95249"/>
          <a:ext cx="3109553" cy="668671"/>
          <a:chOff x="7608794" y="145676"/>
          <a:chExt cx="3047258" cy="652342"/>
        </a:xfrm>
      </xdr:grpSpPr>
      <xdr:sp macro="[0]!MarkConfidential" textlink="">
        <xdr:nvSpPr>
          <xdr:cNvPr id="7" name="Rounded Rectangle 6"/>
          <xdr:cNvSpPr/>
        </xdr:nvSpPr>
        <xdr:spPr>
          <a:xfrm>
            <a:off x="7608794" y="145676"/>
            <a:ext cx="3047258" cy="269785"/>
          </a:xfrm>
          <a:prstGeom prst="roundRect">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200" b="1">
                <a:solidFill>
                  <a:srgbClr val="FF0000"/>
                </a:solidFill>
                <a:latin typeface="Calibri" panose="020F0502020204030204" pitchFamily="34" charset="0"/>
                <a:cs typeface="Calibri" panose="020F0502020204030204" pitchFamily="34" charset="0"/>
              </a:rPr>
              <a:t>Mark selected</a:t>
            </a:r>
            <a:r>
              <a:rPr lang="en-AU" sz="1200" b="1" baseline="0">
                <a:solidFill>
                  <a:srgbClr val="FF0000"/>
                </a:solidFill>
                <a:latin typeface="Calibri" panose="020F0502020204030204" pitchFamily="34" charset="0"/>
                <a:cs typeface="Calibri" panose="020F0502020204030204" pitchFamily="34" charset="0"/>
              </a:rPr>
              <a:t> cells CONFIDENTIAL</a:t>
            </a:r>
            <a:endParaRPr lang="en-AU" sz="12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8" name="Rounded Rectangle 7"/>
          <xdr:cNvSpPr/>
        </xdr:nvSpPr>
        <xdr:spPr>
          <a:xfrm>
            <a:off x="7608794" y="517036"/>
            <a:ext cx="3036935" cy="280982"/>
          </a:xfrm>
          <a:prstGeom prst="roundRect">
            <a:avLst/>
          </a:prstGeom>
          <a:solidFill>
            <a:srgbClr val="FFFFCC"/>
          </a:solidFill>
          <a:ln>
            <a:solidFill>
              <a:srgbClr val="FFFFCC"/>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200" b="1">
                <a:solidFill>
                  <a:schemeClr val="accent6">
                    <a:lumMod val="75000"/>
                  </a:schemeClr>
                </a:solidFill>
              </a:rPr>
              <a:t>Return</a:t>
            </a:r>
            <a:r>
              <a:rPr lang="en-AU" sz="1200" b="1" baseline="0">
                <a:solidFill>
                  <a:schemeClr val="accent6">
                    <a:lumMod val="75000"/>
                  </a:schemeClr>
                </a:solidFill>
              </a:rPr>
              <a:t> cells to NON-CONFIDENTIAL</a:t>
            </a:r>
            <a:endParaRPr lang="en-AU" sz="1200" b="1">
              <a:solidFill>
                <a:schemeClr val="accent6">
                  <a:lumMod val="75000"/>
                </a:schemeClr>
              </a:solidFill>
            </a:endParaRPr>
          </a:p>
        </xdr:txBody>
      </xdr:sp>
    </xdr:grp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112058</xdr:colOff>
      <xdr:row>0</xdr:row>
      <xdr:rowOff>123264</xdr:rowOff>
    </xdr:from>
    <xdr:to>
      <xdr:col>0</xdr:col>
      <xdr:colOff>806262</xdr:colOff>
      <xdr:row>3</xdr:row>
      <xdr:rowOff>159123</xdr:rowOff>
    </xdr:to>
    <xdr:grpSp>
      <xdr:nvGrpSpPr>
        <xdr:cNvPr id="2" name="Group 1"/>
        <xdr:cNvGrpSpPr/>
      </xdr:nvGrpSpPr>
      <xdr:grpSpPr>
        <a:xfrm>
          <a:off x="112058" y="123264"/>
          <a:ext cx="694204" cy="933930"/>
          <a:chOff x="0" y="1560739"/>
          <a:chExt cx="762000" cy="931132"/>
        </a:xfrm>
      </xdr:grpSpPr>
      <xdr:pic>
        <xdr:nvPicPr>
          <xdr:cNvPr id="3" name="Picture 3" descr="item"/>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60739"/>
            <a:ext cx="762000" cy="4898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4" name="AutoShape 4">
            <a:hlinkClick xmlns:r="http://schemas.openxmlformats.org/officeDocument/2006/relationships" r:id="rId2"/>
          </xdr:cNvPr>
          <xdr:cNvSpPr>
            <a:spLocks noChangeArrowheads="1"/>
          </xdr:cNvSpPr>
        </xdr:nvSpPr>
        <xdr:spPr bwMode="auto">
          <a:xfrm>
            <a:off x="19050" y="2039711"/>
            <a:ext cx="736671" cy="234132"/>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0" i="0" u="none" strike="noStrike" baseline="0">
                <a:solidFill>
                  <a:srgbClr val="000080"/>
                </a:solidFill>
                <a:latin typeface="Arial Black"/>
              </a:rPr>
              <a:t>Contents</a:t>
            </a:r>
          </a:p>
        </xdr:txBody>
      </xdr:sp>
      <xdr:sp macro="" textlink="">
        <xdr:nvSpPr>
          <xdr:cNvPr id="5" name="AutoShape 5">
            <a:hlinkClick xmlns:r="http://schemas.openxmlformats.org/officeDocument/2006/relationships" r:id="rId3"/>
          </xdr:cNvPr>
          <xdr:cNvSpPr>
            <a:spLocks noChangeArrowheads="1"/>
          </xdr:cNvSpPr>
        </xdr:nvSpPr>
        <xdr:spPr bwMode="auto">
          <a:xfrm>
            <a:off x="19050" y="2261507"/>
            <a:ext cx="736671" cy="23036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650" b="0" i="0" u="none" strike="noStrike" baseline="0">
                <a:solidFill>
                  <a:srgbClr val="000080"/>
                </a:solidFill>
                <a:latin typeface="Arial Black"/>
              </a:rPr>
              <a:t>Instructions</a:t>
            </a:r>
          </a:p>
        </xdr:txBody>
      </xdr:sp>
    </xdr:grpSp>
    <xdr:clientData/>
  </xdr:twoCellAnchor>
  <xdr:twoCellAnchor>
    <xdr:from>
      <xdr:col>6</xdr:col>
      <xdr:colOff>163286</xdr:colOff>
      <xdr:row>0</xdr:row>
      <xdr:rowOff>122464</xdr:rowOff>
    </xdr:from>
    <xdr:to>
      <xdr:col>9</xdr:col>
      <xdr:colOff>129589</xdr:colOff>
      <xdr:row>2</xdr:row>
      <xdr:rowOff>192421</xdr:rowOff>
    </xdr:to>
    <xdr:grpSp>
      <xdr:nvGrpSpPr>
        <xdr:cNvPr id="6" name="Group 5"/>
        <xdr:cNvGrpSpPr/>
      </xdr:nvGrpSpPr>
      <xdr:grpSpPr>
        <a:xfrm>
          <a:off x="11430000" y="122464"/>
          <a:ext cx="3109553" cy="668671"/>
          <a:chOff x="7608794" y="145676"/>
          <a:chExt cx="3047258" cy="652342"/>
        </a:xfrm>
      </xdr:grpSpPr>
      <xdr:sp macro="[0]!MarkConfidential" textlink="">
        <xdr:nvSpPr>
          <xdr:cNvPr id="7" name="Rounded Rectangle 6"/>
          <xdr:cNvSpPr/>
        </xdr:nvSpPr>
        <xdr:spPr>
          <a:xfrm>
            <a:off x="7608794" y="145676"/>
            <a:ext cx="3047258" cy="269785"/>
          </a:xfrm>
          <a:prstGeom prst="roundRect">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200" b="1">
                <a:solidFill>
                  <a:srgbClr val="FF0000"/>
                </a:solidFill>
                <a:latin typeface="Calibri" panose="020F0502020204030204" pitchFamily="34" charset="0"/>
                <a:cs typeface="Calibri" panose="020F0502020204030204" pitchFamily="34" charset="0"/>
              </a:rPr>
              <a:t>Mark selected</a:t>
            </a:r>
            <a:r>
              <a:rPr lang="en-AU" sz="1200" b="1" baseline="0">
                <a:solidFill>
                  <a:srgbClr val="FF0000"/>
                </a:solidFill>
                <a:latin typeface="Calibri" panose="020F0502020204030204" pitchFamily="34" charset="0"/>
                <a:cs typeface="Calibri" panose="020F0502020204030204" pitchFamily="34" charset="0"/>
              </a:rPr>
              <a:t> cells CONFIDENTIAL</a:t>
            </a:r>
            <a:endParaRPr lang="en-AU" sz="12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8" name="Rounded Rectangle 7"/>
          <xdr:cNvSpPr/>
        </xdr:nvSpPr>
        <xdr:spPr>
          <a:xfrm>
            <a:off x="7608794" y="517036"/>
            <a:ext cx="3036935" cy="280982"/>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200" b="1">
                <a:solidFill>
                  <a:schemeClr val="accent6">
                    <a:lumMod val="75000"/>
                  </a:schemeClr>
                </a:solidFill>
              </a:rPr>
              <a:t>Return</a:t>
            </a:r>
            <a:r>
              <a:rPr lang="en-AU" sz="1200" b="1" baseline="0">
                <a:solidFill>
                  <a:schemeClr val="accent6">
                    <a:lumMod val="75000"/>
                  </a:schemeClr>
                </a:solidFill>
              </a:rPr>
              <a:t> cells to NON-CONFIDENTIAL</a:t>
            </a:r>
            <a:endParaRPr lang="en-AU" sz="1200" b="1">
              <a:solidFill>
                <a:schemeClr val="accent6">
                  <a:lumMod val="75000"/>
                </a:schemeClr>
              </a:solidFill>
            </a:endParaRPr>
          </a:p>
        </xdr:txBody>
      </xdr:sp>
    </xdr:grp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112058</xdr:colOff>
      <xdr:row>0</xdr:row>
      <xdr:rowOff>123264</xdr:rowOff>
    </xdr:from>
    <xdr:to>
      <xdr:col>0</xdr:col>
      <xdr:colOff>806262</xdr:colOff>
      <xdr:row>3</xdr:row>
      <xdr:rowOff>140073</xdr:rowOff>
    </xdr:to>
    <xdr:grpSp>
      <xdr:nvGrpSpPr>
        <xdr:cNvPr id="2" name="Group 1"/>
        <xdr:cNvGrpSpPr/>
      </xdr:nvGrpSpPr>
      <xdr:grpSpPr>
        <a:xfrm>
          <a:off x="112058" y="123264"/>
          <a:ext cx="675154" cy="951991"/>
          <a:chOff x="0" y="1560739"/>
          <a:chExt cx="762000" cy="931132"/>
        </a:xfrm>
      </xdr:grpSpPr>
      <xdr:pic>
        <xdr:nvPicPr>
          <xdr:cNvPr id="3" name="Picture 3" descr="item"/>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60739"/>
            <a:ext cx="762000" cy="4898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4" name="AutoShape 4">
            <a:hlinkClick xmlns:r="http://schemas.openxmlformats.org/officeDocument/2006/relationships" r:id="rId2"/>
          </xdr:cNvPr>
          <xdr:cNvSpPr>
            <a:spLocks noChangeArrowheads="1"/>
          </xdr:cNvSpPr>
        </xdr:nvSpPr>
        <xdr:spPr bwMode="auto">
          <a:xfrm>
            <a:off x="19050" y="2039711"/>
            <a:ext cx="736671" cy="234132"/>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0" i="0" u="none" strike="noStrike" baseline="0">
                <a:solidFill>
                  <a:srgbClr val="000080"/>
                </a:solidFill>
                <a:latin typeface="Arial Black"/>
              </a:rPr>
              <a:t>Contents</a:t>
            </a:r>
          </a:p>
        </xdr:txBody>
      </xdr:sp>
      <xdr:sp macro="" textlink="">
        <xdr:nvSpPr>
          <xdr:cNvPr id="5" name="AutoShape 5">
            <a:hlinkClick xmlns:r="http://schemas.openxmlformats.org/officeDocument/2006/relationships" r:id="rId3"/>
          </xdr:cNvPr>
          <xdr:cNvSpPr>
            <a:spLocks noChangeArrowheads="1"/>
          </xdr:cNvSpPr>
        </xdr:nvSpPr>
        <xdr:spPr bwMode="auto">
          <a:xfrm>
            <a:off x="19050" y="2261507"/>
            <a:ext cx="736671" cy="23036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650" b="0" i="0" u="none" strike="noStrike" baseline="0">
                <a:solidFill>
                  <a:srgbClr val="000080"/>
                </a:solidFill>
                <a:latin typeface="Arial Black"/>
              </a:rPr>
              <a:t>Instructions</a:t>
            </a:r>
          </a:p>
        </xdr:txBody>
      </xdr:sp>
    </xdr:grpSp>
    <xdr:clientData/>
  </xdr:twoCellAnchor>
  <xdr:twoCellAnchor>
    <xdr:from>
      <xdr:col>6</xdr:col>
      <xdr:colOff>201705</xdr:colOff>
      <xdr:row>0</xdr:row>
      <xdr:rowOff>134471</xdr:rowOff>
    </xdr:from>
    <xdr:to>
      <xdr:col>7</xdr:col>
      <xdr:colOff>801141</xdr:colOff>
      <xdr:row>2</xdr:row>
      <xdr:rowOff>198024</xdr:rowOff>
    </xdr:to>
    <xdr:grpSp>
      <xdr:nvGrpSpPr>
        <xdr:cNvPr id="6" name="Group 5"/>
        <xdr:cNvGrpSpPr/>
      </xdr:nvGrpSpPr>
      <xdr:grpSpPr>
        <a:xfrm>
          <a:off x="9847932" y="134471"/>
          <a:ext cx="2937391" cy="687008"/>
          <a:chOff x="7608794" y="145676"/>
          <a:chExt cx="3047258" cy="652342"/>
        </a:xfrm>
      </xdr:grpSpPr>
      <xdr:sp macro="[0]!MarkConfidential" textlink="">
        <xdr:nvSpPr>
          <xdr:cNvPr id="7" name="Rounded Rectangle 6"/>
          <xdr:cNvSpPr/>
        </xdr:nvSpPr>
        <xdr:spPr>
          <a:xfrm>
            <a:off x="7608794" y="145676"/>
            <a:ext cx="3047258" cy="269785"/>
          </a:xfrm>
          <a:prstGeom prst="roundRect">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200" b="1">
                <a:solidFill>
                  <a:srgbClr val="FF0000"/>
                </a:solidFill>
                <a:latin typeface="Calibri" panose="020F0502020204030204" pitchFamily="34" charset="0"/>
                <a:cs typeface="Calibri" panose="020F0502020204030204" pitchFamily="34" charset="0"/>
              </a:rPr>
              <a:t>Mark selected</a:t>
            </a:r>
            <a:r>
              <a:rPr lang="en-AU" sz="1200" b="1" baseline="0">
                <a:solidFill>
                  <a:srgbClr val="FF0000"/>
                </a:solidFill>
                <a:latin typeface="Calibri" panose="020F0502020204030204" pitchFamily="34" charset="0"/>
                <a:cs typeface="Calibri" panose="020F0502020204030204" pitchFamily="34" charset="0"/>
              </a:rPr>
              <a:t> cells CONFIDENTIAL</a:t>
            </a:r>
            <a:endParaRPr lang="en-AU" sz="12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8" name="Rounded Rectangle 7"/>
          <xdr:cNvSpPr/>
        </xdr:nvSpPr>
        <xdr:spPr>
          <a:xfrm>
            <a:off x="7608794" y="517036"/>
            <a:ext cx="3036935" cy="280982"/>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200" b="1">
                <a:solidFill>
                  <a:schemeClr val="accent6">
                    <a:lumMod val="75000"/>
                  </a:schemeClr>
                </a:solidFill>
              </a:rPr>
              <a:t>Return</a:t>
            </a:r>
            <a:r>
              <a:rPr lang="en-AU" sz="1200" b="1" baseline="0">
                <a:solidFill>
                  <a:schemeClr val="accent6">
                    <a:lumMod val="75000"/>
                  </a:schemeClr>
                </a:solidFill>
              </a:rPr>
              <a:t> cells to NON-CONFIDENTIAL</a:t>
            </a:r>
            <a:endParaRPr lang="en-AU" sz="1200" b="1">
              <a:solidFill>
                <a:schemeClr val="accent6">
                  <a:lumMod val="75000"/>
                </a:schemeClr>
              </a:solidFill>
            </a:endParaRPr>
          </a:p>
        </xdr:txBody>
      </xdr:sp>
    </xdr:grp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112058</xdr:colOff>
      <xdr:row>0</xdr:row>
      <xdr:rowOff>123264</xdr:rowOff>
    </xdr:from>
    <xdr:to>
      <xdr:col>0</xdr:col>
      <xdr:colOff>806262</xdr:colOff>
      <xdr:row>3</xdr:row>
      <xdr:rowOff>140073</xdr:rowOff>
    </xdr:to>
    <xdr:grpSp>
      <xdr:nvGrpSpPr>
        <xdr:cNvPr id="2" name="Group 1"/>
        <xdr:cNvGrpSpPr/>
      </xdr:nvGrpSpPr>
      <xdr:grpSpPr>
        <a:xfrm>
          <a:off x="112058" y="123264"/>
          <a:ext cx="694204" cy="914880"/>
          <a:chOff x="0" y="1560739"/>
          <a:chExt cx="762000" cy="931132"/>
        </a:xfrm>
      </xdr:grpSpPr>
      <xdr:pic>
        <xdr:nvPicPr>
          <xdr:cNvPr id="3" name="Picture 3" descr="item"/>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60739"/>
            <a:ext cx="762000" cy="4898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4" name="AutoShape 4">
            <a:hlinkClick xmlns:r="http://schemas.openxmlformats.org/officeDocument/2006/relationships" r:id="rId2"/>
          </xdr:cNvPr>
          <xdr:cNvSpPr>
            <a:spLocks noChangeArrowheads="1"/>
          </xdr:cNvSpPr>
        </xdr:nvSpPr>
        <xdr:spPr bwMode="auto">
          <a:xfrm>
            <a:off x="19050" y="2039711"/>
            <a:ext cx="736671" cy="234132"/>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0" i="0" u="none" strike="noStrike" baseline="0">
                <a:solidFill>
                  <a:srgbClr val="000080"/>
                </a:solidFill>
                <a:latin typeface="Arial Black"/>
              </a:rPr>
              <a:t>Contents</a:t>
            </a:r>
          </a:p>
        </xdr:txBody>
      </xdr:sp>
      <xdr:sp macro="" textlink="">
        <xdr:nvSpPr>
          <xdr:cNvPr id="5" name="AutoShape 5">
            <a:hlinkClick xmlns:r="http://schemas.openxmlformats.org/officeDocument/2006/relationships" r:id="rId3"/>
          </xdr:cNvPr>
          <xdr:cNvSpPr>
            <a:spLocks noChangeArrowheads="1"/>
          </xdr:cNvSpPr>
        </xdr:nvSpPr>
        <xdr:spPr bwMode="auto">
          <a:xfrm>
            <a:off x="19050" y="2261507"/>
            <a:ext cx="736671" cy="23036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650" b="0" i="0" u="none" strike="noStrike" baseline="0">
                <a:solidFill>
                  <a:srgbClr val="000080"/>
                </a:solidFill>
                <a:latin typeface="Arial Black"/>
              </a:rPr>
              <a:t>Instructions</a:t>
            </a:r>
          </a:p>
        </xdr:txBody>
      </xdr:sp>
    </xdr:grpSp>
    <xdr:clientData/>
  </xdr:twoCellAnchor>
  <xdr:twoCellAnchor>
    <xdr:from>
      <xdr:col>8</xdr:col>
      <xdr:colOff>217715</xdr:colOff>
      <xdr:row>0</xdr:row>
      <xdr:rowOff>163285</xdr:rowOff>
    </xdr:from>
    <xdr:to>
      <xdr:col>11</xdr:col>
      <xdr:colOff>184018</xdr:colOff>
      <xdr:row>2</xdr:row>
      <xdr:rowOff>233242</xdr:rowOff>
    </xdr:to>
    <xdr:grpSp>
      <xdr:nvGrpSpPr>
        <xdr:cNvPr id="6" name="Group 5"/>
        <xdr:cNvGrpSpPr/>
      </xdr:nvGrpSpPr>
      <xdr:grpSpPr>
        <a:xfrm>
          <a:off x="10668001" y="163285"/>
          <a:ext cx="3109553" cy="668671"/>
          <a:chOff x="7608794" y="145676"/>
          <a:chExt cx="3047258" cy="652342"/>
        </a:xfrm>
      </xdr:grpSpPr>
      <xdr:sp macro="[0]!MarkConfidential" textlink="">
        <xdr:nvSpPr>
          <xdr:cNvPr id="7" name="Rounded Rectangle 6"/>
          <xdr:cNvSpPr/>
        </xdr:nvSpPr>
        <xdr:spPr>
          <a:xfrm>
            <a:off x="7608794" y="145676"/>
            <a:ext cx="3047258" cy="269785"/>
          </a:xfrm>
          <a:prstGeom prst="roundRect">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200" b="1">
                <a:solidFill>
                  <a:srgbClr val="FF0000"/>
                </a:solidFill>
                <a:latin typeface="Calibri" panose="020F0502020204030204" pitchFamily="34" charset="0"/>
                <a:cs typeface="Calibri" panose="020F0502020204030204" pitchFamily="34" charset="0"/>
              </a:rPr>
              <a:t>Mark selected</a:t>
            </a:r>
            <a:r>
              <a:rPr lang="en-AU" sz="1200" b="1" baseline="0">
                <a:solidFill>
                  <a:srgbClr val="FF0000"/>
                </a:solidFill>
                <a:latin typeface="Calibri" panose="020F0502020204030204" pitchFamily="34" charset="0"/>
                <a:cs typeface="Calibri" panose="020F0502020204030204" pitchFamily="34" charset="0"/>
              </a:rPr>
              <a:t> cells CONFIDENTIAL</a:t>
            </a:r>
            <a:endParaRPr lang="en-AU" sz="12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8" name="Rounded Rectangle 7"/>
          <xdr:cNvSpPr/>
        </xdr:nvSpPr>
        <xdr:spPr>
          <a:xfrm>
            <a:off x="7608794" y="517036"/>
            <a:ext cx="3036935" cy="280982"/>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200" b="1">
                <a:solidFill>
                  <a:schemeClr val="accent6">
                    <a:lumMod val="75000"/>
                  </a:schemeClr>
                </a:solidFill>
              </a:rPr>
              <a:t>Return</a:t>
            </a:r>
            <a:r>
              <a:rPr lang="en-AU" sz="1200" b="1" baseline="0">
                <a:solidFill>
                  <a:schemeClr val="accent6">
                    <a:lumMod val="75000"/>
                  </a:schemeClr>
                </a:solidFill>
              </a:rPr>
              <a:t> cells to NON-CONFIDENTIAL</a:t>
            </a:r>
            <a:endParaRPr lang="en-AU" sz="1200" b="1">
              <a:solidFill>
                <a:schemeClr val="accent6">
                  <a:lumMod val="75000"/>
                </a:schemeClr>
              </a:solidFill>
            </a:endParaRPr>
          </a:p>
        </xdr:txBody>
      </xdr:sp>
    </xdr:grpSp>
    <xdr:clientData/>
  </xdr:twoCellAnchor>
  <xdr:twoCellAnchor>
    <xdr:from>
      <xdr:col>0</xdr:col>
      <xdr:colOff>112058</xdr:colOff>
      <xdr:row>0</xdr:row>
      <xdr:rowOff>123264</xdr:rowOff>
    </xdr:from>
    <xdr:to>
      <xdr:col>0</xdr:col>
      <xdr:colOff>806262</xdr:colOff>
      <xdr:row>3</xdr:row>
      <xdr:rowOff>140073</xdr:rowOff>
    </xdr:to>
    <xdr:grpSp>
      <xdr:nvGrpSpPr>
        <xdr:cNvPr id="9" name="Group 8"/>
        <xdr:cNvGrpSpPr/>
      </xdr:nvGrpSpPr>
      <xdr:grpSpPr>
        <a:xfrm>
          <a:off x="112058" y="123264"/>
          <a:ext cx="694204" cy="914880"/>
          <a:chOff x="0" y="1560739"/>
          <a:chExt cx="762000" cy="931132"/>
        </a:xfrm>
      </xdr:grpSpPr>
      <xdr:pic>
        <xdr:nvPicPr>
          <xdr:cNvPr id="10" name="Picture 3" descr="item"/>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60739"/>
            <a:ext cx="762000" cy="4898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1" name="AutoShape 4">
            <a:hlinkClick xmlns:r="http://schemas.openxmlformats.org/officeDocument/2006/relationships" r:id="rId2"/>
          </xdr:cNvPr>
          <xdr:cNvSpPr>
            <a:spLocks noChangeArrowheads="1"/>
          </xdr:cNvSpPr>
        </xdr:nvSpPr>
        <xdr:spPr bwMode="auto">
          <a:xfrm>
            <a:off x="19050" y="2039711"/>
            <a:ext cx="736671" cy="234132"/>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0" i="0" u="none" strike="noStrike" baseline="0">
                <a:solidFill>
                  <a:srgbClr val="000080"/>
                </a:solidFill>
                <a:latin typeface="Arial Black"/>
              </a:rPr>
              <a:t>Contents</a:t>
            </a:r>
          </a:p>
        </xdr:txBody>
      </xdr:sp>
      <xdr:sp macro="" textlink="">
        <xdr:nvSpPr>
          <xdr:cNvPr id="12" name="AutoShape 5">
            <a:hlinkClick xmlns:r="http://schemas.openxmlformats.org/officeDocument/2006/relationships" r:id="rId3"/>
          </xdr:cNvPr>
          <xdr:cNvSpPr>
            <a:spLocks noChangeArrowheads="1"/>
          </xdr:cNvSpPr>
        </xdr:nvSpPr>
        <xdr:spPr bwMode="auto">
          <a:xfrm>
            <a:off x="19050" y="2261507"/>
            <a:ext cx="736671" cy="23036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650" b="0" i="0" u="none" strike="noStrike" baseline="0">
                <a:solidFill>
                  <a:srgbClr val="000080"/>
                </a:solidFill>
                <a:latin typeface="Arial Black"/>
              </a:rPr>
              <a:t>Instructions</a:t>
            </a:r>
          </a:p>
        </xdr:txBody>
      </xdr:sp>
    </xdr:grpSp>
    <xdr:clientData/>
  </xdr:twoCellAnchor>
  <xdr:twoCellAnchor>
    <xdr:from>
      <xdr:col>8</xdr:col>
      <xdr:colOff>217715</xdr:colOff>
      <xdr:row>0</xdr:row>
      <xdr:rowOff>163285</xdr:rowOff>
    </xdr:from>
    <xdr:to>
      <xdr:col>11</xdr:col>
      <xdr:colOff>184018</xdr:colOff>
      <xdr:row>2</xdr:row>
      <xdr:rowOff>233242</xdr:rowOff>
    </xdr:to>
    <xdr:grpSp>
      <xdr:nvGrpSpPr>
        <xdr:cNvPr id="13" name="Group 12"/>
        <xdr:cNvGrpSpPr/>
      </xdr:nvGrpSpPr>
      <xdr:grpSpPr>
        <a:xfrm>
          <a:off x="10668001" y="163285"/>
          <a:ext cx="3109553" cy="668671"/>
          <a:chOff x="7608794" y="145676"/>
          <a:chExt cx="3047258" cy="652342"/>
        </a:xfrm>
      </xdr:grpSpPr>
      <xdr:sp macro="[10]!MarkConfidential" textlink="">
        <xdr:nvSpPr>
          <xdr:cNvPr id="14" name="Rounded Rectangle 13"/>
          <xdr:cNvSpPr/>
        </xdr:nvSpPr>
        <xdr:spPr>
          <a:xfrm>
            <a:off x="7608794" y="145676"/>
            <a:ext cx="3047258" cy="269785"/>
          </a:xfrm>
          <a:prstGeom prst="roundRect">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200" b="1">
                <a:solidFill>
                  <a:srgbClr val="FF0000"/>
                </a:solidFill>
                <a:latin typeface="Calibri" panose="020F0502020204030204" pitchFamily="34" charset="0"/>
                <a:cs typeface="Calibri" panose="020F0502020204030204" pitchFamily="34" charset="0"/>
              </a:rPr>
              <a:t>Mark selected</a:t>
            </a:r>
            <a:r>
              <a:rPr lang="en-AU" sz="1200" b="1" baseline="0">
                <a:solidFill>
                  <a:srgbClr val="FF0000"/>
                </a:solidFill>
                <a:latin typeface="Calibri" panose="020F0502020204030204" pitchFamily="34" charset="0"/>
                <a:cs typeface="Calibri" panose="020F0502020204030204" pitchFamily="34" charset="0"/>
              </a:rPr>
              <a:t> cells CONFIDENTIAL</a:t>
            </a:r>
            <a:endParaRPr lang="en-AU" sz="1200" b="1">
              <a:solidFill>
                <a:srgbClr val="FF0000"/>
              </a:solidFill>
              <a:latin typeface="Calibri" panose="020F0502020204030204" pitchFamily="34" charset="0"/>
              <a:cs typeface="Calibri" panose="020F0502020204030204" pitchFamily="34" charset="0"/>
            </a:endParaRPr>
          </a:p>
        </xdr:txBody>
      </xdr:sp>
      <xdr:sp macro="[10]!MarkNonConfidential" textlink="">
        <xdr:nvSpPr>
          <xdr:cNvPr id="15" name="Rounded Rectangle 14"/>
          <xdr:cNvSpPr/>
        </xdr:nvSpPr>
        <xdr:spPr>
          <a:xfrm>
            <a:off x="7608794" y="517036"/>
            <a:ext cx="3036935" cy="280982"/>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200" b="1">
                <a:solidFill>
                  <a:schemeClr val="accent6">
                    <a:lumMod val="75000"/>
                  </a:schemeClr>
                </a:solidFill>
              </a:rPr>
              <a:t>Return</a:t>
            </a:r>
            <a:r>
              <a:rPr lang="en-AU" sz="1200" b="1" baseline="0">
                <a:solidFill>
                  <a:schemeClr val="accent6">
                    <a:lumMod val="75000"/>
                  </a:schemeClr>
                </a:solidFill>
              </a:rPr>
              <a:t> cells to NON-CONFIDENTIAL</a:t>
            </a:r>
            <a:endParaRPr lang="en-AU" sz="1200" b="1">
              <a:solidFill>
                <a:schemeClr val="accent6">
                  <a:lumMod val="75000"/>
                </a:schemeClr>
              </a:solidFill>
            </a:endParaRPr>
          </a:p>
        </xdr:txBody>
      </xdr:sp>
    </xdr:grp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112058</xdr:colOff>
      <xdr:row>0</xdr:row>
      <xdr:rowOff>123264</xdr:rowOff>
    </xdr:from>
    <xdr:to>
      <xdr:col>0</xdr:col>
      <xdr:colOff>806262</xdr:colOff>
      <xdr:row>3</xdr:row>
      <xdr:rowOff>140073</xdr:rowOff>
    </xdr:to>
    <xdr:grpSp>
      <xdr:nvGrpSpPr>
        <xdr:cNvPr id="2" name="Group 1"/>
        <xdr:cNvGrpSpPr/>
      </xdr:nvGrpSpPr>
      <xdr:grpSpPr>
        <a:xfrm>
          <a:off x="112058" y="123264"/>
          <a:ext cx="694204" cy="914880"/>
          <a:chOff x="0" y="1560739"/>
          <a:chExt cx="762000" cy="931132"/>
        </a:xfrm>
      </xdr:grpSpPr>
      <xdr:pic>
        <xdr:nvPicPr>
          <xdr:cNvPr id="3" name="Picture 3" descr="item"/>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60739"/>
            <a:ext cx="762000" cy="4898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4" name="AutoShape 4">
            <a:hlinkClick xmlns:r="http://schemas.openxmlformats.org/officeDocument/2006/relationships" r:id="rId2"/>
          </xdr:cNvPr>
          <xdr:cNvSpPr>
            <a:spLocks noChangeArrowheads="1"/>
          </xdr:cNvSpPr>
        </xdr:nvSpPr>
        <xdr:spPr bwMode="auto">
          <a:xfrm>
            <a:off x="19050" y="2039711"/>
            <a:ext cx="736671" cy="234132"/>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0" i="0" u="none" strike="noStrike" baseline="0">
                <a:solidFill>
                  <a:srgbClr val="000080"/>
                </a:solidFill>
                <a:latin typeface="Arial Black"/>
              </a:rPr>
              <a:t>Contents</a:t>
            </a:r>
          </a:p>
        </xdr:txBody>
      </xdr:sp>
      <xdr:sp macro="" textlink="">
        <xdr:nvSpPr>
          <xdr:cNvPr id="5" name="AutoShape 5">
            <a:hlinkClick xmlns:r="http://schemas.openxmlformats.org/officeDocument/2006/relationships" r:id="rId3"/>
          </xdr:cNvPr>
          <xdr:cNvSpPr>
            <a:spLocks noChangeArrowheads="1"/>
          </xdr:cNvSpPr>
        </xdr:nvSpPr>
        <xdr:spPr bwMode="auto">
          <a:xfrm>
            <a:off x="19050" y="2261507"/>
            <a:ext cx="736671" cy="23036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650" b="0" i="0" u="none" strike="noStrike" baseline="0">
                <a:solidFill>
                  <a:srgbClr val="000080"/>
                </a:solidFill>
                <a:latin typeface="Arial Black"/>
              </a:rPr>
              <a:t>Instructions</a:t>
            </a:r>
          </a:p>
        </xdr:txBody>
      </xdr:sp>
    </xdr:grpSp>
    <xdr:clientData/>
  </xdr:twoCellAnchor>
  <xdr:twoCellAnchor>
    <xdr:from>
      <xdr:col>8</xdr:col>
      <xdr:colOff>544286</xdr:colOff>
      <xdr:row>0</xdr:row>
      <xdr:rowOff>149678</xdr:rowOff>
    </xdr:from>
    <xdr:to>
      <xdr:col>11</xdr:col>
      <xdr:colOff>510589</xdr:colOff>
      <xdr:row>2</xdr:row>
      <xdr:rowOff>219635</xdr:rowOff>
    </xdr:to>
    <xdr:grpSp>
      <xdr:nvGrpSpPr>
        <xdr:cNvPr id="6" name="Group 5"/>
        <xdr:cNvGrpSpPr/>
      </xdr:nvGrpSpPr>
      <xdr:grpSpPr>
        <a:xfrm>
          <a:off x="11389179" y="149678"/>
          <a:ext cx="3109553" cy="668671"/>
          <a:chOff x="7608794" y="145676"/>
          <a:chExt cx="3047258" cy="652342"/>
        </a:xfrm>
      </xdr:grpSpPr>
      <xdr:sp macro="[0]!MarkConfidential" textlink="">
        <xdr:nvSpPr>
          <xdr:cNvPr id="7" name="Rounded Rectangle 6"/>
          <xdr:cNvSpPr/>
        </xdr:nvSpPr>
        <xdr:spPr>
          <a:xfrm>
            <a:off x="7608794" y="145676"/>
            <a:ext cx="3047258" cy="269785"/>
          </a:xfrm>
          <a:prstGeom prst="roundRect">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200" b="1">
                <a:solidFill>
                  <a:srgbClr val="FF0000"/>
                </a:solidFill>
                <a:latin typeface="Calibri" panose="020F0502020204030204" pitchFamily="34" charset="0"/>
                <a:cs typeface="Calibri" panose="020F0502020204030204" pitchFamily="34" charset="0"/>
              </a:rPr>
              <a:t>Mark selected</a:t>
            </a:r>
            <a:r>
              <a:rPr lang="en-AU" sz="1200" b="1" baseline="0">
                <a:solidFill>
                  <a:srgbClr val="FF0000"/>
                </a:solidFill>
                <a:latin typeface="Calibri" panose="020F0502020204030204" pitchFamily="34" charset="0"/>
                <a:cs typeface="Calibri" panose="020F0502020204030204" pitchFamily="34" charset="0"/>
              </a:rPr>
              <a:t> cells CONFIDENTIAL</a:t>
            </a:r>
            <a:endParaRPr lang="en-AU" sz="12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8" name="Rounded Rectangle 7"/>
          <xdr:cNvSpPr/>
        </xdr:nvSpPr>
        <xdr:spPr>
          <a:xfrm>
            <a:off x="7608794" y="517036"/>
            <a:ext cx="3036935" cy="280982"/>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200" b="1">
                <a:solidFill>
                  <a:schemeClr val="accent6">
                    <a:lumMod val="75000"/>
                  </a:schemeClr>
                </a:solidFill>
              </a:rPr>
              <a:t>Return</a:t>
            </a:r>
            <a:r>
              <a:rPr lang="en-AU" sz="1200" b="1" baseline="0">
                <a:solidFill>
                  <a:schemeClr val="accent6">
                    <a:lumMod val="75000"/>
                  </a:schemeClr>
                </a:solidFill>
              </a:rPr>
              <a:t> cells to NON-CONFIDENTIAL</a:t>
            </a:r>
            <a:endParaRPr lang="en-AU" sz="1200" b="1">
              <a:solidFill>
                <a:schemeClr val="accent6">
                  <a:lumMod val="75000"/>
                </a:schemeClr>
              </a:solidFill>
            </a:endParaRPr>
          </a:p>
        </xdr:txBody>
      </xdr:sp>
    </xdr:grp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112058</xdr:colOff>
      <xdr:row>0</xdr:row>
      <xdr:rowOff>123264</xdr:rowOff>
    </xdr:from>
    <xdr:to>
      <xdr:col>0</xdr:col>
      <xdr:colOff>806262</xdr:colOff>
      <xdr:row>3</xdr:row>
      <xdr:rowOff>140073</xdr:rowOff>
    </xdr:to>
    <xdr:grpSp>
      <xdr:nvGrpSpPr>
        <xdr:cNvPr id="2" name="Group 1"/>
        <xdr:cNvGrpSpPr/>
      </xdr:nvGrpSpPr>
      <xdr:grpSpPr>
        <a:xfrm>
          <a:off x="112058" y="123264"/>
          <a:ext cx="694204" cy="931209"/>
          <a:chOff x="0" y="1560739"/>
          <a:chExt cx="762000" cy="931132"/>
        </a:xfrm>
      </xdr:grpSpPr>
      <xdr:pic>
        <xdr:nvPicPr>
          <xdr:cNvPr id="3" name="Picture 3" descr="item"/>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60739"/>
            <a:ext cx="762000" cy="4898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4" name="AutoShape 4">
            <a:hlinkClick xmlns:r="http://schemas.openxmlformats.org/officeDocument/2006/relationships" r:id="rId2"/>
          </xdr:cNvPr>
          <xdr:cNvSpPr>
            <a:spLocks noChangeArrowheads="1"/>
          </xdr:cNvSpPr>
        </xdr:nvSpPr>
        <xdr:spPr bwMode="auto">
          <a:xfrm>
            <a:off x="19050" y="2039711"/>
            <a:ext cx="736671" cy="234132"/>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0" i="0" u="none" strike="noStrike" baseline="0">
                <a:solidFill>
                  <a:srgbClr val="000080"/>
                </a:solidFill>
                <a:latin typeface="Arial Black"/>
              </a:rPr>
              <a:t>Contents</a:t>
            </a:r>
          </a:p>
        </xdr:txBody>
      </xdr:sp>
      <xdr:sp macro="" textlink="">
        <xdr:nvSpPr>
          <xdr:cNvPr id="5" name="AutoShape 5">
            <a:hlinkClick xmlns:r="http://schemas.openxmlformats.org/officeDocument/2006/relationships" r:id="rId3"/>
          </xdr:cNvPr>
          <xdr:cNvSpPr>
            <a:spLocks noChangeArrowheads="1"/>
          </xdr:cNvSpPr>
        </xdr:nvSpPr>
        <xdr:spPr bwMode="auto">
          <a:xfrm>
            <a:off x="19050" y="2261507"/>
            <a:ext cx="736671" cy="23036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650" b="0" i="0" u="none" strike="noStrike" baseline="0">
                <a:solidFill>
                  <a:srgbClr val="000080"/>
                </a:solidFill>
                <a:latin typeface="Arial Black"/>
              </a:rPr>
              <a:t>Instructions</a:t>
            </a:r>
          </a:p>
        </xdr:txBody>
      </xdr:sp>
    </xdr:grpSp>
    <xdr:clientData/>
  </xdr:twoCellAnchor>
  <xdr:twoCellAnchor>
    <xdr:from>
      <xdr:col>9</xdr:col>
      <xdr:colOff>506505</xdr:colOff>
      <xdr:row>0</xdr:row>
      <xdr:rowOff>103095</xdr:rowOff>
    </xdr:from>
    <xdr:to>
      <xdr:col>12</xdr:col>
      <xdr:colOff>607279</xdr:colOff>
      <xdr:row>2</xdr:row>
      <xdr:rowOff>162166</xdr:rowOff>
    </xdr:to>
    <xdr:grpSp>
      <xdr:nvGrpSpPr>
        <xdr:cNvPr id="6" name="Group 5"/>
        <xdr:cNvGrpSpPr/>
      </xdr:nvGrpSpPr>
      <xdr:grpSpPr>
        <a:xfrm>
          <a:off x="12361048" y="103095"/>
          <a:ext cx="3224974" cy="668671"/>
          <a:chOff x="7608794" y="145676"/>
          <a:chExt cx="3047258" cy="652342"/>
        </a:xfrm>
      </xdr:grpSpPr>
      <xdr:sp macro="[0]!MarkConfidential" textlink="">
        <xdr:nvSpPr>
          <xdr:cNvPr id="7" name="Rounded Rectangle 6"/>
          <xdr:cNvSpPr/>
        </xdr:nvSpPr>
        <xdr:spPr>
          <a:xfrm>
            <a:off x="7608794" y="145676"/>
            <a:ext cx="3047258" cy="269785"/>
          </a:xfrm>
          <a:prstGeom prst="roundRect">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200" b="1">
                <a:solidFill>
                  <a:srgbClr val="FF0000"/>
                </a:solidFill>
                <a:latin typeface="Calibri" panose="020F0502020204030204" pitchFamily="34" charset="0"/>
                <a:cs typeface="Calibri" panose="020F0502020204030204" pitchFamily="34" charset="0"/>
              </a:rPr>
              <a:t>Mark selected</a:t>
            </a:r>
            <a:r>
              <a:rPr lang="en-AU" sz="1200" b="1" baseline="0">
                <a:solidFill>
                  <a:srgbClr val="FF0000"/>
                </a:solidFill>
                <a:latin typeface="Calibri" panose="020F0502020204030204" pitchFamily="34" charset="0"/>
                <a:cs typeface="Calibri" panose="020F0502020204030204" pitchFamily="34" charset="0"/>
              </a:rPr>
              <a:t> cells CONFIDENTIAL</a:t>
            </a:r>
            <a:endParaRPr lang="en-AU" sz="12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8" name="Rounded Rectangle 7"/>
          <xdr:cNvSpPr/>
        </xdr:nvSpPr>
        <xdr:spPr>
          <a:xfrm>
            <a:off x="7608794" y="517036"/>
            <a:ext cx="3036935" cy="280982"/>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200" b="1">
                <a:solidFill>
                  <a:schemeClr val="accent6">
                    <a:lumMod val="75000"/>
                  </a:schemeClr>
                </a:solidFill>
              </a:rPr>
              <a:t>Return</a:t>
            </a:r>
            <a:r>
              <a:rPr lang="en-AU" sz="1200" b="1" baseline="0">
                <a:solidFill>
                  <a:schemeClr val="accent6">
                    <a:lumMod val="75000"/>
                  </a:schemeClr>
                </a:solidFill>
              </a:rPr>
              <a:t> cells to NON-CONFIDENTIAL</a:t>
            </a:r>
            <a:endParaRPr lang="en-AU" sz="1200" b="1">
              <a:solidFill>
                <a:schemeClr val="accent6">
                  <a:lumMod val="75000"/>
                </a:schemeClr>
              </a:solidFill>
            </a:endParaRPr>
          </a:p>
        </xdr:txBody>
      </xdr:sp>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11</xdr:col>
      <xdr:colOff>616884</xdr:colOff>
      <xdr:row>3</xdr:row>
      <xdr:rowOff>268381</xdr:rowOff>
    </xdr:from>
    <xdr:to>
      <xdr:col>12</xdr:col>
      <xdr:colOff>456080</xdr:colOff>
      <xdr:row>6</xdr:row>
      <xdr:rowOff>12887</xdr:rowOff>
    </xdr:to>
    <xdr:pic>
      <xdr:nvPicPr>
        <xdr:cNvPr id="105546" name="Picture 7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343590" y="739028"/>
          <a:ext cx="1139078" cy="7082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323849</xdr:colOff>
      <xdr:row>40</xdr:row>
      <xdr:rowOff>76200</xdr:rowOff>
    </xdr:from>
    <xdr:ext cx="2815200" cy="352800"/>
    <xdr:sp macro="" textlink="">
      <xdr:nvSpPr>
        <xdr:cNvPr id="13" name="Label13"/>
        <xdr:cNvSpPr txBox="1"/>
      </xdr:nvSpPr>
      <xdr:spPr>
        <a:xfrm>
          <a:off x="3105149" y="7848600"/>
          <a:ext cx="2815200" cy="352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lang="en-AU" sz="1100"/>
            <a:t>10 - Meter renewal &amp; upgrade</a:t>
          </a:r>
        </a:p>
      </xdr:txBody>
    </xdr:sp>
    <xdr:clientData/>
  </xdr:oneCellAnchor>
  <xdr:twoCellAnchor>
    <xdr:from>
      <xdr:col>6</xdr:col>
      <xdr:colOff>342501</xdr:colOff>
      <xdr:row>10</xdr:row>
      <xdr:rowOff>14288</xdr:rowOff>
    </xdr:from>
    <xdr:to>
      <xdr:col>8</xdr:col>
      <xdr:colOff>756158</xdr:colOff>
      <xdr:row>12</xdr:row>
      <xdr:rowOff>44225</xdr:rowOff>
    </xdr:to>
    <xdr:sp macro="" textlink="">
      <xdr:nvSpPr>
        <xdr:cNvPr id="62" name="Rounded Rectangle 61">
          <a:hlinkClick xmlns:r="http://schemas.openxmlformats.org/officeDocument/2006/relationships" r:id="rId2"/>
        </xdr:cNvPr>
        <xdr:cNvSpPr/>
      </xdr:nvSpPr>
      <xdr:spPr>
        <a:xfrm>
          <a:off x="6800451" y="2928938"/>
          <a:ext cx="2813957" cy="353787"/>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lvl="0" algn="l"/>
          <a:r>
            <a:rPr lang="en-AU" sz="1200" b="1">
              <a:solidFill>
                <a:schemeClr val="tx1"/>
              </a:solidFill>
            </a:rPr>
            <a:t>14. Overheads</a:t>
          </a:r>
        </a:p>
      </xdr:txBody>
    </xdr:sp>
    <xdr:clientData/>
  </xdr:twoCellAnchor>
  <xdr:twoCellAnchor>
    <xdr:from>
      <xdr:col>6</xdr:col>
      <xdr:colOff>341879</xdr:colOff>
      <xdr:row>16</xdr:row>
      <xdr:rowOff>144396</xdr:rowOff>
    </xdr:from>
    <xdr:to>
      <xdr:col>8</xdr:col>
      <xdr:colOff>756779</xdr:colOff>
      <xdr:row>19</xdr:row>
      <xdr:rowOff>11421</xdr:rowOff>
    </xdr:to>
    <xdr:sp macro="" textlink="">
      <xdr:nvSpPr>
        <xdr:cNvPr id="63" name="Rounded Rectangle 62">
          <a:hlinkClick xmlns:r="http://schemas.openxmlformats.org/officeDocument/2006/relationships" r:id="rId3"/>
        </xdr:cNvPr>
        <xdr:cNvSpPr/>
      </xdr:nvSpPr>
      <xdr:spPr>
        <a:xfrm>
          <a:off x="6799829" y="4030596"/>
          <a:ext cx="2815200" cy="3528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lvl="0" algn="l"/>
          <a:r>
            <a:rPr lang="en-AU" sz="1200" b="1">
              <a:solidFill>
                <a:schemeClr val="tx1"/>
              </a:solidFill>
            </a:rPr>
            <a:t>16. Capex allocation</a:t>
          </a:r>
          <a:endParaRPr lang="en-AU" sz="1100" b="1">
            <a:solidFill>
              <a:schemeClr val="tx1"/>
            </a:solidFill>
          </a:endParaRPr>
        </a:p>
      </xdr:txBody>
    </xdr:sp>
    <xdr:clientData/>
  </xdr:twoCellAnchor>
  <xdr:twoCellAnchor>
    <xdr:from>
      <xdr:col>6</xdr:col>
      <xdr:colOff>341879</xdr:colOff>
      <xdr:row>20</xdr:row>
      <xdr:rowOff>38805</xdr:rowOff>
    </xdr:from>
    <xdr:to>
      <xdr:col>8</xdr:col>
      <xdr:colOff>756779</xdr:colOff>
      <xdr:row>22</xdr:row>
      <xdr:rowOff>67755</xdr:rowOff>
    </xdr:to>
    <xdr:sp macro="" textlink="">
      <xdr:nvSpPr>
        <xdr:cNvPr id="64" name="Rounded Rectangle 63">
          <a:hlinkClick xmlns:r="http://schemas.openxmlformats.org/officeDocument/2006/relationships" r:id="rId4"/>
        </xdr:cNvPr>
        <xdr:cNvSpPr/>
      </xdr:nvSpPr>
      <xdr:spPr>
        <a:xfrm>
          <a:off x="6799829" y="4572705"/>
          <a:ext cx="2815200" cy="3528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lvl="0" algn="l"/>
          <a:r>
            <a:rPr lang="en-AU" sz="1200" b="1">
              <a:solidFill>
                <a:schemeClr val="tx1"/>
              </a:solidFill>
            </a:rPr>
            <a:t>17. Gross</a:t>
          </a:r>
          <a:r>
            <a:rPr lang="en-AU" sz="1200" b="1" baseline="0">
              <a:solidFill>
                <a:schemeClr val="tx1"/>
              </a:solidFill>
            </a:rPr>
            <a:t> capex</a:t>
          </a:r>
          <a:endParaRPr lang="en-AU" sz="1100" b="1">
            <a:solidFill>
              <a:schemeClr val="tx1"/>
            </a:solidFill>
          </a:endParaRPr>
        </a:p>
      </xdr:txBody>
    </xdr:sp>
    <xdr:clientData/>
  </xdr:twoCellAnchor>
  <xdr:twoCellAnchor>
    <xdr:from>
      <xdr:col>6</xdr:col>
      <xdr:colOff>341879</xdr:colOff>
      <xdr:row>26</xdr:row>
      <xdr:rowOff>151473</xdr:rowOff>
    </xdr:from>
    <xdr:to>
      <xdr:col>8</xdr:col>
      <xdr:colOff>756779</xdr:colOff>
      <xdr:row>29</xdr:row>
      <xdr:rowOff>18498</xdr:rowOff>
    </xdr:to>
    <xdr:sp macro="" textlink="">
      <xdr:nvSpPr>
        <xdr:cNvPr id="65" name="Rounded Rectangle 64">
          <a:hlinkClick xmlns:r="http://schemas.openxmlformats.org/officeDocument/2006/relationships" r:id="rId5"/>
        </xdr:cNvPr>
        <xdr:cNvSpPr/>
      </xdr:nvSpPr>
      <xdr:spPr>
        <a:xfrm>
          <a:off x="6799829" y="5656923"/>
          <a:ext cx="2815200" cy="3528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lvl="0" algn="l"/>
          <a:r>
            <a:rPr lang="en-AU" sz="1200" b="1">
              <a:solidFill>
                <a:schemeClr val="tx1"/>
              </a:solidFill>
            </a:rPr>
            <a:t>21. Indicative bill impacts</a:t>
          </a:r>
          <a:endParaRPr lang="en-AU" sz="1100" b="1">
            <a:solidFill>
              <a:schemeClr val="tx1"/>
            </a:solidFill>
          </a:endParaRPr>
        </a:p>
      </xdr:txBody>
    </xdr:sp>
    <xdr:clientData/>
  </xdr:twoCellAnchor>
  <xdr:twoCellAnchor>
    <xdr:from>
      <xdr:col>6</xdr:col>
      <xdr:colOff>341879</xdr:colOff>
      <xdr:row>30</xdr:row>
      <xdr:rowOff>45883</xdr:rowOff>
    </xdr:from>
    <xdr:to>
      <xdr:col>8</xdr:col>
      <xdr:colOff>756779</xdr:colOff>
      <xdr:row>32</xdr:row>
      <xdr:rowOff>74833</xdr:rowOff>
    </xdr:to>
    <xdr:sp macro="" textlink="">
      <xdr:nvSpPr>
        <xdr:cNvPr id="66" name="Rounded Rectangle 65">
          <a:hlinkClick xmlns:r="http://schemas.openxmlformats.org/officeDocument/2006/relationships" r:id="rId6"/>
        </xdr:cNvPr>
        <xdr:cNvSpPr/>
      </xdr:nvSpPr>
      <xdr:spPr>
        <a:xfrm>
          <a:off x="6799829" y="6199033"/>
          <a:ext cx="2815200" cy="3528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lvl="0" algn="l"/>
          <a:r>
            <a:rPr lang="en-AU" sz="1200" b="1">
              <a:solidFill>
                <a:schemeClr val="tx1"/>
              </a:solidFill>
            </a:rPr>
            <a:t>22. WACC inputs</a:t>
          </a:r>
          <a:endParaRPr lang="en-AU" sz="1100" b="1">
            <a:solidFill>
              <a:schemeClr val="tx1"/>
            </a:solidFill>
          </a:endParaRPr>
        </a:p>
      </xdr:txBody>
    </xdr:sp>
    <xdr:clientData/>
  </xdr:twoCellAnchor>
  <xdr:twoCellAnchor>
    <xdr:from>
      <xdr:col>6</xdr:col>
      <xdr:colOff>341879</xdr:colOff>
      <xdr:row>33</xdr:row>
      <xdr:rowOff>102218</xdr:rowOff>
    </xdr:from>
    <xdr:to>
      <xdr:col>8</xdr:col>
      <xdr:colOff>756779</xdr:colOff>
      <xdr:row>35</xdr:row>
      <xdr:rowOff>131168</xdr:rowOff>
    </xdr:to>
    <xdr:sp macro="" textlink="">
      <xdr:nvSpPr>
        <xdr:cNvPr id="67" name="Rounded Rectangle 66">
          <a:hlinkClick xmlns:r="http://schemas.openxmlformats.org/officeDocument/2006/relationships" r:id="rId7"/>
        </xdr:cNvPr>
        <xdr:cNvSpPr/>
      </xdr:nvSpPr>
      <xdr:spPr>
        <a:xfrm>
          <a:off x="6799829" y="6741143"/>
          <a:ext cx="2815200" cy="3528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lvl="0" algn="l"/>
          <a:r>
            <a:rPr lang="en-AU" sz="1200" b="1">
              <a:solidFill>
                <a:schemeClr val="tx1"/>
              </a:solidFill>
            </a:rPr>
            <a:t>23.1 Opex including RPM</a:t>
          </a:r>
          <a:endParaRPr lang="en-AU" sz="1100" b="1">
            <a:solidFill>
              <a:schemeClr val="tx1"/>
            </a:solidFill>
          </a:endParaRPr>
        </a:p>
      </xdr:txBody>
    </xdr:sp>
    <xdr:clientData/>
  </xdr:twoCellAnchor>
  <xdr:twoCellAnchor>
    <xdr:from>
      <xdr:col>6</xdr:col>
      <xdr:colOff>341879</xdr:colOff>
      <xdr:row>36</xdr:row>
      <xdr:rowOff>156511</xdr:rowOff>
    </xdr:from>
    <xdr:to>
      <xdr:col>8</xdr:col>
      <xdr:colOff>756779</xdr:colOff>
      <xdr:row>39</xdr:row>
      <xdr:rowOff>23536</xdr:rowOff>
    </xdr:to>
    <xdr:sp macro="" textlink="">
      <xdr:nvSpPr>
        <xdr:cNvPr id="68" name="Rounded Rectangle 67">
          <a:hlinkClick xmlns:r="http://schemas.openxmlformats.org/officeDocument/2006/relationships" r:id="rId8"/>
        </xdr:cNvPr>
        <xdr:cNvSpPr/>
      </xdr:nvSpPr>
      <xdr:spPr>
        <a:xfrm>
          <a:off x="6799829" y="7281211"/>
          <a:ext cx="2815200" cy="3528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lvl="0" algn="l"/>
          <a:r>
            <a:rPr lang="en-AU" sz="1200" b="1">
              <a:solidFill>
                <a:schemeClr val="tx1"/>
              </a:solidFill>
            </a:rPr>
            <a:t>23.2 Opex excluding RPM</a:t>
          </a:r>
          <a:endParaRPr lang="en-AU" sz="1100" b="1">
            <a:solidFill>
              <a:schemeClr val="tx1"/>
            </a:solidFill>
          </a:endParaRPr>
        </a:p>
      </xdr:txBody>
    </xdr:sp>
    <xdr:clientData/>
  </xdr:twoCellAnchor>
  <xdr:twoCellAnchor>
    <xdr:from>
      <xdr:col>6</xdr:col>
      <xdr:colOff>341879</xdr:colOff>
      <xdr:row>40</xdr:row>
      <xdr:rowOff>57542</xdr:rowOff>
    </xdr:from>
    <xdr:to>
      <xdr:col>8</xdr:col>
      <xdr:colOff>756779</xdr:colOff>
      <xdr:row>42</xdr:row>
      <xdr:rowOff>86492</xdr:rowOff>
    </xdr:to>
    <xdr:sp macro="" textlink="">
      <xdr:nvSpPr>
        <xdr:cNvPr id="69" name="Rounded Rectangle 68">
          <a:hlinkClick xmlns:r="http://schemas.openxmlformats.org/officeDocument/2006/relationships" r:id="rId9"/>
        </xdr:cNvPr>
        <xdr:cNvSpPr/>
      </xdr:nvSpPr>
      <xdr:spPr>
        <a:xfrm>
          <a:off x="6799829" y="7829942"/>
          <a:ext cx="2815200" cy="3528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lvl="0" algn="l"/>
          <a:r>
            <a:rPr lang="en-AU" sz="1200" b="1">
              <a:solidFill>
                <a:schemeClr val="tx1"/>
              </a:solidFill>
            </a:rPr>
            <a:t>23.3 Opex</a:t>
          </a:r>
          <a:r>
            <a:rPr lang="en-AU" sz="1200" b="1" baseline="0">
              <a:solidFill>
                <a:schemeClr val="tx1"/>
              </a:solidFill>
            </a:rPr>
            <a:t> base-step-trend</a:t>
          </a:r>
          <a:endParaRPr lang="en-AU" sz="1100" b="1">
            <a:solidFill>
              <a:schemeClr val="tx1"/>
            </a:solidFill>
          </a:endParaRPr>
        </a:p>
      </xdr:txBody>
    </xdr:sp>
    <xdr:clientData/>
  </xdr:twoCellAnchor>
  <xdr:twoCellAnchor>
    <xdr:from>
      <xdr:col>6</xdr:col>
      <xdr:colOff>341879</xdr:colOff>
      <xdr:row>43</xdr:row>
      <xdr:rowOff>107259</xdr:rowOff>
    </xdr:from>
    <xdr:to>
      <xdr:col>8</xdr:col>
      <xdr:colOff>756779</xdr:colOff>
      <xdr:row>45</xdr:row>
      <xdr:rowOff>136209</xdr:rowOff>
    </xdr:to>
    <xdr:sp macro="" textlink="">
      <xdr:nvSpPr>
        <xdr:cNvPr id="70" name="Rounded Rectangle 69">
          <a:hlinkClick xmlns:r="http://schemas.openxmlformats.org/officeDocument/2006/relationships" r:id="rId10"/>
        </xdr:cNvPr>
        <xdr:cNvSpPr/>
      </xdr:nvSpPr>
      <xdr:spPr>
        <a:xfrm>
          <a:off x="6799829" y="8365434"/>
          <a:ext cx="2815200" cy="3528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lvl="0" algn="l"/>
          <a:r>
            <a:rPr lang="en-AU" sz="1200" b="1">
              <a:solidFill>
                <a:schemeClr val="tx1"/>
              </a:solidFill>
            </a:rPr>
            <a:t>23.4 Opex incentive mechanism</a:t>
          </a:r>
          <a:endParaRPr lang="en-AU" sz="1100" b="1">
            <a:solidFill>
              <a:schemeClr val="tx1"/>
            </a:solidFill>
          </a:endParaRPr>
        </a:p>
      </xdr:txBody>
    </xdr:sp>
    <xdr:clientData/>
  </xdr:twoCellAnchor>
  <xdr:twoCellAnchor>
    <xdr:from>
      <xdr:col>10</xdr:col>
      <xdr:colOff>375158</xdr:colOff>
      <xdr:row>10</xdr:row>
      <xdr:rowOff>14288</xdr:rowOff>
    </xdr:from>
    <xdr:to>
      <xdr:col>13</xdr:col>
      <xdr:colOff>293515</xdr:colOff>
      <xdr:row>12</xdr:row>
      <xdr:rowOff>44225</xdr:rowOff>
    </xdr:to>
    <xdr:sp macro="" textlink="">
      <xdr:nvSpPr>
        <xdr:cNvPr id="71" name="Rounded Rectangle 70">
          <a:hlinkClick xmlns:r="http://schemas.openxmlformats.org/officeDocument/2006/relationships" r:id="rId11"/>
        </xdr:cNvPr>
        <xdr:cNvSpPr/>
      </xdr:nvSpPr>
      <xdr:spPr>
        <a:xfrm>
          <a:off x="10662158" y="2928938"/>
          <a:ext cx="2813957" cy="353787"/>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lvl="0" algn="l"/>
          <a:r>
            <a:rPr lang="en-AU" sz="1200" b="1">
              <a:solidFill>
                <a:schemeClr val="tx1"/>
              </a:solidFill>
            </a:rPr>
            <a:t>24. Cost category matrix</a:t>
          </a:r>
          <a:endParaRPr lang="en-AU" sz="1100" b="1">
            <a:solidFill>
              <a:schemeClr val="tx1"/>
            </a:solidFill>
          </a:endParaRPr>
        </a:p>
      </xdr:txBody>
    </xdr:sp>
    <xdr:clientData/>
  </xdr:twoCellAnchor>
  <xdr:twoCellAnchor>
    <xdr:from>
      <xdr:col>6</xdr:col>
      <xdr:colOff>341879</xdr:colOff>
      <xdr:row>13</xdr:row>
      <xdr:rowOff>80098</xdr:rowOff>
    </xdr:from>
    <xdr:to>
      <xdr:col>8</xdr:col>
      <xdr:colOff>756779</xdr:colOff>
      <xdr:row>15</xdr:row>
      <xdr:rowOff>109048</xdr:rowOff>
    </xdr:to>
    <xdr:sp macro="" textlink="">
      <xdr:nvSpPr>
        <xdr:cNvPr id="72" name="Rounded Rectangle 71">
          <a:hlinkClick xmlns:r="http://schemas.openxmlformats.org/officeDocument/2006/relationships" r:id="rId12"/>
        </xdr:cNvPr>
        <xdr:cNvSpPr/>
      </xdr:nvSpPr>
      <xdr:spPr>
        <a:xfrm>
          <a:off x="6799829" y="3480523"/>
          <a:ext cx="2815200" cy="3528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lvl="0" algn="l"/>
          <a:r>
            <a:rPr lang="en-AU" sz="1200" b="1">
              <a:solidFill>
                <a:schemeClr val="tx1"/>
              </a:solidFill>
            </a:rPr>
            <a:t>15. Related</a:t>
          </a:r>
          <a:r>
            <a:rPr lang="en-AU" sz="1200" b="1" baseline="0">
              <a:solidFill>
                <a:schemeClr val="tx1"/>
              </a:solidFill>
            </a:rPr>
            <a:t> party transactions</a:t>
          </a:r>
          <a:endParaRPr lang="en-AU" sz="1100" b="1">
            <a:solidFill>
              <a:schemeClr val="tx1"/>
            </a:solidFill>
          </a:endParaRPr>
        </a:p>
      </xdr:txBody>
    </xdr:sp>
    <xdr:clientData/>
  </xdr:twoCellAnchor>
  <xdr:twoCellAnchor>
    <xdr:from>
      <xdr:col>1</xdr:col>
      <xdr:colOff>323849</xdr:colOff>
      <xdr:row>10</xdr:row>
      <xdr:rowOff>19050</xdr:rowOff>
    </xdr:from>
    <xdr:to>
      <xdr:col>4</xdr:col>
      <xdr:colOff>891149</xdr:colOff>
      <xdr:row>12</xdr:row>
      <xdr:rowOff>48000</xdr:rowOff>
    </xdr:to>
    <xdr:sp macro="" textlink="">
      <xdr:nvSpPr>
        <xdr:cNvPr id="73" name="Rounded Rectangle 72">
          <a:hlinkClick xmlns:r="http://schemas.openxmlformats.org/officeDocument/2006/relationships" r:id="rId13"/>
        </xdr:cNvPr>
        <xdr:cNvSpPr/>
      </xdr:nvSpPr>
      <xdr:spPr>
        <a:xfrm>
          <a:off x="3105149" y="2933700"/>
          <a:ext cx="2815200" cy="3528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lvl="1" algn="l"/>
          <a:r>
            <a:rPr lang="en-AU" sz="1200" b="1">
              <a:solidFill>
                <a:schemeClr val="tx1"/>
              </a:solidFill>
            </a:rPr>
            <a:t>Instructions</a:t>
          </a:r>
          <a:endParaRPr lang="en-AU" sz="1100" b="1">
            <a:solidFill>
              <a:schemeClr val="tx1"/>
            </a:solidFill>
          </a:endParaRPr>
        </a:p>
      </xdr:txBody>
    </xdr:sp>
    <xdr:clientData/>
  </xdr:twoCellAnchor>
  <xdr:twoCellAnchor>
    <xdr:from>
      <xdr:col>1</xdr:col>
      <xdr:colOff>323849</xdr:colOff>
      <xdr:row>16</xdr:row>
      <xdr:rowOff>144396</xdr:rowOff>
    </xdr:from>
    <xdr:to>
      <xdr:col>4</xdr:col>
      <xdr:colOff>891149</xdr:colOff>
      <xdr:row>19</xdr:row>
      <xdr:rowOff>11421</xdr:rowOff>
    </xdr:to>
    <xdr:sp macro="" textlink="">
      <xdr:nvSpPr>
        <xdr:cNvPr id="74" name="Rounded Rectangle 73">
          <a:hlinkClick xmlns:r="http://schemas.openxmlformats.org/officeDocument/2006/relationships" r:id="rId14"/>
        </xdr:cNvPr>
        <xdr:cNvSpPr/>
      </xdr:nvSpPr>
      <xdr:spPr>
        <a:xfrm>
          <a:off x="3105149" y="4030596"/>
          <a:ext cx="2815200" cy="3528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lvl="0" algn="l"/>
          <a:r>
            <a:rPr lang="en-AU" sz="1200" b="1">
              <a:solidFill>
                <a:schemeClr val="tx1"/>
              </a:solidFill>
            </a:rPr>
            <a:t>1. CPI</a:t>
          </a:r>
          <a:endParaRPr lang="en-AU" sz="1100" b="1">
            <a:solidFill>
              <a:schemeClr val="tx1"/>
            </a:solidFill>
          </a:endParaRPr>
        </a:p>
      </xdr:txBody>
    </xdr:sp>
    <xdr:clientData/>
  </xdr:twoCellAnchor>
  <xdr:twoCellAnchor>
    <xdr:from>
      <xdr:col>1</xdr:col>
      <xdr:colOff>323849</xdr:colOff>
      <xdr:row>20</xdr:row>
      <xdr:rowOff>38805</xdr:rowOff>
    </xdr:from>
    <xdr:to>
      <xdr:col>4</xdr:col>
      <xdr:colOff>891149</xdr:colOff>
      <xdr:row>22</xdr:row>
      <xdr:rowOff>67755</xdr:rowOff>
    </xdr:to>
    <xdr:sp macro="" textlink="">
      <xdr:nvSpPr>
        <xdr:cNvPr id="75" name="Rounded Rectangle 74">
          <a:hlinkClick xmlns:r="http://schemas.openxmlformats.org/officeDocument/2006/relationships" r:id="rId15"/>
        </xdr:cNvPr>
        <xdr:cNvSpPr/>
      </xdr:nvSpPr>
      <xdr:spPr>
        <a:xfrm>
          <a:off x="3105149" y="4572705"/>
          <a:ext cx="2815200" cy="3528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lvl="0" algn="l"/>
          <a:r>
            <a:rPr lang="en-AU" sz="1200" b="1">
              <a:solidFill>
                <a:schemeClr val="tx1"/>
              </a:solidFill>
            </a:rPr>
            <a:t>2.</a:t>
          </a:r>
          <a:r>
            <a:rPr lang="en-AU" sz="1200" b="1" baseline="0">
              <a:solidFill>
                <a:schemeClr val="tx1"/>
              </a:solidFill>
            </a:rPr>
            <a:t> Escalators</a:t>
          </a:r>
          <a:endParaRPr lang="en-AU" sz="1100" b="1">
            <a:solidFill>
              <a:schemeClr val="tx1"/>
            </a:solidFill>
          </a:endParaRPr>
        </a:p>
      </xdr:txBody>
    </xdr:sp>
    <xdr:clientData/>
  </xdr:twoCellAnchor>
  <xdr:twoCellAnchor>
    <xdr:from>
      <xdr:col>1</xdr:col>
      <xdr:colOff>323849</xdr:colOff>
      <xdr:row>23</xdr:row>
      <xdr:rowOff>85614</xdr:rowOff>
    </xdr:from>
    <xdr:to>
      <xdr:col>4</xdr:col>
      <xdr:colOff>891149</xdr:colOff>
      <xdr:row>25</xdr:row>
      <xdr:rowOff>114564</xdr:rowOff>
    </xdr:to>
    <xdr:sp macro="" textlink="">
      <xdr:nvSpPr>
        <xdr:cNvPr id="76" name="Rounded Rectangle 75">
          <a:hlinkClick xmlns:r="http://schemas.openxmlformats.org/officeDocument/2006/relationships" r:id="rId16"/>
        </xdr:cNvPr>
        <xdr:cNvSpPr/>
      </xdr:nvSpPr>
      <xdr:spPr>
        <a:xfrm>
          <a:off x="3105149" y="5105289"/>
          <a:ext cx="2815200" cy="3528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lvl="0" algn="l"/>
          <a:r>
            <a:rPr lang="en-AU" sz="1200" b="1">
              <a:solidFill>
                <a:schemeClr val="tx1"/>
              </a:solidFill>
            </a:rPr>
            <a:t>4.</a:t>
          </a:r>
          <a:r>
            <a:rPr lang="en-AU" sz="1200" b="1" baseline="0">
              <a:solidFill>
                <a:schemeClr val="tx1"/>
              </a:solidFill>
            </a:rPr>
            <a:t> Connections market expansion</a:t>
          </a:r>
          <a:endParaRPr lang="en-AU" sz="1200" b="1">
            <a:solidFill>
              <a:schemeClr val="tx1"/>
            </a:solidFill>
          </a:endParaRPr>
        </a:p>
      </xdr:txBody>
    </xdr:sp>
    <xdr:clientData/>
  </xdr:twoCellAnchor>
  <xdr:twoCellAnchor>
    <xdr:from>
      <xdr:col>1</xdr:col>
      <xdr:colOff>323849</xdr:colOff>
      <xdr:row>26</xdr:row>
      <xdr:rowOff>151473</xdr:rowOff>
    </xdr:from>
    <xdr:to>
      <xdr:col>4</xdr:col>
      <xdr:colOff>891149</xdr:colOff>
      <xdr:row>29</xdr:row>
      <xdr:rowOff>18498</xdr:rowOff>
    </xdr:to>
    <xdr:sp macro="" textlink="">
      <xdr:nvSpPr>
        <xdr:cNvPr id="77" name="Rounded Rectangle 76">
          <a:hlinkClick xmlns:r="http://schemas.openxmlformats.org/officeDocument/2006/relationships" r:id="rId17"/>
        </xdr:cNvPr>
        <xdr:cNvSpPr/>
      </xdr:nvSpPr>
      <xdr:spPr>
        <a:xfrm>
          <a:off x="3105149" y="5656923"/>
          <a:ext cx="2815200" cy="3528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lvl="0" algn="l"/>
          <a:r>
            <a:rPr lang="en-AU" sz="1200" b="1">
              <a:solidFill>
                <a:schemeClr val="tx1"/>
              </a:solidFill>
            </a:rPr>
            <a:t>5.</a:t>
          </a:r>
          <a:r>
            <a:rPr lang="en-AU" sz="1200" b="1" baseline="0">
              <a:solidFill>
                <a:schemeClr val="tx1"/>
              </a:solidFill>
            </a:rPr>
            <a:t> Mains augmentation</a:t>
          </a:r>
          <a:endParaRPr lang="en-AU" sz="1100" b="1">
            <a:solidFill>
              <a:schemeClr val="tx1"/>
            </a:solidFill>
          </a:endParaRPr>
        </a:p>
      </xdr:txBody>
    </xdr:sp>
    <xdr:clientData/>
  </xdr:twoCellAnchor>
  <xdr:twoCellAnchor>
    <xdr:from>
      <xdr:col>1</xdr:col>
      <xdr:colOff>323849</xdr:colOff>
      <xdr:row>30</xdr:row>
      <xdr:rowOff>45883</xdr:rowOff>
    </xdr:from>
    <xdr:to>
      <xdr:col>4</xdr:col>
      <xdr:colOff>891149</xdr:colOff>
      <xdr:row>32</xdr:row>
      <xdr:rowOff>74833</xdr:rowOff>
    </xdr:to>
    <xdr:sp macro="" textlink="">
      <xdr:nvSpPr>
        <xdr:cNvPr id="78" name="Rounded Rectangle 77">
          <a:hlinkClick xmlns:r="http://schemas.openxmlformats.org/officeDocument/2006/relationships" r:id="rId18"/>
        </xdr:cNvPr>
        <xdr:cNvSpPr/>
      </xdr:nvSpPr>
      <xdr:spPr>
        <a:xfrm>
          <a:off x="3105149" y="6199033"/>
          <a:ext cx="2815200" cy="3528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lvl="0" algn="l"/>
          <a:r>
            <a:rPr lang="en-AU" sz="1200" b="1">
              <a:solidFill>
                <a:schemeClr val="tx1"/>
              </a:solidFill>
            </a:rPr>
            <a:t>6. Mains replacement</a:t>
          </a:r>
          <a:endParaRPr lang="en-AU" sz="1100" b="1">
            <a:solidFill>
              <a:schemeClr val="tx1"/>
            </a:solidFill>
          </a:endParaRPr>
        </a:p>
      </xdr:txBody>
    </xdr:sp>
    <xdr:clientData/>
  </xdr:twoCellAnchor>
  <xdr:twoCellAnchor>
    <xdr:from>
      <xdr:col>1</xdr:col>
      <xdr:colOff>323849</xdr:colOff>
      <xdr:row>33</xdr:row>
      <xdr:rowOff>102218</xdr:rowOff>
    </xdr:from>
    <xdr:to>
      <xdr:col>4</xdr:col>
      <xdr:colOff>891149</xdr:colOff>
      <xdr:row>35</xdr:row>
      <xdr:rowOff>131168</xdr:rowOff>
    </xdr:to>
    <xdr:sp macro="" textlink="">
      <xdr:nvSpPr>
        <xdr:cNvPr id="79" name="Rounded Rectangle 78">
          <a:hlinkClick xmlns:r="http://schemas.openxmlformats.org/officeDocument/2006/relationships" r:id="rId19"/>
        </xdr:cNvPr>
        <xdr:cNvSpPr/>
      </xdr:nvSpPr>
      <xdr:spPr>
        <a:xfrm>
          <a:off x="3105149" y="6741143"/>
          <a:ext cx="2815200" cy="3528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lvl="0" algn="l"/>
          <a:r>
            <a:rPr lang="en-AU" sz="1200" b="1">
              <a:solidFill>
                <a:schemeClr val="tx1"/>
              </a:solidFill>
            </a:rPr>
            <a:t>7. Telemetry</a:t>
          </a:r>
          <a:endParaRPr lang="en-AU" sz="1100" b="1">
            <a:solidFill>
              <a:schemeClr val="tx1"/>
            </a:solidFill>
          </a:endParaRPr>
        </a:p>
      </xdr:txBody>
    </xdr:sp>
    <xdr:clientData/>
  </xdr:twoCellAnchor>
  <xdr:twoCellAnchor>
    <xdr:from>
      <xdr:col>1</xdr:col>
      <xdr:colOff>323849</xdr:colOff>
      <xdr:row>36</xdr:row>
      <xdr:rowOff>156511</xdr:rowOff>
    </xdr:from>
    <xdr:to>
      <xdr:col>4</xdr:col>
      <xdr:colOff>891149</xdr:colOff>
      <xdr:row>39</xdr:row>
      <xdr:rowOff>23536</xdr:rowOff>
    </xdr:to>
    <xdr:sp macro="" textlink="">
      <xdr:nvSpPr>
        <xdr:cNvPr id="80" name="Rounded Rectangle 79">
          <a:hlinkClick xmlns:r="http://schemas.openxmlformats.org/officeDocument/2006/relationships" r:id="rId20"/>
        </xdr:cNvPr>
        <xdr:cNvSpPr/>
      </xdr:nvSpPr>
      <xdr:spPr>
        <a:xfrm>
          <a:off x="3105149" y="7281211"/>
          <a:ext cx="2815200" cy="3528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lvl="0" algn="l"/>
          <a:r>
            <a:rPr lang="en-AU" sz="1200" b="1">
              <a:solidFill>
                <a:schemeClr val="tx1"/>
              </a:solidFill>
            </a:rPr>
            <a:t>8. Meter replacement</a:t>
          </a:r>
          <a:endParaRPr lang="en-AU" sz="1100" b="1">
            <a:solidFill>
              <a:schemeClr val="tx1"/>
            </a:solidFill>
          </a:endParaRPr>
        </a:p>
      </xdr:txBody>
    </xdr:sp>
    <xdr:clientData/>
  </xdr:twoCellAnchor>
  <xdr:twoCellAnchor>
    <xdr:from>
      <xdr:col>1</xdr:col>
      <xdr:colOff>323849</xdr:colOff>
      <xdr:row>40</xdr:row>
      <xdr:rowOff>57542</xdr:rowOff>
    </xdr:from>
    <xdr:to>
      <xdr:col>4</xdr:col>
      <xdr:colOff>891149</xdr:colOff>
      <xdr:row>42</xdr:row>
      <xdr:rowOff>86492</xdr:rowOff>
    </xdr:to>
    <xdr:sp macro="" textlink="">
      <xdr:nvSpPr>
        <xdr:cNvPr id="81" name="Rounded Rectangle 80">
          <a:hlinkClick xmlns:r="http://schemas.openxmlformats.org/officeDocument/2006/relationships" r:id="rId21"/>
        </xdr:cNvPr>
        <xdr:cNvSpPr/>
      </xdr:nvSpPr>
      <xdr:spPr>
        <a:xfrm>
          <a:off x="3105149" y="7829942"/>
          <a:ext cx="2815200" cy="3528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lvl="0" algn="l"/>
          <a:r>
            <a:rPr lang="en-AU" sz="1200" b="1">
              <a:solidFill>
                <a:schemeClr val="tx1"/>
              </a:solidFill>
            </a:rPr>
            <a:t>9. Other capex</a:t>
          </a:r>
          <a:endParaRPr lang="en-AU" sz="1100" b="1">
            <a:solidFill>
              <a:schemeClr val="tx1"/>
            </a:solidFill>
          </a:endParaRPr>
        </a:p>
      </xdr:txBody>
    </xdr:sp>
    <xdr:clientData/>
  </xdr:twoCellAnchor>
  <xdr:twoCellAnchor>
    <xdr:from>
      <xdr:col>1</xdr:col>
      <xdr:colOff>323849</xdr:colOff>
      <xdr:row>43</xdr:row>
      <xdr:rowOff>107259</xdr:rowOff>
    </xdr:from>
    <xdr:to>
      <xdr:col>4</xdr:col>
      <xdr:colOff>891149</xdr:colOff>
      <xdr:row>45</xdr:row>
      <xdr:rowOff>136209</xdr:rowOff>
    </xdr:to>
    <xdr:sp macro="" textlink="">
      <xdr:nvSpPr>
        <xdr:cNvPr id="82" name="Rounded Rectangle 81">
          <a:hlinkClick xmlns:r="http://schemas.openxmlformats.org/officeDocument/2006/relationships" r:id="rId22"/>
        </xdr:cNvPr>
        <xdr:cNvSpPr/>
      </xdr:nvSpPr>
      <xdr:spPr>
        <a:xfrm>
          <a:off x="3105149" y="8365434"/>
          <a:ext cx="2815200" cy="3528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lvl="0" algn="l"/>
          <a:r>
            <a:rPr lang="en-AU" sz="1200" b="1">
              <a:solidFill>
                <a:schemeClr val="tx1"/>
              </a:solidFill>
            </a:rPr>
            <a:t>12. IT</a:t>
          </a:r>
          <a:endParaRPr lang="en-AU" sz="1100" b="1">
            <a:solidFill>
              <a:schemeClr val="tx1"/>
            </a:solidFill>
          </a:endParaRPr>
        </a:p>
      </xdr:txBody>
    </xdr:sp>
    <xdr:clientData/>
  </xdr:twoCellAnchor>
  <xdr:twoCellAnchor>
    <xdr:from>
      <xdr:col>1</xdr:col>
      <xdr:colOff>323849</xdr:colOff>
      <xdr:row>13</xdr:row>
      <xdr:rowOff>80098</xdr:rowOff>
    </xdr:from>
    <xdr:to>
      <xdr:col>4</xdr:col>
      <xdr:colOff>891149</xdr:colOff>
      <xdr:row>15</xdr:row>
      <xdr:rowOff>109048</xdr:rowOff>
    </xdr:to>
    <xdr:sp macro="" textlink="">
      <xdr:nvSpPr>
        <xdr:cNvPr id="83" name="Rounded Rectangle 82">
          <a:hlinkClick xmlns:r="http://schemas.openxmlformats.org/officeDocument/2006/relationships" r:id="rId23"/>
        </xdr:cNvPr>
        <xdr:cNvSpPr/>
      </xdr:nvSpPr>
      <xdr:spPr>
        <a:xfrm>
          <a:off x="3105149" y="3480523"/>
          <a:ext cx="2815200" cy="3528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lvl="0" algn="l"/>
          <a:r>
            <a:rPr lang="en-AU" sz="1200" b="1">
              <a:solidFill>
                <a:schemeClr val="tx1"/>
              </a:solidFill>
            </a:rPr>
            <a:t>Business</a:t>
          </a:r>
          <a:r>
            <a:rPr lang="en-AU" sz="1200" b="1" baseline="0">
              <a:solidFill>
                <a:schemeClr val="tx1"/>
              </a:solidFill>
            </a:rPr>
            <a:t> &amp; other details</a:t>
          </a:r>
          <a:endParaRPr lang="en-AU" sz="1100" b="1">
            <a:solidFill>
              <a:schemeClr val="tx1"/>
            </a:solidFill>
          </a:endParaRPr>
        </a:p>
      </xdr:txBody>
    </xdr:sp>
    <xdr:clientData/>
  </xdr:twoCellAnchor>
  <xdr:twoCellAnchor>
    <xdr:from>
      <xdr:col>10</xdr:col>
      <xdr:colOff>374536</xdr:colOff>
      <xdr:row>13</xdr:row>
      <xdr:rowOff>80098</xdr:rowOff>
    </xdr:from>
    <xdr:to>
      <xdr:col>13</xdr:col>
      <xdr:colOff>294136</xdr:colOff>
      <xdr:row>15</xdr:row>
      <xdr:rowOff>109048</xdr:rowOff>
    </xdr:to>
    <xdr:sp macro="" textlink="">
      <xdr:nvSpPr>
        <xdr:cNvPr id="84" name="Rounded Rectangle 83">
          <a:hlinkClick xmlns:r="http://schemas.openxmlformats.org/officeDocument/2006/relationships" r:id="rId24"/>
        </xdr:cNvPr>
        <xdr:cNvSpPr/>
      </xdr:nvSpPr>
      <xdr:spPr>
        <a:xfrm>
          <a:off x="10661536" y="3480523"/>
          <a:ext cx="2815200" cy="3528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lvl="0" algn="l"/>
          <a:r>
            <a:rPr lang="en-AU" sz="1200" b="1">
              <a:solidFill>
                <a:schemeClr val="tx1"/>
              </a:solidFill>
            </a:rPr>
            <a:t>25. Ancilliary reference services</a:t>
          </a:r>
          <a:endParaRPr lang="en-AU" sz="1100" b="1">
            <a:solidFill>
              <a:schemeClr val="tx1"/>
            </a:solidFill>
          </a:endParaRPr>
        </a:p>
      </xdr:txBody>
    </xdr:sp>
    <xdr:clientData/>
  </xdr:twoCellAnchor>
  <xdr:twoCellAnchor>
    <xdr:from>
      <xdr:col>10</xdr:col>
      <xdr:colOff>374536</xdr:colOff>
      <xdr:row>16</xdr:row>
      <xdr:rowOff>144396</xdr:rowOff>
    </xdr:from>
    <xdr:to>
      <xdr:col>13</xdr:col>
      <xdr:colOff>294136</xdr:colOff>
      <xdr:row>19</xdr:row>
      <xdr:rowOff>11421</xdr:rowOff>
    </xdr:to>
    <xdr:sp macro="" textlink="">
      <xdr:nvSpPr>
        <xdr:cNvPr id="85" name="Rounded Rectangle 84">
          <a:hlinkClick xmlns:r="http://schemas.openxmlformats.org/officeDocument/2006/relationships" r:id="rId25"/>
        </xdr:cNvPr>
        <xdr:cNvSpPr/>
      </xdr:nvSpPr>
      <xdr:spPr>
        <a:xfrm>
          <a:off x="10661536" y="4030596"/>
          <a:ext cx="2815200" cy="3528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lvl="0" algn="l"/>
          <a:r>
            <a:rPr lang="en-AU" sz="1200" b="1">
              <a:solidFill>
                <a:schemeClr val="tx1"/>
              </a:solidFill>
            </a:rPr>
            <a:t>26. Allocation</a:t>
          </a:r>
          <a:r>
            <a:rPr lang="en-AU" sz="1200" b="1" baseline="0">
              <a:solidFill>
                <a:schemeClr val="tx1"/>
              </a:solidFill>
            </a:rPr>
            <a:t> of total revenue</a:t>
          </a:r>
          <a:endParaRPr lang="en-AU" sz="1100" b="1">
            <a:solidFill>
              <a:schemeClr val="tx1"/>
            </a:solidFill>
          </a:endParaRPr>
        </a:p>
      </xdr:txBody>
    </xdr:sp>
    <xdr:clientData/>
  </xdr:twoCellAnchor>
  <xdr:twoCellAnchor>
    <xdr:from>
      <xdr:col>10</xdr:col>
      <xdr:colOff>374536</xdr:colOff>
      <xdr:row>20</xdr:row>
      <xdr:rowOff>38805</xdr:rowOff>
    </xdr:from>
    <xdr:to>
      <xdr:col>13</xdr:col>
      <xdr:colOff>294136</xdr:colOff>
      <xdr:row>22</xdr:row>
      <xdr:rowOff>67755</xdr:rowOff>
    </xdr:to>
    <xdr:sp macro="" textlink="">
      <xdr:nvSpPr>
        <xdr:cNvPr id="86" name="Rounded Rectangle 85">
          <a:hlinkClick xmlns:r="http://schemas.openxmlformats.org/officeDocument/2006/relationships" r:id="rId26"/>
        </xdr:cNvPr>
        <xdr:cNvSpPr/>
      </xdr:nvSpPr>
      <xdr:spPr>
        <a:xfrm>
          <a:off x="10661536" y="4572705"/>
          <a:ext cx="2815200" cy="3528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lvl="0" algn="l"/>
          <a:r>
            <a:rPr lang="en-AU" sz="1200" b="1">
              <a:solidFill>
                <a:schemeClr val="tx1"/>
              </a:solidFill>
            </a:rPr>
            <a:t>27. Customer numbers</a:t>
          </a:r>
          <a:endParaRPr lang="en-AU" sz="1100" b="1">
            <a:solidFill>
              <a:schemeClr val="tx1"/>
            </a:solidFill>
          </a:endParaRPr>
        </a:p>
      </xdr:txBody>
    </xdr:sp>
    <xdr:clientData/>
  </xdr:twoCellAnchor>
  <xdr:twoCellAnchor>
    <xdr:from>
      <xdr:col>10</xdr:col>
      <xdr:colOff>374536</xdr:colOff>
      <xdr:row>23</xdr:row>
      <xdr:rowOff>85614</xdr:rowOff>
    </xdr:from>
    <xdr:to>
      <xdr:col>13</xdr:col>
      <xdr:colOff>294136</xdr:colOff>
      <xdr:row>25</xdr:row>
      <xdr:rowOff>114564</xdr:rowOff>
    </xdr:to>
    <xdr:sp macro="" textlink="">
      <xdr:nvSpPr>
        <xdr:cNvPr id="87" name="Rounded Rectangle 86">
          <a:hlinkClick xmlns:r="http://schemas.openxmlformats.org/officeDocument/2006/relationships" r:id="rId27"/>
        </xdr:cNvPr>
        <xdr:cNvSpPr/>
      </xdr:nvSpPr>
      <xdr:spPr>
        <a:xfrm>
          <a:off x="10661536" y="5105289"/>
          <a:ext cx="2815200" cy="3528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lvl="0" algn="l"/>
          <a:r>
            <a:rPr lang="en-AU" sz="1200" b="1">
              <a:solidFill>
                <a:schemeClr val="tx1"/>
              </a:solidFill>
            </a:rPr>
            <a:t>28. Consumption and demand</a:t>
          </a:r>
          <a:endParaRPr lang="en-AU" sz="1100" b="1">
            <a:solidFill>
              <a:schemeClr val="tx1"/>
            </a:solidFill>
          </a:endParaRPr>
        </a:p>
      </xdr:txBody>
    </xdr:sp>
    <xdr:clientData/>
  </xdr:twoCellAnchor>
  <xdr:twoCellAnchor>
    <xdr:from>
      <xdr:col>10</xdr:col>
      <xdr:colOff>374536</xdr:colOff>
      <xdr:row>26</xdr:row>
      <xdr:rowOff>151473</xdr:rowOff>
    </xdr:from>
    <xdr:to>
      <xdr:col>13</xdr:col>
      <xdr:colOff>294136</xdr:colOff>
      <xdr:row>29</xdr:row>
      <xdr:rowOff>18498</xdr:rowOff>
    </xdr:to>
    <xdr:sp macro="" textlink="">
      <xdr:nvSpPr>
        <xdr:cNvPr id="88" name="Rounded Rectangle 87">
          <a:hlinkClick xmlns:r="http://schemas.openxmlformats.org/officeDocument/2006/relationships" r:id="rId28"/>
        </xdr:cNvPr>
        <xdr:cNvSpPr/>
      </xdr:nvSpPr>
      <xdr:spPr>
        <a:xfrm>
          <a:off x="10661536" y="5656923"/>
          <a:ext cx="2815200" cy="3528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lvl="0" algn="l"/>
          <a:r>
            <a:rPr lang="en-AU" sz="1200" b="1">
              <a:solidFill>
                <a:schemeClr val="tx1"/>
              </a:solidFill>
            </a:rPr>
            <a:t>29.1 Gas extensions - ($)</a:t>
          </a:r>
          <a:endParaRPr lang="en-AU" sz="1100" b="1">
            <a:solidFill>
              <a:schemeClr val="tx1"/>
            </a:solidFill>
          </a:endParaRPr>
        </a:p>
      </xdr:txBody>
    </xdr:sp>
    <xdr:clientData/>
  </xdr:twoCellAnchor>
  <xdr:twoCellAnchor>
    <xdr:from>
      <xdr:col>10</xdr:col>
      <xdr:colOff>374536</xdr:colOff>
      <xdr:row>33</xdr:row>
      <xdr:rowOff>102218</xdr:rowOff>
    </xdr:from>
    <xdr:to>
      <xdr:col>13</xdr:col>
      <xdr:colOff>294136</xdr:colOff>
      <xdr:row>35</xdr:row>
      <xdr:rowOff>131168</xdr:rowOff>
    </xdr:to>
    <xdr:sp macro="" textlink="">
      <xdr:nvSpPr>
        <xdr:cNvPr id="89" name="Rounded Rectangle 88">
          <a:hlinkClick xmlns:r="http://schemas.openxmlformats.org/officeDocument/2006/relationships" r:id="rId29"/>
        </xdr:cNvPr>
        <xdr:cNvSpPr/>
      </xdr:nvSpPr>
      <xdr:spPr>
        <a:xfrm>
          <a:off x="10661536" y="6741143"/>
          <a:ext cx="2815200" cy="3528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lvl="0" algn="l"/>
          <a:r>
            <a:rPr lang="en-AU" sz="1200" b="1">
              <a:solidFill>
                <a:schemeClr val="tx1"/>
              </a:solidFill>
            </a:rPr>
            <a:t>29.3 Gas extensions - demand</a:t>
          </a:r>
          <a:endParaRPr lang="en-AU" sz="1100" b="1">
            <a:solidFill>
              <a:schemeClr val="tx1"/>
            </a:solidFill>
          </a:endParaRPr>
        </a:p>
      </xdr:txBody>
    </xdr:sp>
    <xdr:clientData/>
  </xdr:twoCellAnchor>
  <xdr:twoCellAnchor>
    <xdr:from>
      <xdr:col>10</xdr:col>
      <xdr:colOff>374536</xdr:colOff>
      <xdr:row>36</xdr:row>
      <xdr:rowOff>156511</xdr:rowOff>
    </xdr:from>
    <xdr:to>
      <xdr:col>13</xdr:col>
      <xdr:colOff>294136</xdr:colOff>
      <xdr:row>39</xdr:row>
      <xdr:rowOff>23536</xdr:rowOff>
    </xdr:to>
    <xdr:sp macro="" textlink="">
      <xdr:nvSpPr>
        <xdr:cNvPr id="90" name="Rounded Rectangle 89">
          <a:hlinkClick xmlns:r="http://schemas.openxmlformats.org/officeDocument/2006/relationships" r:id="rId30"/>
        </xdr:cNvPr>
        <xdr:cNvSpPr/>
      </xdr:nvSpPr>
      <xdr:spPr>
        <a:xfrm>
          <a:off x="10661536" y="7281211"/>
          <a:ext cx="2815200" cy="3528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lvl="0" algn="l"/>
          <a:r>
            <a:rPr lang="en-AU" sz="1200" b="1">
              <a:solidFill>
                <a:schemeClr val="tx1"/>
              </a:solidFill>
            </a:rPr>
            <a:t>29.4 Gas extensions</a:t>
          </a:r>
          <a:r>
            <a:rPr lang="en-AU" sz="1200" b="1" baseline="0">
              <a:solidFill>
                <a:schemeClr val="tx1"/>
              </a:solidFill>
            </a:rPr>
            <a:t> - tariffs</a:t>
          </a:r>
          <a:endParaRPr lang="en-AU" sz="1100" b="1">
            <a:solidFill>
              <a:schemeClr val="tx1"/>
            </a:solidFill>
          </a:endParaRPr>
        </a:p>
      </xdr:txBody>
    </xdr:sp>
    <xdr:clientData/>
  </xdr:twoCellAnchor>
  <xdr:twoCellAnchor>
    <xdr:from>
      <xdr:col>10</xdr:col>
      <xdr:colOff>374536</xdr:colOff>
      <xdr:row>30</xdr:row>
      <xdr:rowOff>45883</xdr:rowOff>
    </xdr:from>
    <xdr:to>
      <xdr:col>13</xdr:col>
      <xdr:colOff>294136</xdr:colOff>
      <xdr:row>32</xdr:row>
      <xdr:rowOff>74833</xdr:rowOff>
    </xdr:to>
    <xdr:sp macro="" textlink="">
      <xdr:nvSpPr>
        <xdr:cNvPr id="91" name="Rounded Rectangle 90">
          <a:hlinkClick xmlns:r="http://schemas.openxmlformats.org/officeDocument/2006/relationships" r:id="rId31"/>
        </xdr:cNvPr>
        <xdr:cNvSpPr/>
      </xdr:nvSpPr>
      <xdr:spPr>
        <a:xfrm>
          <a:off x="10661536" y="6199033"/>
          <a:ext cx="2815200" cy="3528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lvl="0" algn="l"/>
          <a:r>
            <a:rPr lang="en-AU" sz="1200" b="1">
              <a:solidFill>
                <a:schemeClr val="tx1"/>
              </a:solidFill>
            </a:rPr>
            <a:t>29.2 Gas extensions</a:t>
          </a:r>
          <a:r>
            <a:rPr lang="en-AU" sz="1200" b="1" baseline="0">
              <a:solidFill>
                <a:schemeClr val="tx1"/>
              </a:solidFill>
            </a:rPr>
            <a:t> -customer numbers</a:t>
          </a:r>
          <a:endParaRPr lang="en-AU" sz="1100" b="1">
            <a:solidFill>
              <a:schemeClr val="tx1"/>
            </a:solidFill>
          </a:endParaRPr>
        </a:p>
      </xdr:txBody>
    </xdr:sp>
    <xdr:clientData/>
  </xdr:twoCellAnchor>
  <xdr:twoCellAnchor>
    <xdr:from>
      <xdr:col>10</xdr:col>
      <xdr:colOff>374536</xdr:colOff>
      <xdr:row>43</xdr:row>
      <xdr:rowOff>107259</xdr:rowOff>
    </xdr:from>
    <xdr:to>
      <xdr:col>13</xdr:col>
      <xdr:colOff>294136</xdr:colOff>
      <xdr:row>45</xdr:row>
      <xdr:rowOff>136209</xdr:rowOff>
    </xdr:to>
    <xdr:sp macro="" textlink="">
      <xdr:nvSpPr>
        <xdr:cNvPr id="92" name="Rounded Rectangle 91">
          <a:hlinkClick xmlns:r="http://schemas.openxmlformats.org/officeDocument/2006/relationships" r:id="rId32"/>
        </xdr:cNvPr>
        <xdr:cNvSpPr/>
      </xdr:nvSpPr>
      <xdr:spPr>
        <a:xfrm>
          <a:off x="10661536" y="8365434"/>
          <a:ext cx="2815200" cy="3528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lvl="0" algn="l"/>
          <a:r>
            <a:rPr lang="en-AU" sz="1200" b="1">
              <a:solidFill>
                <a:schemeClr val="tx1"/>
              </a:solidFill>
            </a:rPr>
            <a:t>31. Pass throughs</a:t>
          </a:r>
          <a:endParaRPr lang="en-AU" sz="1100" b="1">
            <a:solidFill>
              <a:schemeClr val="tx1"/>
            </a:solidFill>
          </a:endParaRPr>
        </a:p>
      </xdr:txBody>
    </xdr:sp>
    <xdr:clientData/>
  </xdr:twoCellAnchor>
  <xdr:twoCellAnchor>
    <xdr:from>
      <xdr:col>10</xdr:col>
      <xdr:colOff>374536</xdr:colOff>
      <xdr:row>40</xdr:row>
      <xdr:rowOff>57542</xdr:rowOff>
    </xdr:from>
    <xdr:to>
      <xdr:col>13</xdr:col>
      <xdr:colOff>294136</xdr:colOff>
      <xdr:row>42</xdr:row>
      <xdr:rowOff>86492</xdr:rowOff>
    </xdr:to>
    <xdr:sp macro="" textlink="">
      <xdr:nvSpPr>
        <xdr:cNvPr id="93" name="Rounded Rectangle 92">
          <a:hlinkClick xmlns:r="http://schemas.openxmlformats.org/officeDocument/2006/relationships" r:id="rId33"/>
        </xdr:cNvPr>
        <xdr:cNvSpPr/>
      </xdr:nvSpPr>
      <xdr:spPr>
        <a:xfrm>
          <a:off x="10661536" y="7829942"/>
          <a:ext cx="2815200" cy="3528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lvl="0" algn="l"/>
          <a:r>
            <a:rPr lang="en-AU" sz="1200" b="1">
              <a:solidFill>
                <a:schemeClr val="tx1"/>
              </a:solidFill>
            </a:rPr>
            <a:t>30. Network characteristics</a:t>
          </a:r>
          <a:endParaRPr lang="en-AU" sz="1100" b="1">
            <a:solidFill>
              <a:schemeClr val="tx1"/>
            </a:solidFill>
          </a:endParaRPr>
        </a:p>
      </xdr:txBody>
    </xdr:sp>
    <xdr:clientData/>
  </xdr:twoCellAnchor>
  <xdr:twoCellAnchor>
    <xdr:from>
      <xdr:col>6</xdr:col>
      <xdr:colOff>341879</xdr:colOff>
      <xdr:row>23</xdr:row>
      <xdr:rowOff>85614</xdr:rowOff>
    </xdr:from>
    <xdr:to>
      <xdr:col>8</xdr:col>
      <xdr:colOff>756779</xdr:colOff>
      <xdr:row>25</xdr:row>
      <xdr:rowOff>114564</xdr:rowOff>
    </xdr:to>
    <xdr:sp macro="" textlink="">
      <xdr:nvSpPr>
        <xdr:cNvPr id="94" name="Rounded Rectangle 93">
          <a:hlinkClick xmlns:r="http://schemas.openxmlformats.org/officeDocument/2006/relationships" r:id="rId34"/>
        </xdr:cNvPr>
        <xdr:cNvSpPr/>
      </xdr:nvSpPr>
      <xdr:spPr>
        <a:xfrm>
          <a:off x="6799829" y="5105289"/>
          <a:ext cx="2815200" cy="3528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lvl="0" algn="l"/>
          <a:r>
            <a:rPr lang="en-AU" sz="1200" b="1">
              <a:solidFill>
                <a:schemeClr val="tx1"/>
              </a:solidFill>
            </a:rPr>
            <a:t>20.</a:t>
          </a:r>
          <a:r>
            <a:rPr lang="en-AU" sz="1200" b="1" baseline="0">
              <a:solidFill>
                <a:schemeClr val="tx1"/>
              </a:solidFill>
            </a:rPr>
            <a:t> Changes in provisions</a:t>
          </a:r>
          <a:endParaRPr lang="en-AU" sz="1100" b="1">
            <a:solidFill>
              <a:schemeClr val="tx1"/>
            </a:solidFill>
          </a:endParaRP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1</xdr:col>
      <xdr:colOff>112058</xdr:colOff>
      <xdr:row>0</xdr:row>
      <xdr:rowOff>123264</xdr:rowOff>
    </xdr:from>
    <xdr:to>
      <xdr:col>1</xdr:col>
      <xdr:colOff>806262</xdr:colOff>
      <xdr:row>3</xdr:row>
      <xdr:rowOff>140073</xdr:rowOff>
    </xdr:to>
    <xdr:grpSp>
      <xdr:nvGrpSpPr>
        <xdr:cNvPr id="2" name="Group 1"/>
        <xdr:cNvGrpSpPr/>
      </xdr:nvGrpSpPr>
      <xdr:grpSpPr>
        <a:xfrm>
          <a:off x="112058" y="123264"/>
          <a:ext cx="694204" cy="931209"/>
          <a:chOff x="0" y="1560739"/>
          <a:chExt cx="762000" cy="931132"/>
        </a:xfrm>
      </xdr:grpSpPr>
      <xdr:pic>
        <xdr:nvPicPr>
          <xdr:cNvPr id="3" name="Picture 3" descr="item"/>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60739"/>
            <a:ext cx="762000" cy="4898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4" name="AutoShape 4">
            <a:hlinkClick xmlns:r="http://schemas.openxmlformats.org/officeDocument/2006/relationships" r:id="rId2"/>
          </xdr:cNvPr>
          <xdr:cNvSpPr>
            <a:spLocks noChangeArrowheads="1"/>
          </xdr:cNvSpPr>
        </xdr:nvSpPr>
        <xdr:spPr bwMode="auto">
          <a:xfrm>
            <a:off x="19050" y="2039711"/>
            <a:ext cx="736671" cy="234132"/>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0" i="0" u="none" strike="noStrike" baseline="0">
                <a:solidFill>
                  <a:srgbClr val="000080"/>
                </a:solidFill>
                <a:latin typeface="Arial Black"/>
              </a:rPr>
              <a:t>Contents</a:t>
            </a:r>
          </a:p>
        </xdr:txBody>
      </xdr:sp>
      <xdr:sp macro="" textlink="">
        <xdr:nvSpPr>
          <xdr:cNvPr id="5" name="AutoShape 5">
            <a:hlinkClick xmlns:r="http://schemas.openxmlformats.org/officeDocument/2006/relationships" r:id="rId3"/>
          </xdr:cNvPr>
          <xdr:cNvSpPr>
            <a:spLocks noChangeArrowheads="1"/>
          </xdr:cNvSpPr>
        </xdr:nvSpPr>
        <xdr:spPr bwMode="auto">
          <a:xfrm>
            <a:off x="19050" y="2261507"/>
            <a:ext cx="736671" cy="23036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650" b="0" i="0" u="none" strike="noStrike" baseline="0">
                <a:solidFill>
                  <a:srgbClr val="000080"/>
                </a:solidFill>
                <a:latin typeface="Arial Black"/>
              </a:rPr>
              <a:t>Instructions</a:t>
            </a:r>
          </a:p>
        </xdr:txBody>
      </xdr:sp>
    </xdr:grpSp>
    <xdr:clientData/>
  </xdr:twoCellAnchor>
  <xdr:twoCellAnchor>
    <xdr:from>
      <xdr:col>7</xdr:col>
      <xdr:colOff>33618</xdr:colOff>
      <xdr:row>0</xdr:row>
      <xdr:rowOff>89647</xdr:rowOff>
    </xdr:from>
    <xdr:to>
      <xdr:col>9</xdr:col>
      <xdr:colOff>655465</xdr:colOff>
      <xdr:row>2</xdr:row>
      <xdr:rowOff>153200</xdr:rowOff>
    </xdr:to>
    <xdr:grpSp>
      <xdr:nvGrpSpPr>
        <xdr:cNvPr id="6" name="Group 5"/>
        <xdr:cNvGrpSpPr/>
      </xdr:nvGrpSpPr>
      <xdr:grpSpPr>
        <a:xfrm>
          <a:off x="10719547" y="89647"/>
          <a:ext cx="3185753" cy="673153"/>
          <a:chOff x="7608794" y="145676"/>
          <a:chExt cx="3047258" cy="652342"/>
        </a:xfrm>
      </xdr:grpSpPr>
      <xdr:sp macro="[0]!MarkConfidential" textlink="">
        <xdr:nvSpPr>
          <xdr:cNvPr id="7" name="Rounded Rectangle 6"/>
          <xdr:cNvSpPr/>
        </xdr:nvSpPr>
        <xdr:spPr>
          <a:xfrm>
            <a:off x="7608794" y="145676"/>
            <a:ext cx="3047258" cy="269785"/>
          </a:xfrm>
          <a:prstGeom prst="roundRect">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200" b="1">
                <a:solidFill>
                  <a:srgbClr val="FF0000"/>
                </a:solidFill>
                <a:latin typeface="Calibri" panose="020F0502020204030204" pitchFamily="34" charset="0"/>
                <a:cs typeface="Calibri" panose="020F0502020204030204" pitchFamily="34" charset="0"/>
              </a:rPr>
              <a:t>Mark selected</a:t>
            </a:r>
            <a:r>
              <a:rPr lang="en-AU" sz="1200" b="1" baseline="0">
                <a:solidFill>
                  <a:srgbClr val="FF0000"/>
                </a:solidFill>
                <a:latin typeface="Calibri" panose="020F0502020204030204" pitchFamily="34" charset="0"/>
                <a:cs typeface="Calibri" panose="020F0502020204030204" pitchFamily="34" charset="0"/>
              </a:rPr>
              <a:t> cells CONFIDENTIAL</a:t>
            </a:r>
            <a:endParaRPr lang="en-AU" sz="12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8" name="Rounded Rectangle 7"/>
          <xdr:cNvSpPr/>
        </xdr:nvSpPr>
        <xdr:spPr>
          <a:xfrm>
            <a:off x="7608794" y="517036"/>
            <a:ext cx="3036935" cy="280982"/>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200" b="1">
                <a:solidFill>
                  <a:schemeClr val="accent6">
                    <a:lumMod val="75000"/>
                  </a:schemeClr>
                </a:solidFill>
              </a:rPr>
              <a:t>Return</a:t>
            </a:r>
            <a:r>
              <a:rPr lang="en-AU" sz="1200" b="1" baseline="0">
                <a:solidFill>
                  <a:schemeClr val="accent6">
                    <a:lumMod val="75000"/>
                  </a:schemeClr>
                </a:solidFill>
              </a:rPr>
              <a:t> cells to NON-CONFIDENTIAL</a:t>
            </a:r>
            <a:endParaRPr lang="en-AU" sz="1200" b="1">
              <a:solidFill>
                <a:schemeClr val="accent6">
                  <a:lumMod val="75000"/>
                </a:schemeClr>
              </a:solidFill>
            </a:endParaRPr>
          </a:p>
        </xdr:txBody>
      </xdr:sp>
    </xdr:grpSp>
    <xdr:clientData/>
  </xdr:twoCellAnchor>
</xdr:wsDr>
</file>

<file path=xl/drawings/drawing21.xml><?xml version="1.0" encoding="utf-8"?>
<xdr:wsDr xmlns:xdr="http://schemas.openxmlformats.org/drawingml/2006/spreadsheetDrawing" xmlns:a="http://schemas.openxmlformats.org/drawingml/2006/main">
  <xdr:twoCellAnchor>
    <xdr:from>
      <xdr:col>0</xdr:col>
      <xdr:colOff>316165</xdr:colOff>
      <xdr:row>0</xdr:row>
      <xdr:rowOff>109657</xdr:rowOff>
    </xdr:from>
    <xdr:to>
      <xdr:col>0</xdr:col>
      <xdr:colOff>1010369</xdr:colOff>
      <xdr:row>3</xdr:row>
      <xdr:rowOff>126466</xdr:rowOff>
    </xdr:to>
    <xdr:grpSp>
      <xdr:nvGrpSpPr>
        <xdr:cNvPr id="5" name="Group 4"/>
        <xdr:cNvGrpSpPr/>
      </xdr:nvGrpSpPr>
      <xdr:grpSpPr>
        <a:xfrm>
          <a:off x="316165" y="109657"/>
          <a:ext cx="694204" cy="914880"/>
          <a:chOff x="0" y="1560739"/>
          <a:chExt cx="762000" cy="931132"/>
        </a:xfrm>
      </xdr:grpSpPr>
      <xdr:pic>
        <xdr:nvPicPr>
          <xdr:cNvPr id="6" name="Picture 3" descr="item"/>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60739"/>
            <a:ext cx="762000" cy="4898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7" name="AutoShape 4">
            <a:hlinkClick xmlns:r="http://schemas.openxmlformats.org/officeDocument/2006/relationships" r:id="rId2"/>
          </xdr:cNvPr>
          <xdr:cNvSpPr>
            <a:spLocks noChangeArrowheads="1"/>
          </xdr:cNvSpPr>
        </xdr:nvSpPr>
        <xdr:spPr bwMode="auto">
          <a:xfrm>
            <a:off x="19050" y="2039711"/>
            <a:ext cx="736671" cy="234132"/>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0" i="0" u="none" strike="noStrike" baseline="0">
                <a:solidFill>
                  <a:srgbClr val="000080"/>
                </a:solidFill>
                <a:latin typeface="Arial Black"/>
              </a:rPr>
              <a:t>Contents</a:t>
            </a:r>
          </a:p>
        </xdr:txBody>
      </xdr:sp>
      <xdr:sp macro="" textlink="">
        <xdr:nvSpPr>
          <xdr:cNvPr id="8" name="AutoShape 5">
            <a:hlinkClick xmlns:r="http://schemas.openxmlformats.org/officeDocument/2006/relationships" r:id="rId3"/>
          </xdr:cNvPr>
          <xdr:cNvSpPr>
            <a:spLocks noChangeArrowheads="1"/>
          </xdr:cNvSpPr>
        </xdr:nvSpPr>
        <xdr:spPr bwMode="auto">
          <a:xfrm>
            <a:off x="19050" y="2261507"/>
            <a:ext cx="736671" cy="23036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650" b="0" i="0" u="none" strike="noStrike" baseline="0">
                <a:solidFill>
                  <a:srgbClr val="000080"/>
                </a:solidFill>
                <a:latin typeface="Arial Black"/>
              </a:rPr>
              <a:t>Instructions</a:t>
            </a:r>
          </a:p>
        </xdr:txBody>
      </xdr:sp>
    </xdr:grpSp>
    <xdr:clientData/>
  </xdr:twoCellAnchor>
  <xdr:twoCellAnchor>
    <xdr:from>
      <xdr:col>2</xdr:col>
      <xdr:colOff>742950</xdr:colOff>
      <xdr:row>0</xdr:row>
      <xdr:rowOff>133350</xdr:rowOff>
    </xdr:from>
    <xdr:to>
      <xdr:col>4</xdr:col>
      <xdr:colOff>709253</xdr:colOff>
      <xdr:row>2</xdr:row>
      <xdr:rowOff>192421</xdr:rowOff>
    </xdr:to>
    <xdr:grpSp>
      <xdr:nvGrpSpPr>
        <xdr:cNvPr id="9" name="Group 8"/>
        <xdr:cNvGrpSpPr/>
      </xdr:nvGrpSpPr>
      <xdr:grpSpPr>
        <a:xfrm>
          <a:off x="6308271" y="133350"/>
          <a:ext cx="3109553" cy="657785"/>
          <a:chOff x="7608794" y="145676"/>
          <a:chExt cx="3047258" cy="652342"/>
        </a:xfrm>
      </xdr:grpSpPr>
      <xdr:sp macro="[0]!MarkConfidential" textlink="">
        <xdr:nvSpPr>
          <xdr:cNvPr id="10" name="Rounded Rectangle 9"/>
          <xdr:cNvSpPr/>
        </xdr:nvSpPr>
        <xdr:spPr>
          <a:xfrm>
            <a:off x="7608794" y="145676"/>
            <a:ext cx="3047258" cy="269785"/>
          </a:xfrm>
          <a:prstGeom prst="roundRect">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200" b="1">
                <a:solidFill>
                  <a:srgbClr val="FF0000"/>
                </a:solidFill>
                <a:latin typeface="Calibri" panose="020F0502020204030204" pitchFamily="34" charset="0"/>
                <a:cs typeface="Calibri" panose="020F0502020204030204" pitchFamily="34" charset="0"/>
              </a:rPr>
              <a:t>Mark selected</a:t>
            </a:r>
            <a:r>
              <a:rPr lang="en-AU" sz="1200" b="1" baseline="0">
                <a:solidFill>
                  <a:srgbClr val="FF0000"/>
                </a:solidFill>
                <a:latin typeface="Calibri" panose="020F0502020204030204" pitchFamily="34" charset="0"/>
                <a:cs typeface="Calibri" panose="020F0502020204030204" pitchFamily="34" charset="0"/>
              </a:rPr>
              <a:t> cells CONFIDENTIAL</a:t>
            </a:r>
            <a:endParaRPr lang="en-AU" sz="12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11" name="Rounded Rectangle 10"/>
          <xdr:cNvSpPr/>
        </xdr:nvSpPr>
        <xdr:spPr>
          <a:xfrm>
            <a:off x="7608794" y="517036"/>
            <a:ext cx="3036935" cy="280982"/>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200" b="1">
                <a:solidFill>
                  <a:schemeClr val="accent6">
                    <a:lumMod val="75000"/>
                  </a:schemeClr>
                </a:solidFill>
              </a:rPr>
              <a:t>Return</a:t>
            </a:r>
            <a:r>
              <a:rPr lang="en-AU" sz="1200" b="1" baseline="0">
                <a:solidFill>
                  <a:schemeClr val="accent6">
                    <a:lumMod val="75000"/>
                  </a:schemeClr>
                </a:solidFill>
              </a:rPr>
              <a:t> cells to NON-CONFIDENTIAL</a:t>
            </a:r>
            <a:endParaRPr lang="en-AU" sz="1200" b="1">
              <a:solidFill>
                <a:schemeClr val="accent6">
                  <a:lumMod val="75000"/>
                </a:schemeClr>
              </a:solidFill>
            </a:endParaRPr>
          </a:p>
        </xdr:txBody>
      </xdr:sp>
    </xdr:grpSp>
    <xdr:clientData/>
  </xdr:twoCellAnchor>
</xdr:wsDr>
</file>

<file path=xl/drawings/drawing22.xml><?xml version="1.0" encoding="utf-8"?>
<xdr:wsDr xmlns:xdr="http://schemas.openxmlformats.org/drawingml/2006/spreadsheetDrawing" xmlns:a="http://schemas.openxmlformats.org/drawingml/2006/main">
  <xdr:twoCellAnchor>
    <xdr:from>
      <xdr:col>5</xdr:col>
      <xdr:colOff>421822</xdr:colOff>
      <xdr:row>0</xdr:row>
      <xdr:rowOff>81643</xdr:rowOff>
    </xdr:from>
    <xdr:to>
      <xdr:col>8</xdr:col>
      <xdr:colOff>388125</xdr:colOff>
      <xdr:row>2</xdr:row>
      <xdr:rowOff>178814</xdr:rowOff>
    </xdr:to>
    <xdr:grpSp>
      <xdr:nvGrpSpPr>
        <xdr:cNvPr id="10" name="Group 9"/>
        <xdr:cNvGrpSpPr/>
      </xdr:nvGrpSpPr>
      <xdr:grpSpPr>
        <a:xfrm>
          <a:off x="9119508" y="81643"/>
          <a:ext cx="3199360" cy="685000"/>
          <a:chOff x="7608794" y="145676"/>
          <a:chExt cx="3047258" cy="652342"/>
        </a:xfrm>
      </xdr:grpSpPr>
      <xdr:sp macro="[0]!MarkConfidential" textlink="">
        <xdr:nvSpPr>
          <xdr:cNvPr id="11" name="Rounded Rectangle 10"/>
          <xdr:cNvSpPr/>
        </xdr:nvSpPr>
        <xdr:spPr>
          <a:xfrm>
            <a:off x="7608794" y="145676"/>
            <a:ext cx="3047258" cy="269785"/>
          </a:xfrm>
          <a:prstGeom prst="roundRect">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200" b="1">
                <a:solidFill>
                  <a:srgbClr val="FF0000"/>
                </a:solidFill>
                <a:latin typeface="Calibri" panose="020F0502020204030204" pitchFamily="34" charset="0"/>
                <a:cs typeface="Calibri" panose="020F0502020204030204" pitchFamily="34" charset="0"/>
              </a:rPr>
              <a:t>Mark selected</a:t>
            </a:r>
            <a:r>
              <a:rPr lang="en-AU" sz="1200" b="1" baseline="0">
                <a:solidFill>
                  <a:srgbClr val="FF0000"/>
                </a:solidFill>
                <a:latin typeface="Calibri" panose="020F0502020204030204" pitchFamily="34" charset="0"/>
                <a:cs typeface="Calibri" panose="020F0502020204030204" pitchFamily="34" charset="0"/>
              </a:rPr>
              <a:t> cells CONFIDENTIAL</a:t>
            </a:r>
            <a:endParaRPr lang="en-AU" sz="12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12" name="Rounded Rectangle 11"/>
          <xdr:cNvSpPr/>
        </xdr:nvSpPr>
        <xdr:spPr>
          <a:xfrm>
            <a:off x="7608794" y="517036"/>
            <a:ext cx="3036935" cy="280982"/>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200" b="1">
                <a:solidFill>
                  <a:schemeClr val="accent6">
                    <a:lumMod val="75000"/>
                  </a:schemeClr>
                </a:solidFill>
              </a:rPr>
              <a:t>Return</a:t>
            </a:r>
            <a:r>
              <a:rPr lang="en-AU" sz="1200" b="1" baseline="0">
                <a:solidFill>
                  <a:schemeClr val="accent6">
                    <a:lumMod val="75000"/>
                  </a:schemeClr>
                </a:solidFill>
              </a:rPr>
              <a:t> cells to NON-CONFIDENTIAL</a:t>
            </a:r>
            <a:endParaRPr lang="en-AU" sz="1200" b="1">
              <a:solidFill>
                <a:schemeClr val="accent6">
                  <a:lumMod val="75000"/>
                </a:schemeClr>
              </a:solidFill>
            </a:endParaRPr>
          </a:p>
        </xdr:txBody>
      </xdr:sp>
    </xdr:grpSp>
    <xdr:clientData/>
  </xdr:twoCellAnchor>
  <xdr:twoCellAnchor>
    <xdr:from>
      <xdr:col>0</xdr:col>
      <xdr:colOff>216833</xdr:colOff>
      <xdr:row>0</xdr:row>
      <xdr:rowOff>113739</xdr:rowOff>
    </xdr:from>
    <xdr:to>
      <xdr:col>0</xdr:col>
      <xdr:colOff>1152525</xdr:colOff>
      <xdr:row>3</xdr:row>
      <xdr:rowOff>130548</xdr:rowOff>
    </xdr:to>
    <xdr:grpSp>
      <xdr:nvGrpSpPr>
        <xdr:cNvPr id="17" name="Group 16"/>
        <xdr:cNvGrpSpPr/>
      </xdr:nvGrpSpPr>
      <xdr:grpSpPr>
        <a:xfrm>
          <a:off x="216833" y="113739"/>
          <a:ext cx="684232" cy="898552"/>
          <a:chOff x="0" y="1560739"/>
          <a:chExt cx="762000" cy="931132"/>
        </a:xfrm>
      </xdr:grpSpPr>
      <xdr:pic>
        <xdr:nvPicPr>
          <xdr:cNvPr id="18" name="Picture 3" descr="item"/>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60739"/>
            <a:ext cx="762000" cy="4898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9" name="AutoShape 4">
            <a:hlinkClick xmlns:r="http://schemas.openxmlformats.org/officeDocument/2006/relationships" r:id="rId2"/>
          </xdr:cNvPr>
          <xdr:cNvSpPr>
            <a:spLocks noChangeArrowheads="1"/>
          </xdr:cNvSpPr>
        </xdr:nvSpPr>
        <xdr:spPr bwMode="auto">
          <a:xfrm>
            <a:off x="19050" y="2039711"/>
            <a:ext cx="736671" cy="234132"/>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0" i="0" u="none" strike="noStrike" baseline="0">
                <a:solidFill>
                  <a:srgbClr val="000080"/>
                </a:solidFill>
                <a:latin typeface="Arial Black"/>
              </a:rPr>
              <a:t>Contents</a:t>
            </a:r>
          </a:p>
        </xdr:txBody>
      </xdr:sp>
      <xdr:sp macro="" textlink="">
        <xdr:nvSpPr>
          <xdr:cNvPr id="20" name="AutoShape 5">
            <a:hlinkClick xmlns:r="http://schemas.openxmlformats.org/officeDocument/2006/relationships" r:id="rId3"/>
          </xdr:cNvPr>
          <xdr:cNvSpPr>
            <a:spLocks noChangeArrowheads="1"/>
          </xdr:cNvSpPr>
        </xdr:nvSpPr>
        <xdr:spPr bwMode="auto">
          <a:xfrm>
            <a:off x="19050" y="2261507"/>
            <a:ext cx="736671" cy="23036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650" b="0" i="0" u="none" strike="noStrike" baseline="0">
                <a:solidFill>
                  <a:srgbClr val="000080"/>
                </a:solidFill>
                <a:latin typeface="Arial Black"/>
              </a:rPr>
              <a:t>Instructions</a:t>
            </a:r>
          </a:p>
        </xdr:txBody>
      </xdr:sp>
    </xdr:grpSp>
    <xdr:clientData/>
  </xdr:twoCellAnchor>
</xdr:wsDr>
</file>

<file path=xl/drawings/drawing23.xml><?xml version="1.0" encoding="utf-8"?>
<xdr:wsDr xmlns:xdr="http://schemas.openxmlformats.org/drawingml/2006/spreadsheetDrawing" xmlns:a="http://schemas.openxmlformats.org/drawingml/2006/main">
  <xdr:twoCellAnchor>
    <xdr:from>
      <xdr:col>0</xdr:col>
      <xdr:colOff>112058</xdr:colOff>
      <xdr:row>0</xdr:row>
      <xdr:rowOff>123264</xdr:rowOff>
    </xdr:from>
    <xdr:to>
      <xdr:col>0</xdr:col>
      <xdr:colOff>806262</xdr:colOff>
      <xdr:row>3</xdr:row>
      <xdr:rowOff>140073</xdr:rowOff>
    </xdr:to>
    <xdr:grpSp>
      <xdr:nvGrpSpPr>
        <xdr:cNvPr id="2" name="Group 1"/>
        <xdr:cNvGrpSpPr/>
      </xdr:nvGrpSpPr>
      <xdr:grpSpPr>
        <a:xfrm>
          <a:off x="112058" y="123264"/>
          <a:ext cx="694204" cy="898552"/>
          <a:chOff x="0" y="1560739"/>
          <a:chExt cx="762000" cy="931132"/>
        </a:xfrm>
      </xdr:grpSpPr>
      <xdr:pic>
        <xdr:nvPicPr>
          <xdr:cNvPr id="3" name="Picture 3" descr="item"/>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60739"/>
            <a:ext cx="762000" cy="4898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4" name="AutoShape 4">
            <a:hlinkClick xmlns:r="http://schemas.openxmlformats.org/officeDocument/2006/relationships" r:id="rId2"/>
          </xdr:cNvPr>
          <xdr:cNvSpPr>
            <a:spLocks noChangeArrowheads="1"/>
          </xdr:cNvSpPr>
        </xdr:nvSpPr>
        <xdr:spPr bwMode="auto">
          <a:xfrm>
            <a:off x="19050" y="2039711"/>
            <a:ext cx="736671" cy="234132"/>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0" i="0" u="none" strike="noStrike" baseline="0">
                <a:solidFill>
                  <a:srgbClr val="000080"/>
                </a:solidFill>
                <a:latin typeface="Arial Black"/>
              </a:rPr>
              <a:t>Contents</a:t>
            </a:r>
          </a:p>
        </xdr:txBody>
      </xdr:sp>
      <xdr:sp macro="" textlink="">
        <xdr:nvSpPr>
          <xdr:cNvPr id="5" name="AutoShape 5">
            <a:hlinkClick xmlns:r="http://schemas.openxmlformats.org/officeDocument/2006/relationships" r:id="rId3"/>
          </xdr:cNvPr>
          <xdr:cNvSpPr>
            <a:spLocks noChangeArrowheads="1"/>
          </xdr:cNvSpPr>
        </xdr:nvSpPr>
        <xdr:spPr bwMode="auto">
          <a:xfrm>
            <a:off x="19050" y="2261507"/>
            <a:ext cx="736671" cy="23036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650" b="0" i="0" u="none" strike="noStrike" baseline="0">
                <a:solidFill>
                  <a:srgbClr val="000080"/>
                </a:solidFill>
                <a:latin typeface="Arial Black"/>
              </a:rPr>
              <a:t>Instructions</a:t>
            </a:r>
          </a:p>
        </xdr:txBody>
      </xdr:sp>
    </xdr:grpSp>
    <xdr:clientData/>
  </xdr:twoCellAnchor>
  <xdr:twoCellAnchor>
    <xdr:from>
      <xdr:col>5</xdr:col>
      <xdr:colOff>421822</xdr:colOff>
      <xdr:row>0</xdr:row>
      <xdr:rowOff>81643</xdr:rowOff>
    </xdr:from>
    <xdr:to>
      <xdr:col>8</xdr:col>
      <xdr:colOff>388125</xdr:colOff>
      <xdr:row>2</xdr:row>
      <xdr:rowOff>178814</xdr:rowOff>
    </xdr:to>
    <xdr:grpSp>
      <xdr:nvGrpSpPr>
        <xdr:cNvPr id="6" name="Group 5"/>
        <xdr:cNvGrpSpPr/>
      </xdr:nvGrpSpPr>
      <xdr:grpSpPr>
        <a:xfrm>
          <a:off x="9065079" y="81643"/>
          <a:ext cx="3199360" cy="685000"/>
          <a:chOff x="7608794" y="145676"/>
          <a:chExt cx="3047258" cy="652342"/>
        </a:xfrm>
      </xdr:grpSpPr>
      <xdr:sp macro="[0]!MarkConfidential" textlink="">
        <xdr:nvSpPr>
          <xdr:cNvPr id="7" name="Rounded Rectangle 6"/>
          <xdr:cNvSpPr/>
        </xdr:nvSpPr>
        <xdr:spPr>
          <a:xfrm>
            <a:off x="7608794" y="145676"/>
            <a:ext cx="3047258" cy="269785"/>
          </a:xfrm>
          <a:prstGeom prst="roundRect">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200" b="1">
                <a:solidFill>
                  <a:srgbClr val="FF0000"/>
                </a:solidFill>
                <a:latin typeface="Calibri" panose="020F0502020204030204" pitchFamily="34" charset="0"/>
                <a:cs typeface="Calibri" panose="020F0502020204030204" pitchFamily="34" charset="0"/>
              </a:rPr>
              <a:t>Mark selected</a:t>
            </a:r>
            <a:r>
              <a:rPr lang="en-AU" sz="1200" b="1" baseline="0">
                <a:solidFill>
                  <a:srgbClr val="FF0000"/>
                </a:solidFill>
                <a:latin typeface="Calibri" panose="020F0502020204030204" pitchFamily="34" charset="0"/>
                <a:cs typeface="Calibri" panose="020F0502020204030204" pitchFamily="34" charset="0"/>
              </a:rPr>
              <a:t> cells CONFIDENTIAL</a:t>
            </a:r>
            <a:endParaRPr lang="en-AU" sz="12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8" name="Rounded Rectangle 7"/>
          <xdr:cNvSpPr/>
        </xdr:nvSpPr>
        <xdr:spPr>
          <a:xfrm>
            <a:off x="7608794" y="517036"/>
            <a:ext cx="3036935" cy="280982"/>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200" b="1">
                <a:solidFill>
                  <a:schemeClr val="accent6">
                    <a:lumMod val="75000"/>
                  </a:schemeClr>
                </a:solidFill>
              </a:rPr>
              <a:t>Return</a:t>
            </a:r>
            <a:r>
              <a:rPr lang="en-AU" sz="1200" b="1" baseline="0">
                <a:solidFill>
                  <a:schemeClr val="accent6">
                    <a:lumMod val="75000"/>
                  </a:schemeClr>
                </a:solidFill>
              </a:rPr>
              <a:t> cells to NON-CONFIDENTIAL</a:t>
            </a:r>
            <a:endParaRPr lang="en-AU" sz="1200" b="1">
              <a:solidFill>
                <a:schemeClr val="accent6">
                  <a:lumMod val="75000"/>
                </a:schemeClr>
              </a:solidFill>
            </a:endParaRPr>
          </a:p>
        </xdr:txBody>
      </xdr:sp>
    </xdr:grp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112058</xdr:colOff>
      <xdr:row>0</xdr:row>
      <xdr:rowOff>123264</xdr:rowOff>
    </xdr:from>
    <xdr:to>
      <xdr:col>0</xdr:col>
      <xdr:colOff>806262</xdr:colOff>
      <xdr:row>3</xdr:row>
      <xdr:rowOff>140073</xdr:rowOff>
    </xdr:to>
    <xdr:grpSp>
      <xdr:nvGrpSpPr>
        <xdr:cNvPr id="2" name="Group 1"/>
        <xdr:cNvGrpSpPr/>
      </xdr:nvGrpSpPr>
      <xdr:grpSpPr>
        <a:xfrm>
          <a:off x="112058" y="123264"/>
          <a:ext cx="694204" cy="958103"/>
          <a:chOff x="0" y="1560739"/>
          <a:chExt cx="762000" cy="931132"/>
        </a:xfrm>
      </xdr:grpSpPr>
      <xdr:pic>
        <xdr:nvPicPr>
          <xdr:cNvPr id="3" name="Picture 3" descr="item"/>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60739"/>
            <a:ext cx="762000" cy="4898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4" name="AutoShape 4">
            <a:hlinkClick xmlns:r="http://schemas.openxmlformats.org/officeDocument/2006/relationships" r:id="rId2"/>
          </xdr:cNvPr>
          <xdr:cNvSpPr>
            <a:spLocks noChangeArrowheads="1"/>
          </xdr:cNvSpPr>
        </xdr:nvSpPr>
        <xdr:spPr bwMode="auto">
          <a:xfrm>
            <a:off x="19050" y="2039711"/>
            <a:ext cx="736671" cy="234132"/>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0" i="0" u="none" strike="noStrike" baseline="0">
                <a:solidFill>
                  <a:srgbClr val="000080"/>
                </a:solidFill>
                <a:latin typeface="Arial Black"/>
              </a:rPr>
              <a:t>Contents</a:t>
            </a:r>
          </a:p>
        </xdr:txBody>
      </xdr:sp>
      <xdr:sp macro="" textlink="">
        <xdr:nvSpPr>
          <xdr:cNvPr id="5" name="AutoShape 5">
            <a:hlinkClick xmlns:r="http://schemas.openxmlformats.org/officeDocument/2006/relationships" r:id="rId3"/>
          </xdr:cNvPr>
          <xdr:cNvSpPr>
            <a:spLocks noChangeArrowheads="1"/>
          </xdr:cNvSpPr>
        </xdr:nvSpPr>
        <xdr:spPr bwMode="auto">
          <a:xfrm>
            <a:off x="19050" y="2261507"/>
            <a:ext cx="736671" cy="23036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650" b="0" i="0" u="none" strike="noStrike" baseline="0">
                <a:solidFill>
                  <a:srgbClr val="000080"/>
                </a:solidFill>
                <a:latin typeface="Arial Black"/>
              </a:rPr>
              <a:t>Instructions</a:t>
            </a:r>
          </a:p>
        </xdr:txBody>
      </xdr:sp>
    </xdr:grpSp>
    <xdr:clientData/>
  </xdr:twoCellAnchor>
  <xdr:twoCellAnchor>
    <xdr:from>
      <xdr:col>4</xdr:col>
      <xdr:colOff>44823</xdr:colOff>
      <xdr:row>0</xdr:row>
      <xdr:rowOff>145677</xdr:rowOff>
    </xdr:from>
    <xdr:to>
      <xdr:col>6</xdr:col>
      <xdr:colOff>1047670</xdr:colOff>
      <xdr:row>2</xdr:row>
      <xdr:rowOff>186819</xdr:rowOff>
    </xdr:to>
    <xdr:grpSp>
      <xdr:nvGrpSpPr>
        <xdr:cNvPr id="6" name="Group 5"/>
        <xdr:cNvGrpSpPr/>
      </xdr:nvGrpSpPr>
      <xdr:grpSpPr>
        <a:xfrm>
          <a:off x="7844117" y="145677"/>
          <a:ext cx="3154377" cy="668671"/>
          <a:chOff x="7608794" y="145676"/>
          <a:chExt cx="3047258" cy="652342"/>
        </a:xfrm>
      </xdr:grpSpPr>
      <xdr:sp macro="[0]!MarkConfidential" textlink="">
        <xdr:nvSpPr>
          <xdr:cNvPr id="7" name="Rounded Rectangle 6"/>
          <xdr:cNvSpPr/>
        </xdr:nvSpPr>
        <xdr:spPr>
          <a:xfrm>
            <a:off x="7608794" y="145676"/>
            <a:ext cx="3047258" cy="269785"/>
          </a:xfrm>
          <a:prstGeom prst="roundRect">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200" b="1">
                <a:solidFill>
                  <a:srgbClr val="FF0000"/>
                </a:solidFill>
                <a:latin typeface="Calibri" panose="020F0502020204030204" pitchFamily="34" charset="0"/>
                <a:cs typeface="Calibri" panose="020F0502020204030204" pitchFamily="34" charset="0"/>
              </a:rPr>
              <a:t>Mark selected</a:t>
            </a:r>
            <a:r>
              <a:rPr lang="en-AU" sz="1200" b="1" baseline="0">
                <a:solidFill>
                  <a:srgbClr val="FF0000"/>
                </a:solidFill>
                <a:latin typeface="Calibri" panose="020F0502020204030204" pitchFamily="34" charset="0"/>
                <a:cs typeface="Calibri" panose="020F0502020204030204" pitchFamily="34" charset="0"/>
              </a:rPr>
              <a:t> cells CONFIDENTIAL</a:t>
            </a:r>
            <a:endParaRPr lang="en-AU" sz="12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8" name="Rounded Rectangle 7"/>
          <xdr:cNvSpPr/>
        </xdr:nvSpPr>
        <xdr:spPr>
          <a:xfrm>
            <a:off x="7608794" y="517036"/>
            <a:ext cx="3036935" cy="280982"/>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200" b="1">
                <a:solidFill>
                  <a:schemeClr val="accent6">
                    <a:lumMod val="75000"/>
                  </a:schemeClr>
                </a:solidFill>
              </a:rPr>
              <a:t>Return</a:t>
            </a:r>
            <a:r>
              <a:rPr lang="en-AU" sz="1200" b="1" baseline="0">
                <a:solidFill>
                  <a:schemeClr val="accent6">
                    <a:lumMod val="75000"/>
                  </a:schemeClr>
                </a:solidFill>
              </a:rPr>
              <a:t> cells to NON-CONFIDENTIAL</a:t>
            </a:r>
            <a:endParaRPr lang="en-AU" sz="1200" b="1">
              <a:solidFill>
                <a:schemeClr val="accent6">
                  <a:lumMod val="75000"/>
                </a:schemeClr>
              </a:solidFill>
            </a:endParaRPr>
          </a:p>
        </xdr:txBody>
      </xdr:sp>
    </xdr:grpSp>
    <xdr:clientData/>
  </xdr:twoCellAnchor>
</xdr:wsDr>
</file>

<file path=xl/drawings/drawing25.xml><?xml version="1.0" encoding="utf-8"?>
<xdr:wsDr xmlns:xdr="http://schemas.openxmlformats.org/drawingml/2006/spreadsheetDrawing" xmlns:a="http://schemas.openxmlformats.org/drawingml/2006/main">
  <xdr:twoCellAnchor>
    <xdr:from>
      <xdr:col>1</xdr:col>
      <xdr:colOff>179294</xdr:colOff>
      <xdr:row>0</xdr:row>
      <xdr:rowOff>1</xdr:rowOff>
    </xdr:from>
    <xdr:to>
      <xdr:col>1</xdr:col>
      <xdr:colOff>1243853</xdr:colOff>
      <xdr:row>4</xdr:row>
      <xdr:rowOff>179294</xdr:rowOff>
    </xdr:to>
    <xdr:grpSp>
      <xdr:nvGrpSpPr>
        <xdr:cNvPr id="2" name="Group 1"/>
        <xdr:cNvGrpSpPr>
          <a:grpSpLocks/>
        </xdr:cNvGrpSpPr>
      </xdr:nvGrpSpPr>
      <xdr:grpSpPr bwMode="auto">
        <a:xfrm>
          <a:off x="179294" y="1"/>
          <a:ext cx="1064559" cy="1420264"/>
          <a:chOff x="0" y="0"/>
          <a:chExt cx="78" cy="103"/>
        </a:xfrm>
      </xdr:grpSpPr>
      <xdr:grpSp>
        <xdr:nvGrpSpPr>
          <xdr:cNvPr id="3" name="Group 2"/>
          <xdr:cNvGrpSpPr>
            <a:grpSpLocks/>
          </xdr:cNvGrpSpPr>
        </xdr:nvGrpSpPr>
        <xdr:grpSpPr bwMode="auto">
          <a:xfrm>
            <a:off x="0" y="0"/>
            <a:ext cx="78" cy="103"/>
            <a:chOff x="64" y="0"/>
            <a:chExt cx="78" cy="103"/>
          </a:xfrm>
        </xdr:grpSpPr>
        <xdr:sp macro="" textlink="">
          <xdr:nvSpPr>
            <xdr:cNvPr id="6" name="Rectangle 3"/>
            <xdr:cNvSpPr>
              <a:spLocks noChangeArrowheads="1"/>
            </xdr:cNvSpPr>
          </xdr:nvSpPr>
          <xdr:spPr bwMode="auto">
            <a:xfrm>
              <a:off x="64" y="0"/>
              <a:ext cx="78" cy="103"/>
            </a:xfrm>
            <a:prstGeom prst="rect">
              <a:avLst/>
            </a:prstGeom>
            <a:solidFill>
              <a:srgbClr val="FFFFCC">
                <a:alpha val="89803"/>
              </a:srgbClr>
            </a:solidFill>
            <a:ln w="25400" algn="ctr">
              <a:solidFill>
                <a:srgbClr val="000080"/>
              </a:solidFill>
              <a:miter lim="800000"/>
              <a:headEnd/>
              <a:tailEnd/>
            </a:ln>
          </xdr:spPr>
        </xdr:sp>
        <xdr:pic>
          <xdr:nvPicPr>
            <xdr:cNvPr id="7" name="Picture 4" descr="item"/>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 y="0"/>
              <a:ext cx="78" cy="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sp macro="" textlink="">
        <xdr:nvSpPr>
          <xdr:cNvPr id="4" name="AutoShape 5">
            <a:hlinkClick xmlns:r="http://schemas.openxmlformats.org/officeDocument/2006/relationships" r:id="rId2"/>
          </xdr:cNvPr>
          <xdr:cNvSpPr>
            <a:spLocks noChangeArrowheads="1"/>
          </xdr:cNvSpPr>
        </xdr:nvSpPr>
        <xdr:spPr bwMode="auto">
          <a:xfrm>
            <a:off x="4" y="54"/>
            <a:ext cx="67" cy="19"/>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sp macro="" textlink="">
        <xdr:nvSpPr>
          <xdr:cNvPr id="5" name="AutoShape 6">
            <a:hlinkClick xmlns:r="http://schemas.openxmlformats.org/officeDocument/2006/relationships" r:id="rId3"/>
          </xdr:cNvPr>
          <xdr:cNvSpPr>
            <a:spLocks noChangeArrowheads="1"/>
          </xdr:cNvSpPr>
        </xdr:nvSpPr>
        <xdr:spPr bwMode="auto">
          <a:xfrm>
            <a:off x="4" y="75"/>
            <a:ext cx="67" cy="19"/>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grpSp>
    <xdr:clientData/>
  </xdr:twoCellAnchor>
</xdr:wsDr>
</file>

<file path=xl/drawings/drawing26.xml><?xml version="1.0" encoding="utf-8"?>
<xdr:wsDr xmlns:xdr="http://schemas.openxmlformats.org/drawingml/2006/spreadsheetDrawing" xmlns:a="http://schemas.openxmlformats.org/drawingml/2006/main">
  <xdr:twoCellAnchor>
    <xdr:from>
      <xdr:col>0</xdr:col>
      <xdr:colOff>112058</xdr:colOff>
      <xdr:row>0</xdr:row>
      <xdr:rowOff>123264</xdr:rowOff>
    </xdr:from>
    <xdr:to>
      <xdr:col>0</xdr:col>
      <xdr:colOff>806262</xdr:colOff>
      <xdr:row>3</xdr:row>
      <xdr:rowOff>140073</xdr:rowOff>
    </xdr:to>
    <xdr:grpSp>
      <xdr:nvGrpSpPr>
        <xdr:cNvPr id="2" name="Group 1"/>
        <xdr:cNvGrpSpPr/>
      </xdr:nvGrpSpPr>
      <xdr:grpSpPr>
        <a:xfrm>
          <a:off x="112058" y="123264"/>
          <a:ext cx="694204" cy="963866"/>
          <a:chOff x="0" y="1560739"/>
          <a:chExt cx="762000" cy="931132"/>
        </a:xfrm>
      </xdr:grpSpPr>
      <xdr:pic>
        <xdr:nvPicPr>
          <xdr:cNvPr id="3" name="Picture 3" descr="item"/>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60739"/>
            <a:ext cx="762000" cy="4898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4" name="AutoShape 4">
            <a:hlinkClick xmlns:r="http://schemas.openxmlformats.org/officeDocument/2006/relationships" r:id="rId2"/>
          </xdr:cNvPr>
          <xdr:cNvSpPr>
            <a:spLocks noChangeArrowheads="1"/>
          </xdr:cNvSpPr>
        </xdr:nvSpPr>
        <xdr:spPr bwMode="auto">
          <a:xfrm>
            <a:off x="19050" y="2039711"/>
            <a:ext cx="736671" cy="234132"/>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0" i="0" u="none" strike="noStrike" baseline="0">
                <a:solidFill>
                  <a:srgbClr val="000080"/>
                </a:solidFill>
                <a:latin typeface="Arial Black"/>
              </a:rPr>
              <a:t>Contents</a:t>
            </a:r>
          </a:p>
        </xdr:txBody>
      </xdr:sp>
      <xdr:sp macro="" textlink="">
        <xdr:nvSpPr>
          <xdr:cNvPr id="5" name="AutoShape 5">
            <a:hlinkClick xmlns:r="http://schemas.openxmlformats.org/officeDocument/2006/relationships" r:id="rId3"/>
          </xdr:cNvPr>
          <xdr:cNvSpPr>
            <a:spLocks noChangeArrowheads="1"/>
          </xdr:cNvSpPr>
        </xdr:nvSpPr>
        <xdr:spPr bwMode="auto">
          <a:xfrm>
            <a:off x="19050" y="2261507"/>
            <a:ext cx="736671" cy="23036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650" b="0" i="0" u="none" strike="noStrike" baseline="0">
                <a:solidFill>
                  <a:srgbClr val="000080"/>
                </a:solidFill>
                <a:latin typeface="Arial Black"/>
              </a:rPr>
              <a:t>Instructions</a:t>
            </a:r>
          </a:p>
        </xdr:txBody>
      </xdr:sp>
    </xdr:grpSp>
    <xdr:clientData/>
  </xdr:twoCellAnchor>
  <xdr:twoCellAnchor>
    <xdr:from>
      <xdr:col>8</xdr:col>
      <xdr:colOff>272143</xdr:colOff>
      <xdr:row>0</xdr:row>
      <xdr:rowOff>136071</xdr:rowOff>
    </xdr:from>
    <xdr:to>
      <xdr:col>11</xdr:col>
      <xdr:colOff>238446</xdr:colOff>
      <xdr:row>2</xdr:row>
      <xdr:rowOff>178813</xdr:rowOff>
    </xdr:to>
    <xdr:grpSp>
      <xdr:nvGrpSpPr>
        <xdr:cNvPr id="6" name="Group 5"/>
        <xdr:cNvGrpSpPr/>
      </xdr:nvGrpSpPr>
      <xdr:grpSpPr>
        <a:xfrm>
          <a:off x="12387943" y="136071"/>
          <a:ext cx="3493274" cy="674113"/>
          <a:chOff x="7608794" y="145676"/>
          <a:chExt cx="3047258" cy="652342"/>
        </a:xfrm>
      </xdr:grpSpPr>
      <xdr:sp macro="[0]!MarkConfidential" textlink="">
        <xdr:nvSpPr>
          <xdr:cNvPr id="7" name="Rounded Rectangle 6"/>
          <xdr:cNvSpPr/>
        </xdr:nvSpPr>
        <xdr:spPr>
          <a:xfrm>
            <a:off x="7608794" y="145676"/>
            <a:ext cx="3047258" cy="269785"/>
          </a:xfrm>
          <a:prstGeom prst="roundRect">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200" b="1">
                <a:solidFill>
                  <a:srgbClr val="FF0000"/>
                </a:solidFill>
                <a:latin typeface="Calibri" panose="020F0502020204030204" pitchFamily="34" charset="0"/>
                <a:cs typeface="Calibri" panose="020F0502020204030204" pitchFamily="34" charset="0"/>
              </a:rPr>
              <a:t>Mark selected</a:t>
            </a:r>
            <a:r>
              <a:rPr lang="en-AU" sz="1200" b="1" baseline="0">
                <a:solidFill>
                  <a:srgbClr val="FF0000"/>
                </a:solidFill>
                <a:latin typeface="Calibri" panose="020F0502020204030204" pitchFamily="34" charset="0"/>
                <a:cs typeface="Calibri" panose="020F0502020204030204" pitchFamily="34" charset="0"/>
              </a:rPr>
              <a:t> cells CONFIDENTIAL</a:t>
            </a:r>
            <a:endParaRPr lang="en-AU" sz="12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8" name="Rounded Rectangle 7"/>
          <xdr:cNvSpPr/>
        </xdr:nvSpPr>
        <xdr:spPr>
          <a:xfrm>
            <a:off x="7608794" y="517036"/>
            <a:ext cx="3036935" cy="280982"/>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200" b="1">
                <a:solidFill>
                  <a:schemeClr val="accent6">
                    <a:lumMod val="75000"/>
                  </a:schemeClr>
                </a:solidFill>
              </a:rPr>
              <a:t>Return</a:t>
            </a:r>
            <a:r>
              <a:rPr lang="en-AU" sz="1200" b="1" baseline="0">
                <a:solidFill>
                  <a:schemeClr val="accent6">
                    <a:lumMod val="75000"/>
                  </a:schemeClr>
                </a:solidFill>
              </a:rPr>
              <a:t> cells to NON-CONFIDENTIAL</a:t>
            </a:r>
            <a:endParaRPr lang="en-AU" sz="1200" b="1">
              <a:solidFill>
                <a:schemeClr val="accent6">
                  <a:lumMod val="75000"/>
                </a:schemeClr>
              </a:solidFill>
            </a:endParaRPr>
          </a:p>
        </xdr:txBody>
      </xdr:sp>
    </xdr:grpSp>
    <xdr:clientData/>
  </xdr:twoCellAnchor>
</xdr:wsDr>
</file>

<file path=xl/drawings/drawing27.xml><?xml version="1.0" encoding="utf-8"?>
<xdr:wsDr xmlns:xdr="http://schemas.openxmlformats.org/drawingml/2006/spreadsheetDrawing" xmlns:a="http://schemas.openxmlformats.org/drawingml/2006/main">
  <xdr:twoCellAnchor>
    <xdr:from>
      <xdr:col>0</xdr:col>
      <xdr:colOff>112058</xdr:colOff>
      <xdr:row>0</xdr:row>
      <xdr:rowOff>123264</xdr:rowOff>
    </xdr:from>
    <xdr:to>
      <xdr:col>0</xdr:col>
      <xdr:colOff>806262</xdr:colOff>
      <xdr:row>3</xdr:row>
      <xdr:rowOff>140073</xdr:rowOff>
    </xdr:to>
    <xdr:grpSp>
      <xdr:nvGrpSpPr>
        <xdr:cNvPr id="2" name="Group 1"/>
        <xdr:cNvGrpSpPr/>
      </xdr:nvGrpSpPr>
      <xdr:grpSpPr>
        <a:xfrm>
          <a:off x="112058" y="123264"/>
          <a:ext cx="694204" cy="955702"/>
          <a:chOff x="0" y="1560739"/>
          <a:chExt cx="762000" cy="931132"/>
        </a:xfrm>
      </xdr:grpSpPr>
      <xdr:pic>
        <xdr:nvPicPr>
          <xdr:cNvPr id="3" name="Picture 3" descr="item"/>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60739"/>
            <a:ext cx="762000" cy="4898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4" name="AutoShape 4">
            <a:hlinkClick xmlns:r="http://schemas.openxmlformats.org/officeDocument/2006/relationships" r:id="rId2"/>
          </xdr:cNvPr>
          <xdr:cNvSpPr>
            <a:spLocks noChangeArrowheads="1"/>
          </xdr:cNvSpPr>
        </xdr:nvSpPr>
        <xdr:spPr bwMode="auto">
          <a:xfrm>
            <a:off x="19050" y="2039711"/>
            <a:ext cx="736671" cy="234132"/>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0" i="0" u="none" strike="noStrike" baseline="0">
                <a:solidFill>
                  <a:srgbClr val="000080"/>
                </a:solidFill>
                <a:latin typeface="Arial Black"/>
              </a:rPr>
              <a:t>Contents</a:t>
            </a:r>
          </a:p>
        </xdr:txBody>
      </xdr:sp>
      <xdr:sp macro="" textlink="">
        <xdr:nvSpPr>
          <xdr:cNvPr id="5" name="AutoShape 5">
            <a:hlinkClick xmlns:r="http://schemas.openxmlformats.org/officeDocument/2006/relationships" r:id="rId3"/>
          </xdr:cNvPr>
          <xdr:cNvSpPr>
            <a:spLocks noChangeArrowheads="1"/>
          </xdr:cNvSpPr>
        </xdr:nvSpPr>
        <xdr:spPr bwMode="auto">
          <a:xfrm>
            <a:off x="19050" y="2261507"/>
            <a:ext cx="736671" cy="23036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650" b="0" i="0" u="none" strike="noStrike" baseline="0">
                <a:solidFill>
                  <a:srgbClr val="000080"/>
                </a:solidFill>
                <a:latin typeface="Arial Black"/>
              </a:rPr>
              <a:t>Instructions</a:t>
            </a:r>
          </a:p>
        </xdr:txBody>
      </xdr:sp>
    </xdr:grpSp>
    <xdr:clientData/>
  </xdr:twoCellAnchor>
  <xdr:twoCellAnchor>
    <xdr:from>
      <xdr:col>10</xdr:col>
      <xdr:colOff>381001</xdr:colOff>
      <xdr:row>0</xdr:row>
      <xdr:rowOff>156883</xdr:rowOff>
    </xdr:from>
    <xdr:to>
      <xdr:col>13</xdr:col>
      <xdr:colOff>666671</xdr:colOff>
      <xdr:row>2</xdr:row>
      <xdr:rowOff>198025</xdr:rowOff>
    </xdr:to>
    <xdr:grpSp>
      <xdr:nvGrpSpPr>
        <xdr:cNvPr id="6" name="Group 5"/>
        <xdr:cNvGrpSpPr/>
      </xdr:nvGrpSpPr>
      <xdr:grpSpPr>
        <a:xfrm>
          <a:off x="10885715" y="156883"/>
          <a:ext cx="2816599" cy="667071"/>
          <a:chOff x="7608794" y="145676"/>
          <a:chExt cx="3047258" cy="652342"/>
        </a:xfrm>
      </xdr:grpSpPr>
      <xdr:sp macro="[0]!MarkConfidential" textlink="">
        <xdr:nvSpPr>
          <xdr:cNvPr id="7" name="Rounded Rectangle 6"/>
          <xdr:cNvSpPr/>
        </xdr:nvSpPr>
        <xdr:spPr>
          <a:xfrm>
            <a:off x="7608794" y="145676"/>
            <a:ext cx="3047258" cy="269785"/>
          </a:xfrm>
          <a:prstGeom prst="roundRect">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200" b="1">
                <a:solidFill>
                  <a:srgbClr val="FF0000"/>
                </a:solidFill>
                <a:latin typeface="Calibri" panose="020F0502020204030204" pitchFamily="34" charset="0"/>
                <a:cs typeface="Calibri" panose="020F0502020204030204" pitchFamily="34" charset="0"/>
              </a:rPr>
              <a:t>Mark selected</a:t>
            </a:r>
            <a:r>
              <a:rPr lang="en-AU" sz="1200" b="1" baseline="0">
                <a:solidFill>
                  <a:srgbClr val="FF0000"/>
                </a:solidFill>
                <a:latin typeface="Calibri" panose="020F0502020204030204" pitchFamily="34" charset="0"/>
                <a:cs typeface="Calibri" panose="020F0502020204030204" pitchFamily="34" charset="0"/>
              </a:rPr>
              <a:t> cells CONFIDENTIAL</a:t>
            </a:r>
            <a:endParaRPr lang="en-AU" sz="12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8" name="Rounded Rectangle 7"/>
          <xdr:cNvSpPr/>
        </xdr:nvSpPr>
        <xdr:spPr>
          <a:xfrm>
            <a:off x="7608794" y="517036"/>
            <a:ext cx="3036935" cy="280982"/>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200" b="1">
                <a:solidFill>
                  <a:schemeClr val="accent6">
                    <a:lumMod val="75000"/>
                  </a:schemeClr>
                </a:solidFill>
              </a:rPr>
              <a:t>Return</a:t>
            </a:r>
            <a:r>
              <a:rPr lang="en-AU" sz="1200" b="1" baseline="0">
                <a:solidFill>
                  <a:schemeClr val="accent6">
                    <a:lumMod val="75000"/>
                  </a:schemeClr>
                </a:solidFill>
              </a:rPr>
              <a:t> cells to NON-CONFIDENTIAL</a:t>
            </a:r>
            <a:endParaRPr lang="en-AU" sz="1200" b="1">
              <a:solidFill>
                <a:schemeClr val="accent6">
                  <a:lumMod val="75000"/>
                </a:schemeClr>
              </a:solidFill>
            </a:endParaRPr>
          </a:p>
        </xdr:txBody>
      </xdr:sp>
    </xdr:grpSp>
    <xdr:clientData/>
  </xdr:twoCellAnchor>
</xdr:wsDr>
</file>

<file path=xl/drawings/drawing28.xml><?xml version="1.0" encoding="utf-8"?>
<xdr:wsDr xmlns:xdr="http://schemas.openxmlformats.org/drawingml/2006/spreadsheetDrawing" xmlns:a="http://schemas.openxmlformats.org/drawingml/2006/main">
  <xdr:twoCellAnchor>
    <xdr:from>
      <xdr:col>0</xdr:col>
      <xdr:colOff>384201</xdr:colOff>
      <xdr:row>0</xdr:row>
      <xdr:rowOff>136871</xdr:rowOff>
    </xdr:from>
    <xdr:to>
      <xdr:col>0</xdr:col>
      <xdr:colOff>1078405</xdr:colOff>
      <xdr:row>3</xdr:row>
      <xdr:rowOff>153680</xdr:rowOff>
    </xdr:to>
    <xdr:grpSp>
      <xdr:nvGrpSpPr>
        <xdr:cNvPr id="2" name="Group 1"/>
        <xdr:cNvGrpSpPr/>
      </xdr:nvGrpSpPr>
      <xdr:grpSpPr>
        <a:xfrm>
          <a:off x="384201" y="136871"/>
          <a:ext cx="694204" cy="991721"/>
          <a:chOff x="0" y="1560739"/>
          <a:chExt cx="762000" cy="931132"/>
        </a:xfrm>
      </xdr:grpSpPr>
      <xdr:pic>
        <xdr:nvPicPr>
          <xdr:cNvPr id="3" name="Picture 3" descr="item"/>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60739"/>
            <a:ext cx="762000" cy="4898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4" name="AutoShape 4">
            <a:hlinkClick xmlns:r="http://schemas.openxmlformats.org/officeDocument/2006/relationships" r:id="rId2"/>
          </xdr:cNvPr>
          <xdr:cNvSpPr>
            <a:spLocks noChangeArrowheads="1"/>
          </xdr:cNvSpPr>
        </xdr:nvSpPr>
        <xdr:spPr bwMode="auto">
          <a:xfrm>
            <a:off x="19050" y="2039711"/>
            <a:ext cx="736671" cy="234132"/>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0" i="0" u="none" strike="noStrike" baseline="0">
                <a:solidFill>
                  <a:srgbClr val="000080"/>
                </a:solidFill>
                <a:latin typeface="Arial Black"/>
              </a:rPr>
              <a:t>Contents</a:t>
            </a:r>
          </a:p>
        </xdr:txBody>
      </xdr:sp>
      <xdr:sp macro="" textlink="">
        <xdr:nvSpPr>
          <xdr:cNvPr id="5" name="AutoShape 5">
            <a:hlinkClick xmlns:r="http://schemas.openxmlformats.org/officeDocument/2006/relationships" r:id="rId3"/>
          </xdr:cNvPr>
          <xdr:cNvSpPr>
            <a:spLocks noChangeArrowheads="1"/>
          </xdr:cNvSpPr>
        </xdr:nvSpPr>
        <xdr:spPr bwMode="auto">
          <a:xfrm>
            <a:off x="19050" y="2261507"/>
            <a:ext cx="736671" cy="23036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650" b="0" i="0" u="none" strike="noStrike" baseline="0">
                <a:solidFill>
                  <a:srgbClr val="000080"/>
                </a:solidFill>
                <a:latin typeface="Arial Black"/>
              </a:rPr>
              <a:t>Instructions</a:t>
            </a:r>
          </a:p>
        </xdr:txBody>
      </xdr:sp>
    </xdr:grpSp>
    <xdr:clientData/>
  </xdr:twoCellAnchor>
  <xdr:twoCellAnchor>
    <xdr:from>
      <xdr:col>6</xdr:col>
      <xdr:colOff>493060</xdr:colOff>
      <xdr:row>0</xdr:row>
      <xdr:rowOff>179292</xdr:rowOff>
    </xdr:from>
    <xdr:to>
      <xdr:col>8</xdr:col>
      <xdr:colOff>1114907</xdr:colOff>
      <xdr:row>2</xdr:row>
      <xdr:rowOff>198022</xdr:rowOff>
    </xdr:to>
    <xdr:grpSp>
      <xdr:nvGrpSpPr>
        <xdr:cNvPr id="6" name="Group 5"/>
        <xdr:cNvGrpSpPr/>
      </xdr:nvGrpSpPr>
      <xdr:grpSpPr>
        <a:xfrm>
          <a:off x="10062884" y="179292"/>
          <a:ext cx="2534130" cy="668671"/>
          <a:chOff x="7608794" y="145676"/>
          <a:chExt cx="3047258" cy="652342"/>
        </a:xfrm>
      </xdr:grpSpPr>
      <xdr:sp macro="[0]!MarkConfidential" textlink="">
        <xdr:nvSpPr>
          <xdr:cNvPr id="7" name="Rounded Rectangle 6"/>
          <xdr:cNvSpPr/>
        </xdr:nvSpPr>
        <xdr:spPr>
          <a:xfrm>
            <a:off x="7608794" y="145676"/>
            <a:ext cx="3047258" cy="269785"/>
          </a:xfrm>
          <a:prstGeom prst="roundRect">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200" b="1">
                <a:solidFill>
                  <a:srgbClr val="FF0000"/>
                </a:solidFill>
                <a:latin typeface="Calibri" panose="020F0502020204030204" pitchFamily="34" charset="0"/>
                <a:cs typeface="Calibri" panose="020F0502020204030204" pitchFamily="34" charset="0"/>
              </a:rPr>
              <a:t>Mark selected</a:t>
            </a:r>
            <a:r>
              <a:rPr lang="en-AU" sz="1200" b="1" baseline="0">
                <a:solidFill>
                  <a:srgbClr val="FF0000"/>
                </a:solidFill>
                <a:latin typeface="Calibri" panose="020F0502020204030204" pitchFamily="34" charset="0"/>
                <a:cs typeface="Calibri" panose="020F0502020204030204" pitchFamily="34" charset="0"/>
              </a:rPr>
              <a:t> cells CONFIDENTIAL</a:t>
            </a:r>
            <a:endParaRPr lang="en-AU" sz="12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8" name="Rounded Rectangle 7"/>
          <xdr:cNvSpPr/>
        </xdr:nvSpPr>
        <xdr:spPr>
          <a:xfrm>
            <a:off x="7608794" y="517036"/>
            <a:ext cx="3036935" cy="280982"/>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200" b="1">
                <a:solidFill>
                  <a:schemeClr val="accent6">
                    <a:lumMod val="75000"/>
                  </a:schemeClr>
                </a:solidFill>
              </a:rPr>
              <a:t>Return</a:t>
            </a:r>
            <a:r>
              <a:rPr lang="en-AU" sz="1200" b="1" baseline="0">
                <a:solidFill>
                  <a:schemeClr val="accent6">
                    <a:lumMod val="75000"/>
                  </a:schemeClr>
                </a:solidFill>
              </a:rPr>
              <a:t> cells to NON-CONFIDENTIAL</a:t>
            </a:r>
            <a:endParaRPr lang="en-AU" sz="1200" b="1">
              <a:solidFill>
                <a:schemeClr val="accent6">
                  <a:lumMod val="75000"/>
                </a:schemeClr>
              </a:solidFill>
            </a:endParaRPr>
          </a:p>
        </xdr:txBody>
      </xdr:sp>
    </xdr:grpSp>
    <xdr:clientData/>
  </xdr:twoCellAnchor>
</xdr:wsDr>
</file>

<file path=xl/drawings/drawing29.xml><?xml version="1.0" encoding="utf-8"?>
<xdr:wsDr xmlns:xdr="http://schemas.openxmlformats.org/drawingml/2006/spreadsheetDrawing" xmlns:a="http://schemas.openxmlformats.org/drawingml/2006/main">
  <xdr:twoCellAnchor>
    <xdr:from>
      <xdr:col>0</xdr:col>
      <xdr:colOff>112058</xdr:colOff>
      <xdr:row>0</xdr:row>
      <xdr:rowOff>123264</xdr:rowOff>
    </xdr:from>
    <xdr:to>
      <xdr:col>0</xdr:col>
      <xdr:colOff>806262</xdr:colOff>
      <xdr:row>3</xdr:row>
      <xdr:rowOff>140073</xdr:rowOff>
    </xdr:to>
    <xdr:grpSp>
      <xdr:nvGrpSpPr>
        <xdr:cNvPr id="5" name="Group 4"/>
        <xdr:cNvGrpSpPr/>
      </xdr:nvGrpSpPr>
      <xdr:grpSpPr>
        <a:xfrm>
          <a:off x="112058" y="123264"/>
          <a:ext cx="694204" cy="958103"/>
          <a:chOff x="0" y="1560739"/>
          <a:chExt cx="762000" cy="931132"/>
        </a:xfrm>
      </xdr:grpSpPr>
      <xdr:pic>
        <xdr:nvPicPr>
          <xdr:cNvPr id="6" name="Picture 3" descr="item"/>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60739"/>
            <a:ext cx="762000" cy="4898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7" name="AutoShape 4">
            <a:hlinkClick xmlns:r="http://schemas.openxmlformats.org/officeDocument/2006/relationships" r:id="rId2"/>
          </xdr:cNvPr>
          <xdr:cNvSpPr>
            <a:spLocks noChangeArrowheads="1"/>
          </xdr:cNvSpPr>
        </xdr:nvSpPr>
        <xdr:spPr bwMode="auto">
          <a:xfrm>
            <a:off x="19050" y="2039711"/>
            <a:ext cx="736671" cy="234132"/>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0" i="0" u="none" strike="noStrike" baseline="0">
                <a:solidFill>
                  <a:srgbClr val="000080"/>
                </a:solidFill>
                <a:latin typeface="Arial Black"/>
              </a:rPr>
              <a:t>Contents</a:t>
            </a:r>
          </a:p>
        </xdr:txBody>
      </xdr:sp>
      <xdr:sp macro="" textlink="">
        <xdr:nvSpPr>
          <xdr:cNvPr id="8" name="AutoShape 5">
            <a:hlinkClick xmlns:r="http://schemas.openxmlformats.org/officeDocument/2006/relationships" r:id="rId3"/>
          </xdr:cNvPr>
          <xdr:cNvSpPr>
            <a:spLocks noChangeArrowheads="1"/>
          </xdr:cNvSpPr>
        </xdr:nvSpPr>
        <xdr:spPr bwMode="auto">
          <a:xfrm>
            <a:off x="19050" y="2261507"/>
            <a:ext cx="736671" cy="23036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650" b="0" i="0" u="none" strike="noStrike" baseline="0">
                <a:solidFill>
                  <a:srgbClr val="000080"/>
                </a:solidFill>
                <a:latin typeface="Arial Black"/>
              </a:rPr>
              <a:t>Instructions</a:t>
            </a:r>
          </a:p>
        </xdr:txBody>
      </xdr:sp>
    </xdr:grpSp>
    <xdr:clientData/>
  </xdr:twoCellAnchor>
  <xdr:twoCellAnchor>
    <xdr:from>
      <xdr:col>8</xdr:col>
      <xdr:colOff>952500</xdr:colOff>
      <xdr:row>0</xdr:row>
      <xdr:rowOff>136071</xdr:rowOff>
    </xdr:from>
    <xdr:to>
      <xdr:col>11</xdr:col>
      <xdr:colOff>918803</xdr:colOff>
      <xdr:row>2</xdr:row>
      <xdr:rowOff>178813</xdr:rowOff>
    </xdr:to>
    <xdr:grpSp>
      <xdr:nvGrpSpPr>
        <xdr:cNvPr id="9" name="Group 8"/>
        <xdr:cNvGrpSpPr/>
      </xdr:nvGrpSpPr>
      <xdr:grpSpPr>
        <a:xfrm>
          <a:off x="14767112" y="136071"/>
          <a:ext cx="3193597" cy="670271"/>
          <a:chOff x="7608794" y="145676"/>
          <a:chExt cx="3047258" cy="652342"/>
        </a:xfrm>
      </xdr:grpSpPr>
      <xdr:sp macro="[0]!MarkConfidential" textlink="">
        <xdr:nvSpPr>
          <xdr:cNvPr id="10" name="Rounded Rectangle 9"/>
          <xdr:cNvSpPr/>
        </xdr:nvSpPr>
        <xdr:spPr>
          <a:xfrm>
            <a:off x="7608794" y="145676"/>
            <a:ext cx="3047258" cy="269785"/>
          </a:xfrm>
          <a:prstGeom prst="roundRect">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200" b="1">
                <a:solidFill>
                  <a:srgbClr val="FF0000"/>
                </a:solidFill>
                <a:latin typeface="Calibri" panose="020F0502020204030204" pitchFamily="34" charset="0"/>
                <a:cs typeface="Calibri" panose="020F0502020204030204" pitchFamily="34" charset="0"/>
              </a:rPr>
              <a:t>Mark selected</a:t>
            </a:r>
            <a:r>
              <a:rPr lang="en-AU" sz="1200" b="1" baseline="0">
                <a:solidFill>
                  <a:srgbClr val="FF0000"/>
                </a:solidFill>
                <a:latin typeface="Calibri" panose="020F0502020204030204" pitchFamily="34" charset="0"/>
                <a:cs typeface="Calibri" panose="020F0502020204030204" pitchFamily="34" charset="0"/>
              </a:rPr>
              <a:t> cells CONFIDENTIAL</a:t>
            </a:r>
            <a:endParaRPr lang="en-AU" sz="12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11" name="Rounded Rectangle 10"/>
          <xdr:cNvSpPr/>
        </xdr:nvSpPr>
        <xdr:spPr>
          <a:xfrm>
            <a:off x="7608794" y="517036"/>
            <a:ext cx="3036935" cy="280982"/>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200" b="1">
                <a:solidFill>
                  <a:schemeClr val="accent6">
                    <a:lumMod val="75000"/>
                  </a:schemeClr>
                </a:solidFill>
              </a:rPr>
              <a:t>Return</a:t>
            </a:r>
            <a:r>
              <a:rPr lang="en-AU" sz="1200" b="1" baseline="0">
                <a:solidFill>
                  <a:schemeClr val="accent6">
                    <a:lumMod val="75000"/>
                  </a:schemeClr>
                </a:solidFill>
              </a:rPr>
              <a:t> cells to NON-CONFIDENTIAL</a:t>
            </a:r>
            <a:endParaRPr lang="en-AU" sz="1200" b="1">
              <a:solidFill>
                <a:schemeClr val="accent6">
                  <a:lumMod val="75000"/>
                </a:schemeClr>
              </a:solidFill>
            </a:endParaRPr>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4</xdr:col>
      <xdr:colOff>2892368</xdr:colOff>
      <xdr:row>13</xdr:row>
      <xdr:rowOff>101546</xdr:rowOff>
    </xdr:from>
    <xdr:to>
      <xdr:col>4</xdr:col>
      <xdr:colOff>4142959</xdr:colOff>
      <xdr:row>13</xdr:row>
      <xdr:rowOff>280616</xdr:rowOff>
    </xdr:to>
    <xdr:sp macro="" textlink="">
      <xdr:nvSpPr>
        <xdr:cNvPr id="101379" name="Rectangle 22"/>
        <xdr:cNvSpPr>
          <a:spLocks noChangeArrowheads="1"/>
        </xdr:cNvSpPr>
      </xdr:nvSpPr>
      <xdr:spPr bwMode="auto">
        <a:xfrm>
          <a:off x="5509672" y="2694003"/>
          <a:ext cx="1250591" cy="179070"/>
        </a:xfrm>
        <a:prstGeom prst="rect">
          <a:avLst/>
        </a:prstGeom>
        <a:solidFill>
          <a:srgbClr val="FFFFCC"/>
        </a:solidFill>
        <a:ln w="9525" algn="ctr">
          <a:solidFill>
            <a:srgbClr val="000000"/>
          </a:solidFill>
          <a:miter lim="800000"/>
          <a:headEnd/>
          <a:tailEnd/>
        </a:ln>
      </xdr:spPr>
    </xdr:sp>
    <xdr:clientData/>
  </xdr:twoCellAnchor>
  <xdr:twoCellAnchor>
    <xdr:from>
      <xdr:col>1</xdr:col>
      <xdr:colOff>60814</xdr:colOff>
      <xdr:row>0</xdr:row>
      <xdr:rowOff>54219</xdr:rowOff>
    </xdr:from>
    <xdr:to>
      <xdr:col>2</xdr:col>
      <xdr:colOff>213214</xdr:colOff>
      <xdr:row>4</xdr:row>
      <xdr:rowOff>111650</xdr:rowOff>
    </xdr:to>
    <xdr:grpSp>
      <xdr:nvGrpSpPr>
        <xdr:cNvPr id="2" name="Group 1"/>
        <xdr:cNvGrpSpPr/>
      </xdr:nvGrpSpPr>
      <xdr:grpSpPr>
        <a:xfrm>
          <a:off x="540874" y="54219"/>
          <a:ext cx="762000" cy="727991"/>
          <a:chOff x="0" y="171450"/>
          <a:chExt cx="762000" cy="709527"/>
        </a:xfrm>
      </xdr:grpSpPr>
      <xdr:pic>
        <xdr:nvPicPr>
          <xdr:cNvPr id="101380" name="Picture 3" descr="item"/>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71450"/>
            <a:ext cx="762000"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0]!goToPage1" textlink="">
        <xdr:nvSpPr>
          <xdr:cNvPr id="9" name="AutoShape 4">
            <a:hlinkClick xmlns:r="http://schemas.openxmlformats.org/officeDocument/2006/relationships" r:id="rId2"/>
          </xdr:cNvPr>
          <xdr:cNvSpPr>
            <a:spLocks noChangeArrowheads="1"/>
          </xdr:cNvSpPr>
        </xdr:nvSpPr>
        <xdr:spPr bwMode="auto">
          <a:xfrm>
            <a:off x="19050" y="647700"/>
            <a:ext cx="736671" cy="233277"/>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0" i="0" u="none" strike="noStrike" baseline="0">
                <a:solidFill>
                  <a:srgbClr val="000080"/>
                </a:solidFill>
                <a:latin typeface="Arial Black"/>
              </a:rPr>
              <a:t>Contents</a:t>
            </a:r>
          </a:p>
        </xdr:txBody>
      </xdr:sp>
    </xdr:grpSp>
    <xdr:clientData/>
  </xdr:twoCellAnchor>
</xdr:wsDr>
</file>

<file path=xl/drawings/drawing30.xml><?xml version="1.0" encoding="utf-8"?>
<xdr:wsDr xmlns:xdr="http://schemas.openxmlformats.org/drawingml/2006/spreadsheetDrawing" xmlns:a="http://schemas.openxmlformats.org/drawingml/2006/main">
  <xdr:twoCellAnchor>
    <xdr:from>
      <xdr:col>0</xdr:col>
      <xdr:colOff>112058</xdr:colOff>
      <xdr:row>0</xdr:row>
      <xdr:rowOff>123264</xdr:rowOff>
    </xdr:from>
    <xdr:to>
      <xdr:col>0</xdr:col>
      <xdr:colOff>806262</xdr:colOff>
      <xdr:row>3</xdr:row>
      <xdr:rowOff>140073</xdr:rowOff>
    </xdr:to>
    <xdr:grpSp>
      <xdr:nvGrpSpPr>
        <xdr:cNvPr id="2" name="Group 1"/>
        <xdr:cNvGrpSpPr/>
      </xdr:nvGrpSpPr>
      <xdr:grpSpPr>
        <a:xfrm>
          <a:off x="112058" y="123264"/>
          <a:ext cx="694204" cy="959784"/>
          <a:chOff x="0" y="1560739"/>
          <a:chExt cx="762000" cy="931132"/>
        </a:xfrm>
      </xdr:grpSpPr>
      <xdr:pic>
        <xdr:nvPicPr>
          <xdr:cNvPr id="3" name="Picture 3" descr="item"/>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60739"/>
            <a:ext cx="762000" cy="4898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4" name="AutoShape 4">
            <a:hlinkClick xmlns:r="http://schemas.openxmlformats.org/officeDocument/2006/relationships" r:id="rId2"/>
          </xdr:cNvPr>
          <xdr:cNvSpPr>
            <a:spLocks noChangeArrowheads="1"/>
          </xdr:cNvSpPr>
        </xdr:nvSpPr>
        <xdr:spPr bwMode="auto">
          <a:xfrm>
            <a:off x="19050" y="2039711"/>
            <a:ext cx="736671" cy="234132"/>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0" i="0" u="none" strike="noStrike" baseline="0">
                <a:solidFill>
                  <a:srgbClr val="000080"/>
                </a:solidFill>
                <a:latin typeface="Arial Black"/>
              </a:rPr>
              <a:t>Contents</a:t>
            </a:r>
          </a:p>
        </xdr:txBody>
      </xdr:sp>
      <xdr:sp macro="" textlink="">
        <xdr:nvSpPr>
          <xdr:cNvPr id="5" name="AutoShape 5">
            <a:hlinkClick xmlns:r="http://schemas.openxmlformats.org/officeDocument/2006/relationships" r:id="rId3"/>
          </xdr:cNvPr>
          <xdr:cNvSpPr>
            <a:spLocks noChangeArrowheads="1"/>
          </xdr:cNvSpPr>
        </xdr:nvSpPr>
        <xdr:spPr bwMode="auto">
          <a:xfrm>
            <a:off x="19050" y="2261507"/>
            <a:ext cx="736671" cy="23036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650" b="0" i="0" u="none" strike="noStrike" baseline="0">
                <a:solidFill>
                  <a:srgbClr val="000080"/>
                </a:solidFill>
                <a:latin typeface="Arial Black"/>
              </a:rPr>
              <a:t>Instructions</a:t>
            </a:r>
          </a:p>
        </xdr:txBody>
      </xdr:sp>
    </xdr:grpSp>
    <xdr:clientData/>
  </xdr:twoCellAnchor>
  <xdr:twoCellAnchor>
    <xdr:from>
      <xdr:col>8</xdr:col>
      <xdr:colOff>952500</xdr:colOff>
      <xdr:row>0</xdr:row>
      <xdr:rowOff>136071</xdr:rowOff>
    </xdr:from>
    <xdr:to>
      <xdr:col>11</xdr:col>
      <xdr:colOff>918803</xdr:colOff>
      <xdr:row>2</xdr:row>
      <xdr:rowOff>178813</xdr:rowOff>
    </xdr:to>
    <xdr:grpSp>
      <xdr:nvGrpSpPr>
        <xdr:cNvPr id="6" name="Group 5"/>
        <xdr:cNvGrpSpPr/>
      </xdr:nvGrpSpPr>
      <xdr:grpSpPr>
        <a:xfrm>
          <a:off x="14763750" y="136071"/>
          <a:ext cx="3195278" cy="671392"/>
          <a:chOff x="7608794" y="145676"/>
          <a:chExt cx="3047258" cy="652342"/>
        </a:xfrm>
      </xdr:grpSpPr>
      <xdr:sp macro="[0]!MarkConfidential" textlink="">
        <xdr:nvSpPr>
          <xdr:cNvPr id="7" name="Rounded Rectangle 6"/>
          <xdr:cNvSpPr/>
        </xdr:nvSpPr>
        <xdr:spPr>
          <a:xfrm>
            <a:off x="7608794" y="145676"/>
            <a:ext cx="3047258" cy="269785"/>
          </a:xfrm>
          <a:prstGeom prst="roundRect">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200" b="1">
                <a:solidFill>
                  <a:srgbClr val="FF0000"/>
                </a:solidFill>
                <a:latin typeface="Calibri" panose="020F0502020204030204" pitchFamily="34" charset="0"/>
                <a:cs typeface="Calibri" panose="020F0502020204030204" pitchFamily="34" charset="0"/>
              </a:rPr>
              <a:t>Mark selected</a:t>
            </a:r>
            <a:r>
              <a:rPr lang="en-AU" sz="1200" b="1" baseline="0">
                <a:solidFill>
                  <a:srgbClr val="FF0000"/>
                </a:solidFill>
                <a:latin typeface="Calibri" panose="020F0502020204030204" pitchFamily="34" charset="0"/>
                <a:cs typeface="Calibri" panose="020F0502020204030204" pitchFamily="34" charset="0"/>
              </a:rPr>
              <a:t> cells CONFIDENTIAL</a:t>
            </a:r>
            <a:endParaRPr lang="en-AU" sz="12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8" name="Rounded Rectangle 7"/>
          <xdr:cNvSpPr/>
        </xdr:nvSpPr>
        <xdr:spPr>
          <a:xfrm>
            <a:off x="7608794" y="517036"/>
            <a:ext cx="3036935" cy="280982"/>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200" b="1">
                <a:solidFill>
                  <a:schemeClr val="accent6">
                    <a:lumMod val="75000"/>
                  </a:schemeClr>
                </a:solidFill>
              </a:rPr>
              <a:t>Return</a:t>
            </a:r>
            <a:r>
              <a:rPr lang="en-AU" sz="1200" b="1" baseline="0">
                <a:solidFill>
                  <a:schemeClr val="accent6">
                    <a:lumMod val="75000"/>
                  </a:schemeClr>
                </a:solidFill>
              </a:rPr>
              <a:t> cells to NON-CONFIDENTIAL</a:t>
            </a:r>
            <a:endParaRPr lang="en-AU" sz="1200" b="1">
              <a:solidFill>
                <a:schemeClr val="accent6">
                  <a:lumMod val="75000"/>
                </a:schemeClr>
              </a:solidFill>
            </a:endParaRPr>
          </a:p>
        </xdr:txBody>
      </xdr:sp>
    </xdr:grpSp>
    <xdr:clientData/>
  </xdr:twoCellAnchor>
</xdr:wsDr>
</file>

<file path=xl/drawings/drawing31.xml><?xml version="1.0" encoding="utf-8"?>
<xdr:wsDr xmlns:xdr="http://schemas.openxmlformats.org/drawingml/2006/spreadsheetDrawing" xmlns:a="http://schemas.openxmlformats.org/drawingml/2006/main">
  <xdr:twoCellAnchor>
    <xdr:from>
      <xdr:col>0</xdr:col>
      <xdr:colOff>112058</xdr:colOff>
      <xdr:row>0</xdr:row>
      <xdr:rowOff>123264</xdr:rowOff>
    </xdr:from>
    <xdr:to>
      <xdr:col>0</xdr:col>
      <xdr:colOff>606237</xdr:colOff>
      <xdr:row>3</xdr:row>
      <xdr:rowOff>140073</xdr:rowOff>
    </xdr:to>
    <xdr:grpSp>
      <xdr:nvGrpSpPr>
        <xdr:cNvPr id="2" name="Group 1"/>
        <xdr:cNvGrpSpPr/>
      </xdr:nvGrpSpPr>
      <xdr:grpSpPr>
        <a:xfrm>
          <a:off x="112058" y="123264"/>
          <a:ext cx="494179" cy="963866"/>
          <a:chOff x="0" y="1560739"/>
          <a:chExt cx="762000" cy="931132"/>
        </a:xfrm>
      </xdr:grpSpPr>
      <xdr:pic>
        <xdr:nvPicPr>
          <xdr:cNvPr id="3" name="Picture 3" descr="item"/>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60739"/>
            <a:ext cx="762000" cy="4898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4" name="AutoShape 4">
            <a:hlinkClick xmlns:r="http://schemas.openxmlformats.org/officeDocument/2006/relationships" r:id="rId2"/>
          </xdr:cNvPr>
          <xdr:cNvSpPr>
            <a:spLocks noChangeArrowheads="1"/>
          </xdr:cNvSpPr>
        </xdr:nvSpPr>
        <xdr:spPr bwMode="auto">
          <a:xfrm>
            <a:off x="19050" y="2039711"/>
            <a:ext cx="736671" cy="234132"/>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0" i="0" u="none" strike="noStrike" baseline="0">
                <a:solidFill>
                  <a:srgbClr val="000080"/>
                </a:solidFill>
                <a:latin typeface="Arial Black"/>
              </a:rPr>
              <a:t>Contents</a:t>
            </a:r>
          </a:p>
        </xdr:txBody>
      </xdr:sp>
      <xdr:sp macro="" textlink="">
        <xdr:nvSpPr>
          <xdr:cNvPr id="5" name="AutoShape 5">
            <a:hlinkClick xmlns:r="http://schemas.openxmlformats.org/officeDocument/2006/relationships" r:id="rId3"/>
          </xdr:cNvPr>
          <xdr:cNvSpPr>
            <a:spLocks noChangeArrowheads="1"/>
          </xdr:cNvSpPr>
        </xdr:nvSpPr>
        <xdr:spPr bwMode="auto">
          <a:xfrm>
            <a:off x="19050" y="2261507"/>
            <a:ext cx="736671" cy="23036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650" b="0" i="0" u="none" strike="noStrike" baseline="0">
                <a:solidFill>
                  <a:srgbClr val="000080"/>
                </a:solidFill>
                <a:latin typeface="Arial Black"/>
              </a:rPr>
              <a:t>Instructions</a:t>
            </a:r>
          </a:p>
        </xdr:txBody>
      </xdr:sp>
    </xdr:grpSp>
    <xdr:clientData/>
  </xdr:twoCellAnchor>
  <xdr:twoCellAnchor>
    <xdr:from>
      <xdr:col>9</xdr:col>
      <xdr:colOff>0</xdr:colOff>
      <xdr:row>0</xdr:row>
      <xdr:rowOff>136071</xdr:rowOff>
    </xdr:from>
    <xdr:to>
      <xdr:col>12</xdr:col>
      <xdr:colOff>4403</xdr:colOff>
      <xdr:row>2</xdr:row>
      <xdr:rowOff>159763</xdr:rowOff>
    </xdr:to>
    <xdr:grpSp>
      <xdr:nvGrpSpPr>
        <xdr:cNvPr id="6" name="Group 5"/>
        <xdr:cNvGrpSpPr/>
      </xdr:nvGrpSpPr>
      <xdr:grpSpPr>
        <a:xfrm>
          <a:off x="14227629" y="136071"/>
          <a:ext cx="3237460" cy="655063"/>
          <a:chOff x="7608794" y="145676"/>
          <a:chExt cx="3047258" cy="652342"/>
        </a:xfrm>
      </xdr:grpSpPr>
      <xdr:sp macro="[0]!MarkConfidential" textlink="">
        <xdr:nvSpPr>
          <xdr:cNvPr id="7" name="Rounded Rectangle 6"/>
          <xdr:cNvSpPr/>
        </xdr:nvSpPr>
        <xdr:spPr>
          <a:xfrm>
            <a:off x="7608794" y="145676"/>
            <a:ext cx="3047258" cy="269785"/>
          </a:xfrm>
          <a:prstGeom prst="roundRect">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200" b="1">
                <a:solidFill>
                  <a:srgbClr val="FF0000"/>
                </a:solidFill>
                <a:latin typeface="Calibri" panose="020F0502020204030204" pitchFamily="34" charset="0"/>
                <a:cs typeface="Calibri" panose="020F0502020204030204" pitchFamily="34" charset="0"/>
              </a:rPr>
              <a:t>Mark selected</a:t>
            </a:r>
            <a:r>
              <a:rPr lang="en-AU" sz="1200" b="1" baseline="0">
                <a:solidFill>
                  <a:srgbClr val="FF0000"/>
                </a:solidFill>
                <a:latin typeface="Calibri" panose="020F0502020204030204" pitchFamily="34" charset="0"/>
                <a:cs typeface="Calibri" panose="020F0502020204030204" pitchFamily="34" charset="0"/>
              </a:rPr>
              <a:t> cells CONFIDENTIAL</a:t>
            </a:r>
            <a:endParaRPr lang="en-AU" sz="12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8" name="Rounded Rectangle 7"/>
          <xdr:cNvSpPr/>
        </xdr:nvSpPr>
        <xdr:spPr>
          <a:xfrm>
            <a:off x="7608794" y="517036"/>
            <a:ext cx="3036935" cy="280982"/>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200" b="1">
                <a:solidFill>
                  <a:schemeClr val="accent6">
                    <a:lumMod val="75000"/>
                  </a:schemeClr>
                </a:solidFill>
              </a:rPr>
              <a:t>Return</a:t>
            </a:r>
            <a:r>
              <a:rPr lang="en-AU" sz="1200" b="1" baseline="0">
                <a:solidFill>
                  <a:schemeClr val="accent6">
                    <a:lumMod val="75000"/>
                  </a:schemeClr>
                </a:solidFill>
              </a:rPr>
              <a:t> cells to NON-CONFIDENTIAL</a:t>
            </a:r>
            <a:endParaRPr lang="en-AU" sz="1200" b="1">
              <a:solidFill>
                <a:schemeClr val="accent6">
                  <a:lumMod val="75000"/>
                </a:schemeClr>
              </a:solidFill>
            </a:endParaRPr>
          </a:p>
        </xdr:txBody>
      </xdr:sp>
    </xdr:grpSp>
    <xdr:clientData/>
  </xdr:twoCellAnchor>
</xdr:wsDr>
</file>

<file path=xl/drawings/drawing32.xml><?xml version="1.0" encoding="utf-8"?>
<xdr:wsDr xmlns:xdr="http://schemas.openxmlformats.org/drawingml/2006/spreadsheetDrawing" xmlns:a="http://schemas.openxmlformats.org/drawingml/2006/main">
  <xdr:twoCellAnchor>
    <xdr:from>
      <xdr:col>0</xdr:col>
      <xdr:colOff>112058</xdr:colOff>
      <xdr:row>0</xdr:row>
      <xdr:rowOff>123264</xdr:rowOff>
    </xdr:from>
    <xdr:to>
      <xdr:col>0</xdr:col>
      <xdr:colOff>606237</xdr:colOff>
      <xdr:row>3</xdr:row>
      <xdr:rowOff>140073</xdr:rowOff>
    </xdr:to>
    <xdr:grpSp>
      <xdr:nvGrpSpPr>
        <xdr:cNvPr id="2" name="Group 1"/>
        <xdr:cNvGrpSpPr/>
      </xdr:nvGrpSpPr>
      <xdr:grpSpPr>
        <a:xfrm>
          <a:off x="112058" y="123264"/>
          <a:ext cx="494179" cy="969309"/>
          <a:chOff x="0" y="1560739"/>
          <a:chExt cx="762000" cy="931132"/>
        </a:xfrm>
      </xdr:grpSpPr>
      <xdr:pic>
        <xdr:nvPicPr>
          <xdr:cNvPr id="3" name="Picture 3" descr="item"/>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60739"/>
            <a:ext cx="762000" cy="4898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4" name="AutoShape 4">
            <a:hlinkClick xmlns:r="http://schemas.openxmlformats.org/officeDocument/2006/relationships" r:id="rId2"/>
          </xdr:cNvPr>
          <xdr:cNvSpPr>
            <a:spLocks noChangeArrowheads="1"/>
          </xdr:cNvSpPr>
        </xdr:nvSpPr>
        <xdr:spPr bwMode="auto">
          <a:xfrm>
            <a:off x="19050" y="2039711"/>
            <a:ext cx="736671" cy="234132"/>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0" i="0" u="none" strike="noStrike" baseline="0">
                <a:solidFill>
                  <a:srgbClr val="000080"/>
                </a:solidFill>
                <a:latin typeface="Arial Black"/>
              </a:rPr>
              <a:t>Contents</a:t>
            </a:r>
          </a:p>
        </xdr:txBody>
      </xdr:sp>
      <xdr:sp macro="" textlink="">
        <xdr:nvSpPr>
          <xdr:cNvPr id="5" name="AutoShape 5">
            <a:hlinkClick xmlns:r="http://schemas.openxmlformats.org/officeDocument/2006/relationships" r:id="rId3"/>
          </xdr:cNvPr>
          <xdr:cNvSpPr>
            <a:spLocks noChangeArrowheads="1"/>
          </xdr:cNvSpPr>
        </xdr:nvSpPr>
        <xdr:spPr bwMode="auto">
          <a:xfrm>
            <a:off x="19050" y="2261507"/>
            <a:ext cx="736671" cy="23036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650" b="0" i="0" u="none" strike="noStrike" baseline="0">
                <a:solidFill>
                  <a:srgbClr val="000080"/>
                </a:solidFill>
                <a:latin typeface="Arial Black"/>
              </a:rPr>
              <a:t>Instructions</a:t>
            </a:r>
          </a:p>
        </xdr:txBody>
      </xdr:sp>
    </xdr:grpSp>
    <xdr:clientData/>
  </xdr:twoCellAnchor>
  <xdr:twoCellAnchor>
    <xdr:from>
      <xdr:col>9</xdr:col>
      <xdr:colOff>0</xdr:colOff>
      <xdr:row>0</xdr:row>
      <xdr:rowOff>136071</xdr:rowOff>
    </xdr:from>
    <xdr:to>
      <xdr:col>12</xdr:col>
      <xdr:colOff>4403</xdr:colOff>
      <xdr:row>2</xdr:row>
      <xdr:rowOff>159763</xdr:rowOff>
    </xdr:to>
    <xdr:grpSp>
      <xdr:nvGrpSpPr>
        <xdr:cNvPr id="6" name="Group 5"/>
        <xdr:cNvGrpSpPr/>
      </xdr:nvGrpSpPr>
      <xdr:grpSpPr>
        <a:xfrm>
          <a:off x="14897100" y="136071"/>
          <a:ext cx="3242903" cy="658692"/>
          <a:chOff x="7608794" y="145676"/>
          <a:chExt cx="3047258" cy="652342"/>
        </a:xfrm>
      </xdr:grpSpPr>
      <xdr:sp macro="[0]!MarkConfidential" textlink="">
        <xdr:nvSpPr>
          <xdr:cNvPr id="7" name="Rounded Rectangle 6"/>
          <xdr:cNvSpPr/>
        </xdr:nvSpPr>
        <xdr:spPr>
          <a:xfrm>
            <a:off x="7608794" y="145676"/>
            <a:ext cx="3047258" cy="269785"/>
          </a:xfrm>
          <a:prstGeom prst="roundRect">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200" b="1">
                <a:solidFill>
                  <a:srgbClr val="FF0000"/>
                </a:solidFill>
                <a:latin typeface="Calibri" panose="020F0502020204030204" pitchFamily="34" charset="0"/>
                <a:cs typeface="Calibri" panose="020F0502020204030204" pitchFamily="34" charset="0"/>
              </a:rPr>
              <a:t>Mark selected</a:t>
            </a:r>
            <a:r>
              <a:rPr lang="en-AU" sz="1200" b="1" baseline="0">
                <a:solidFill>
                  <a:srgbClr val="FF0000"/>
                </a:solidFill>
                <a:latin typeface="Calibri" panose="020F0502020204030204" pitchFamily="34" charset="0"/>
                <a:cs typeface="Calibri" panose="020F0502020204030204" pitchFamily="34" charset="0"/>
              </a:rPr>
              <a:t> cells CONFIDENTIAL</a:t>
            </a:r>
            <a:endParaRPr lang="en-AU" sz="12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8" name="Rounded Rectangle 7"/>
          <xdr:cNvSpPr/>
        </xdr:nvSpPr>
        <xdr:spPr>
          <a:xfrm>
            <a:off x="7608794" y="517036"/>
            <a:ext cx="3036935" cy="280982"/>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200" b="1">
                <a:solidFill>
                  <a:schemeClr val="accent6">
                    <a:lumMod val="75000"/>
                  </a:schemeClr>
                </a:solidFill>
              </a:rPr>
              <a:t>Return</a:t>
            </a:r>
            <a:r>
              <a:rPr lang="en-AU" sz="1200" b="1" baseline="0">
                <a:solidFill>
                  <a:schemeClr val="accent6">
                    <a:lumMod val="75000"/>
                  </a:schemeClr>
                </a:solidFill>
              </a:rPr>
              <a:t> cells to NON-CONFIDENTIAL</a:t>
            </a:r>
            <a:endParaRPr lang="en-AU" sz="1200" b="1">
              <a:solidFill>
                <a:schemeClr val="accent6">
                  <a:lumMod val="75000"/>
                </a:schemeClr>
              </a:solidFill>
            </a:endParaRPr>
          </a:p>
        </xdr:txBody>
      </xdr:sp>
    </xdr:grpSp>
    <xdr:clientData/>
  </xdr:twoCellAnchor>
</xdr:wsDr>
</file>

<file path=xl/drawings/drawing33.xml><?xml version="1.0" encoding="utf-8"?>
<xdr:wsDr xmlns:xdr="http://schemas.openxmlformats.org/drawingml/2006/spreadsheetDrawing" xmlns:a="http://schemas.openxmlformats.org/drawingml/2006/main">
  <xdr:twoCellAnchor>
    <xdr:from>
      <xdr:col>0</xdr:col>
      <xdr:colOff>112058</xdr:colOff>
      <xdr:row>0</xdr:row>
      <xdr:rowOff>123264</xdr:rowOff>
    </xdr:from>
    <xdr:to>
      <xdr:col>0</xdr:col>
      <xdr:colOff>606237</xdr:colOff>
      <xdr:row>3</xdr:row>
      <xdr:rowOff>140073</xdr:rowOff>
    </xdr:to>
    <xdr:grpSp>
      <xdr:nvGrpSpPr>
        <xdr:cNvPr id="2" name="Group 1"/>
        <xdr:cNvGrpSpPr/>
      </xdr:nvGrpSpPr>
      <xdr:grpSpPr>
        <a:xfrm>
          <a:off x="112058" y="123264"/>
          <a:ext cx="494179" cy="945497"/>
          <a:chOff x="0" y="1560739"/>
          <a:chExt cx="762000" cy="931132"/>
        </a:xfrm>
      </xdr:grpSpPr>
      <xdr:pic>
        <xdr:nvPicPr>
          <xdr:cNvPr id="3" name="Picture 3" descr="item"/>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60739"/>
            <a:ext cx="762000" cy="4898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4" name="AutoShape 4">
            <a:hlinkClick xmlns:r="http://schemas.openxmlformats.org/officeDocument/2006/relationships" r:id="rId2"/>
          </xdr:cNvPr>
          <xdr:cNvSpPr>
            <a:spLocks noChangeArrowheads="1"/>
          </xdr:cNvSpPr>
        </xdr:nvSpPr>
        <xdr:spPr bwMode="auto">
          <a:xfrm>
            <a:off x="19050" y="2039711"/>
            <a:ext cx="736671" cy="234132"/>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0" i="0" u="none" strike="noStrike" baseline="0">
                <a:solidFill>
                  <a:srgbClr val="000080"/>
                </a:solidFill>
                <a:latin typeface="Arial Black"/>
              </a:rPr>
              <a:t>Contents</a:t>
            </a:r>
          </a:p>
        </xdr:txBody>
      </xdr:sp>
      <xdr:sp macro="" textlink="">
        <xdr:nvSpPr>
          <xdr:cNvPr id="5" name="AutoShape 5">
            <a:hlinkClick xmlns:r="http://schemas.openxmlformats.org/officeDocument/2006/relationships" r:id="rId3"/>
          </xdr:cNvPr>
          <xdr:cNvSpPr>
            <a:spLocks noChangeArrowheads="1"/>
          </xdr:cNvSpPr>
        </xdr:nvSpPr>
        <xdr:spPr bwMode="auto">
          <a:xfrm>
            <a:off x="19050" y="2261507"/>
            <a:ext cx="736671" cy="23036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650" b="0" i="0" u="none" strike="noStrike" baseline="0">
                <a:solidFill>
                  <a:srgbClr val="000080"/>
                </a:solidFill>
                <a:latin typeface="Arial Black"/>
              </a:rPr>
              <a:t>Instructions</a:t>
            </a:r>
          </a:p>
        </xdr:txBody>
      </xdr:sp>
    </xdr:grpSp>
    <xdr:clientData/>
  </xdr:twoCellAnchor>
  <xdr:twoCellAnchor>
    <xdr:from>
      <xdr:col>9</xdr:col>
      <xdr:colOff>0</xdr:colOff>
      <xdr:row>0</xdr:row>
      <xdr:rowOff>136071</xdr:rowOff>
    </xdr:from>
    <xdr:to>
      <xdr:col>12</xdr:col>
      <xdr:colOff>4403</xdr:colOff>
      <xdr:row>2</xdr:row>
      <xdr:rowOff>159763</xdr:rowOff>
    </xdr:to>
    <xdr:grpSp>
      <xdr:nvGrpSpPr>
        <xdr:cNvPr id="6" name="Group 5"/>
        <xdr:cNvGrpSpPr/>
      </xdr:nvGrpSpPr>
      <xdr:grpSpPr>
        <a:xfrm>
          <a:off x="14478000" y="136071"/>
          <a:ext cx="3147653" cy="642817"/>
          <a:chOff x="7608794" y="145676"/>
          <a:chExt cx="3047258" cy="652342"/>
        </a:xfrm>
      </xdr:grpSpPr>
      <xdr:sp macro="[0]!MarkConfidential" textlink="">
        <xdr:nvSpPr>
          <xdr:cNvPr id="7" name="Rounded Rectangle 6"/>
          <xdr:cNvSpPr/>
        </xdr:nvSpPr>
        <xdr:spPr>
          <a:xfrm>
            <a:off x="7608794" y="145676"/>
            <a:ext cx="3047258" cy="269785"/>
          </a:xfrm>
          <a:prstGeom prst="roundRect">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200" b="1">
                <a:solidFill>
                  <a:srgbClr val="FF0000"/>
                </a:solidFill>
                <a:latin typeface="Calibri" panose="020F0502020204030204" pitchFamily="34" charset="0"/>
                <a:cs typeface="Calibri" panose="020F0502020204030204" pitchFamily="34" charset="0"/>
              </a:rPr>
              <a:t>Mark selected</a:t>
            </a:r>
            <a:r>
              <a:rPr lang="en-AU" sz="1200" b="1" baseline="0">
                <a:solidFill>
                  <a:srgbClr val="FF0000"/>
                </a:solidFill>
                <a:latin typeface="Calibri" panose="020F0502020204030204" pitchFamily="34" charset="0"/>
                <a:cs typeface="Calibri" panose="020F0502020204030204" pitchFamily="34" charset="0"/>
              </a:rPr>
              <a:t> cells CONFIDENTIAL</a:t>
            </a:r>
            <a:endParaRPr lang="en-AU" sz="12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8" name="Rounded Rectangle 7"/>
          <xdr:cNvSpPr/>
        </xdr:nvSpPr>
        <xdr:spPr>
          <a:xfrm>
            <a:off x="7608794" y="517036"/>
            <a:ext cx="3036935" cy="280982"/>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200" b="1">
                <a:solidFill>
                  <a:schemeClr val="accent6">
                    <a:lumMod val="75000"/>
                  </a:schemeClr>
                </a:solidFill>
              </a:rPr>
              <a:t>Return</a:t>
            </a:r>
            <a:r>
              <a:rPr lang="en-AU" sz="1200" b="1" baseline="0">
                <a:solidFill>
                  <a:schemeClr val="accent6">
                    <a:lumMod val="75000"/>
                  </a:schemeClr>
                </a:solidFill>
              </a:rPr>
              <a:t> cells to NON-CONFIDENTIAL</a:t>
            </a:r>
            <a:endParaRPr lang="en-AU" sz="1200" b="1">
              <a:solidFill>
                <a:schemeClr val="accent6">
                  <a:lumMod val="75000"/>
                </a:schemeClr>
              </a:solidFill>
            </a:endParaRPr>
          </a:p>
        </xdr:txBody>
      </xdr:sp>
    </xdr:grpSp>
    <xdr:clientData/>
  </xdr:twoCellAnchor>
</xdr:wsDr>
</file>

<file path=xl/drawings/drawing34.xml><?xml version="1.0" encoding="utf-8"?>
<xdr:wsDr xmlns:xdr="http://schemas.openxmlformats.org/drawingml/2006/spreadsheetDrawing" xmlns:a="http://schemas.openxmlformats.org/drawingml/2006/main">
  <xdr:twoCellAnchor>
    <xdr:from>
      <xdr:col>0</xdr:col>
      <xdr:colOff>257734</xdr:colOff>
      <xdr:row>0</xdr:row>
      <xdr:rowOff>134470</xdr:rowOff>
    </xdr:from>
    <xdr:to>
      <xdr:col>0</xdr:col>
      <xdr:colOff>609038</xdr:colOff>
      <xdr:row>3</xdr:row>
      <xdr:rowOff>151279</xdr:rowOff>
    </xdr:to>
    <xdr:grpSp>
      <xdr:nvGrpSpPr>
        <xdr:cNvPr id="2" name="Group 1"/>
        <xdr:cNvGrpSpPr/>
      </xdr:nvGrpSpPr>
      <xdr:grpSpPr>
        <a:xfrm>
          <a:off x="257734" y="134470"/>
          <a:ext cx="351304" cy="963866"/>
          <a:chOff x="0" y="1560739"/>
          <a:chExt cx="762000" cy="931132"/>
        </a:xfrm>
      </xdr:grpSpPr>
      <xdr:pic>
        <xdr:nvPicPr>
          <xdr:cNvPr id="3" name="Picture 3" descr="item"/>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60739"/>
            <a:ext cx="762000" cy="4898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4" name="AutoShape 4">
            <a:hlinkClick xmlns:r="http://schemas.openxmlformats.org/officeDocument/2006/relationships" r:id="rId2"/>
          </xdr:cNvPr>
          <xdr:cNvSpPr>
            <a:spLocks noChangeArrowheads="1"/>
          </xdr:cNvSpPr>
        </xdr:nvSpPr>
        <xdr:spPr bwMode="auto">
          <a:xfrm>
            <a:off x="19050" y="2039711"/>
            <a:ext cx="736671" cy="234132"/>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0" i="0" u="none" strike="noStrike" baseline="0">
                <a:solidFill>
                  <a:srgbClr val="000080"/>
                </a:solidFill>
                <a:latin typeface="Arial Black"/>
              </a:rPr>
              <a:t>Contents</a:t>
            </a:r>
          </a:p>
        </xdr:txBody>
      </xdr:sp>
      <xdr:sp macro="" textlink="">
        <xdr:nvSpPr>
          <xdr:cNvPr id="5" name="AutoShape 5">
            <a:hlinkClick xmlns:r="http://schemas.openxmlformats.org/officeDocument/2006/relationships" r:id="rId3"/>
          </xdr:cNvPr>
          <xdr:cNvSpPr>
            <a:spLocks noChangeArrowheads="1"/>
          </xdr:cNvSpPr>
        </xdr:nvSpPr>
        <xdr:spPr bwMode="auto">
          <a:xfrm>
            <a:off x="19050" y="2261507"/>
            <a:ext cx="736671" cy="23036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650" b="0" i="0" u="none" strike="noStrike" baseline="0">
                <a:solidFill>
                  <a:srgbClr val="000080"/>
                </a:solidFill>
                <a:latin typeface="Arial Black"/>
              </a:rPr>
              <a:t>Instructions</a:t>
            </a:r>
          </a:p>
        </xdr:txBody>
      </xdr:sp>
    </xdr:grpSp>
    <xdr:clientData/>
  </xdr:twoCellAnchor>
  <xdr:twoCellAnchor>
    <xdr:from>
      <xdr:col>8</xdr:col>
      <xdr:colOff>2722</xdr:colOff>
      <xdr:row>1</xdr:row>
      <xdr:rowOff>1360</xdr:rowOff>
    </xdr:from>
    <xdr:to>
      <xdr:col>10</xdr:col>
      <xdr:colOff>607200</xdr:colOff>
      <xdr:row>2</xdr:row>
      <xdr:rowOff>158402</xdr:rowOff>
    </xdr:to>
    <xdr:grpSp>
      <xdr:nvGrpSpPr>
        <xdr:cNvPr id="6" name="Group 5"/>
        <xdr:cNvGrpSpPr/>
      </xdr:nvGrpSpPr>
      <xdr:grpSpPr>
        <a:xfrm>
          <a:off x="13098236" y="317046"/>
          <a:ext cx="2759850" cy="472727"/>
          <a:chOff x="7608794" y="145676"/>
          <a:chExt cx="3047258" cy="652342"/>
        </a:xfrm>
      </xdr:grpSpPr>
      <xdr:sp macro="[0]!MarkConfidential" textlink="">
        <xdr:nvSpPr>
          <xdr:cNvPr id="7" name="Rounded Rectangle 6"/>
          <xdr:cNvSpPr/>
        </xdr:nvSpPr>
        <xdr:spPr>
          <a:xfrm>
            <a:off x="7608794" y="145676"/>
            <a:ext cx="3047258" cy="269785"/>
          </a:xfrm>
          <a:prstGeom prst="roundRect">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200" b="1">
                <a:solidFill>
                  <a:srgbClr val="FF0000"/>
                </a:solidFill>
                <a:latin typeface="Calibri" panose="020F0502020204030204" pitchFamily="34" charset="0"/>
                <a:cs typeface="Calibri" panose="020F0502020204030204" pitchFamily="34" charset="0"/>
              </a:rPr>
              <a:t>Mark selected</a:t>
            </a:r>
            <a:r>
              <a:rPr lang="en-AU" sz="1200" b="1" baseline="0">
                <a:solidFill>
                  <a:srgbClr val="FF0000"/>
                </a:solidFill>
                <a:latin typeface="Calibri" panose="020F0502020204030204" pitchFamily="34" charset="0"/>
                <a:cs typeface="Calibri" panose="020F0502020204030204" pitchFamily="34" charset="0"/>
              </a:rPr>
              <a:t> cells CONFIDENTIAL</a:t>
            </a:r>
            <a:endParaRPr lang="en-AU" sz="12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8" name="Rounded Rectangle 7"/>
          <xdr:cNvSpPr/>
        </xdr:nvSpPr>
        <xdr:spPr>
          <a:xfrm>
            <a:off x="7608794" y="517036"/>
            <a:ext cx="3036935" cy="280982"/>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200" b="1">
                <a:solidFill>
                  <a:schemeClr val="accent6">
                    <a:lumMod val="75000"/>
                  </a:schemeClr>
                </a:solidFill>
              </a:rPr>
              <a:t>Return</a:t>
            </a:r>
            <a:r>
              <a:rPr lang="en-AU" sz="1200" b="1" baseline="0">
                <a:solidFill>
                  <a:schemeClr val="accent6">
                    <a:lumMod val="75000"/>
                  </a:schemeClr>
                </a:solidFill>
              </a:rPr>
              <a:t> cells to NON-CONFIDENTIAL</a:t>
            </a:r>
            <a:endParaRPr lang="en-AU" sz="1200" b="1">
              <a:solidFill>
                <a:schemeClr val="accent6">
                  <a:lumMod val="75000"/>
                </a:schemeClr>
              </a:solidFill>
            </a:endParaRPr>
          </a:p>
        </xdr:txBody>
      </xdr:sp>
    </xdr:grpSp>
    <xdr:clientData/>
  </xdr:twoCellAnchor>
</xdr:wsDr>
</file>

<file path=xl/drawings/drawing35.xml><?xml version="1.0" encoding="utf-8"?>
<xdr:wsDr xmlns:xdr="http://schemas.openxmlformats.org/drawingml/2006/spreadsheetDrawing" xmlns:a="http://schemas.openxmlformats.org/drawingml/2006/main">
  <xdr:twoCellAnchor>
    <xdr:from>
      <xdr:col>0</xdr:col>
      <xdr:colOff>257734</xdr:colOff>
      <xdr:row>0</xdr:row>
      <xdr:rowOff>134470</xdr:rowOff>
    </xdr:from>
    <xdr:to>
      <xdr:col>0</xdr:col>
      <xdr:colOff>951938</xdr:colOff>
      <xdr:row>3</xdr:row>
      <xdr:rowOff>151279</xdr:rowOff>
    </xdr:to>
    <xdr:grpSp>
      <xdr:nvGrpSpPr>
        <xdr:cNvPr id="2" name="Group 1"/>
        <xdr:cNvGrpSpPr/>
      </xdr:nvGrpSpPr>
      <xdr:grpSpPr>
        <a:xfrm>
          <a:off x="257734" y="134470"/>
          <a:ext cx="694204" cy="958103"/>
          <a:chOff x="0" y="1560739"/>
          <a:chExt cx="762000" cy="931132"/>
        </a:xfrm>
      </xdr:grpSpPr>
      <xdr:pic>
        <xdr:nvPicPr>
          <xdr:cNvPr id="3" name="Picture 3" descr="item"/>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60739"/>
            <a:ext cx="762000" cy="4898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4" name="AutoShape 4">
            <a:hlinkClick xmlns:r="http://schemas.openxmlformats.org/officeDocument/2006/relationships" r:id="rId2"/>
          </xdr:cNvPr>
          <xdr:cNvSpPr>
            <a:spLocks noChangeArrowheads="1"/>
          </xdr:cNvSpPr>
        </xdr:nvSpPr>
        <xdr:spPr bwMode="auto">
          <a:xfrm>
            <a:off x="19050" y="2039711"/>
            <a:ext cx="736671" cy="234132"/>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0" i="0" u="none" strike="noStrike" baseline="0">
                <a:solidFill>
                  <a:srgbClr val="000080"/>
                </a:solidFill>
                <a:latin typeface="Arial Black"/>
              </a:rPr>
              <a:t>Contents</a:t>
            </a:r>
          </a:p>
        </xdr:txBody>
      </xdr:sp>
      <xdr:sp macro="" textlink="">
        <xdr:nvSpPr>
          <xdr:cNvPr id="5" name="AutoShape 5">
            <a:hlinkClick xmlns:r="http://schemas.openxmlformats.org/officeDocument/2006/relationships" r:id="rId3"/>
          </xdr:cNvPr>
          <xdr:cNvSpPr>
            <a:spLocks noChangeArrowheads="1"/>
          </xdr:cNvSpPr>
        </xdr:nvSpPr>
        <xdr:spPr bwMode="auto">
          <a:xfrm>
            <a:off x="19050" y="2261507"/>
            <a:ext cx="736671" cy="23036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650" b="0" i="0" u="none" strike="noStrike" baseline="0">
                <a:solidFill>
                  <a:srgbClr val="000080"/>
                </a:solidFill>
                <a:latin typeface="Arial Black"/>
              </a:rPr>
              <a:t>Instructions</a:t>
            </a:r>
          </a:p>
        </xdr:txBody>
      </xdr:sp>
    </xdr:grpSp>
    <xdr:clientData/>
  </xdr:twoCellAnchor>
  <xdr:twoCellAnchor>
    <xdr:from>
      <xdr:col>7</xdr:col>
      <xdr:colOff>993322</xdr:colOff>
      <xdr:row>0</xdr:row>
      <xdr:rowOff>163285</xdr:rowOff>
    </xdr:from>
    <xdr:to>
      <xdr:col>10</xdr:col>
      <xdr:colOff>959625</xdr:colOff>
      <xdr:row>2</xdr:row>
      <xdr:rowOff>206027</xdr:rowOff>
    </xdr:to>
    <xdr:grpSp>
      <xdr:nvGrpSpPr>
        <xdr:cNvPr id="6" name="Group 5"/>
        <xdr:cNvGrpSpPr/>
      </xdr:nvGrpSpPr>
      <xdr:grpSpPr>
        <a:xfrm>
          <a:off x="12703469" y="163285"/>
          <a:ext cx="3126362" cy="670271"/>
          <a:chOff x="7608794" y="145676"/>
          <a:chExt cx="3047258" cy="652342"/>
        </a:xfrm>
      </xdr:grpSpPr>
      <xdr:sp macro="[0]!MarkConfidential" textlink="">
        <xdr:nvSpPr>
          <xdr:cNvPr id="7" name="Rounded Rectangle 6"/>
          <xdr:cNvSpPr/>
        </xdr:nvSpPr>
        <xdr:spPr>
          <a:xfrm>
            <a:off x="7608794" y="145676"/>
            <a:ext cx="3047258" cy="269785"/>
          </a:xfrm>
          <a:prstGeom prst="roundRect">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200" b="1">
                <a:solidFill>
                  <a:srgbClr val="FF0000"/>
                </a:solidFill>
                <a:latin typeface="Calibri" panose="020F0502020204030204" pitchFamily="34" charset="0"/>
                <a:cs typeface="Calibri" panose="020F0502020204030204" pitchFamily="34" charset="0"/>
              </a:rPr>
              <a:t>Mark selected</a:t>
            </a:r>
            <a:r>
              <a:rPr lang="en-AU" sz="1200" b="1" baseline="0">
                <a:solidFill>
                  <a:srgbClr val="FF0000"/>
                </a:solidFill>
                <a:latin typeface="Calibri" panose="020F0502020204030204" pitchFamily="34" charset="0"/>
                <a:cs typeface="Calibri" panose="020F0502020204030204" pitchFamily="34" charset="0"/>
              </a:rPr>
              <a:t> cells CONFIDENTIAL</a:t>
            </a:r>
            <a:endParaRPr lang="en-AU" sz="12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8" name="Rounded Rectangle 7"/>
          <xdr:cNvSpPr/>
        </xdr:nvSpPr>
        <xdr:spPr>
          <a:xfrm>
            <a:off x="7608794" y="517036"/>
            <a:ext cx="3036935" cy="280982"/>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200" b="1">
                <a:solidFill>
                  <a:schemeClr val="accent6">
                    <a:lumMod val="75000"/>
                  </a:schemeClr>
                </a:solidFill>
              </a:rPr>
              <a:t>Return</a:t>
            </a:r>
            <a:r>
              <a:rPr lang="en-AU" sz="1200" b="1" baseline="0">
                <a:solidFill>
                  <a:schemeClr val="accent6">
                    <a:lumMod val="75000"/>
                  </a:schemeClr>
                </a:solidFill>
              </a:rPr>
              <a:t> cells to NON-CONFIDENTIAL</a:t>
            </a:r>
            <a:endParaRPr lang="en-AU" sz="1200" b="1">
              <a:solidFill>
                <a:schemeClr val="accent6">
                  <a:lumMod val="75000"/>
                </a:schemeClr>
              </a:solidFill>
            </a:endParaRPr>
          </a:p>
        </xdr:txBody>
      </xdr:sp>
    </xdr:grpSp>
    <xdr:clientData/>
  </xdr:twoCellAnchor>
</xdr:wsDr>
</file>

<file path=xl/drawings/drawing36.xml><?xml version="1.0" encoding="utf-8"?>
<xdr:wsDr xmlns:xdr="http://schemas.openxmlformats.org/drawingml/2006/spreadsheetDrawing" xmlns:a="http://schemas.openxmlformats.org/drawingml/2006/main">
  <xdr:twoCellAnchor>
    <xdr:from>
      <xdr:col>0</xdr:col>
      <xdr:colOff>257734</xdr:colOff>
      <xdr:row>0</xdr:row>
      <xdr:rowOff>134470</xdr:rowOff>
    </xdr:from>
    <xdr:to>
      <xdr:col>0</xdr:col>
      <xdr:colOff>609038</xdr:colOff>
      <xdr:row>3</xdr:row>
      <xdr:rowOff>151279</xdr:rowOff>
    </xdr:to>
    <xdr:grpSp>
      <xdr:nvGrpSpPr>
        <xdr:cNvPr id="2" name="Group 1"/>
        <xdr:cNvGrpSpPr/>
      </xdr:nvGrpSpPr>
      <xdr:grpSpPr>
        <a:xfrm>
          <a:off x="257734" y="134470"/>
          <a:ext cx="351304" cy="969309"/>
          <a:chOff x="0" y="1560739"/>
          <a:chExt cx="762000" cy="931132"/>
        </a:xfrm>
      </xdr:grpSpPr>
      <xdr:pic>
        <xdr:nvPicPr>
          <xdr:cNvPr id="3" name="Picture 3" descr="item"/>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60739"/>
            <a:ext cx="762000" cy="4898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4" name="AutoShape 4">
            <a:hlinkClick xmlns:r="http://schemas.openxmlformats.org/officeDocument/2006/relationships" r:id="rId2"/>
          </xdr:cNvPr>
          <xdr:cNvSpPr>
            <a:spLocks noChangeArrowheads="1"/>
          </xdr:cNvSpPr>
        </xdr:nvSpPr>
        <xdr:spPr bwMode="auto">
          <a:xfrm>
            <a:off x="19050" y="2039711"/>
            <a:ext cx="736671" cy="234132"/>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0" i="0" u="none" strike="noStrike" baseline="0">
                <a:solidFill>
                  <a:srgbClr val="000080"/>
                </a:solidFill>
                <a:latin typeface="Arial Black"/>
              </a:rPr>
              <a:t>Contents</a:t>
            </a:r>
          </a:p>
        </xdr:txBody>
      </xdr:sp>
      <xdr:sp macro="" textlink="">
        <xdr:nvSpPr>
          <xdr:cNvPr id="5" name="AutoShape 5">
            <a:hlinkClick xmlns:r="http://schemas.openxmlformats.org/officeDocument/2006/relationships" r:id="rId3"/>
          </xdr:cNvPr>
          <xdr:cNvSpPr>
            <a:spLocks noChangeArrowheads="1"/>
          </xdr:cNvSpPr>
        </xdr:nvSpPr>
        <xdr:spPr bwMode="auto">
          <a:xfrm>
            <a:off x="19050" y="2261507"/>
            <a:ext cx="736671" cy="23036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650" b="0" i="0" u="none" strike="noStrike" baseline="0">
                <a:solidFill>
                  <a:srgbClr val="000080"/>
                </a:solidFill>
                <a:latin typeface="Arial Black"/>
              </a:rPr>
              <a:t>Instructions</a:t>
            </a:r>
          </a:p>
        </xdr:txBody>
      </xdr:sp>
    </xdr:grpSp>
    <xdr:clientData/>
  </xdr:twoCellAnchor>
  <xdr:twoCellAnchor>
    <xdr:from>
      <xdr:col>8</xdr:col>
      <xdr:colOff>2722</xdr:colOff>
      <xdr:row>1</xdr:row>
      <xdr:rowOff>1360</xdr:rowOff>
    </xdr:from>
    <xdr:to>
      <xdr:col>10</xdr:col>
      <xdr:colOff>607200</xdr:colOff>
      <xdr:row>2</xdr:row>
      <xdr:rowOff>158402</xdr:rowOff>
    </xdr:to>
    <xdr:grpSp>
      <xdr:nvGrpSpPr>
        <xdr:cNvPr id="6" name="Group 5"/>
        <xdr:cNvGrpSpPr/>
      </xdr:nvGrpSpPr>
      <xdr:grpSpPr>
        <a:xfrm>
          <a:off x="12734472" y="318860"/>
          <a:ext cx="2699978" cy="474542"/>
          <a:chOff x="7608794" y="145676"/>
          <a:chExt cx="3047258" cy="652342"/>
        </a:xfrm>
      </xdr:grpSpPr>
      <xdr:sp macro="[0]!MarkConfidential" textlink="">
        <xdr:nvSpPr>
          <xdr:cNvPr id="7" name="Rounded Rectangle 6"/>
          <xdr:cNvSpPr/>
        </xdr:nvSpPr>
        <xdr:spPr>
          <a:xfrm>
            <a:off x="7608794" y="145676"/>
            <a:ext cx="3047258" cy="269785"/>
          </a:xfrm>
          <a:prstGeom prst="roundRect">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200" b="1">
                <a:solidFill>
                  <a:srgbClr val="FF0000"/>
                </a:solidFill>
                <a:latin typeface="Calibri" panose="020F0502020204030204" pitchFamily="34" charset="0"/>
                <a:cs typeface="Calibri" panose="020F0502020204030204" pitchFamily="34" charset="0"/>
              </a:rPr>
              <a:t>Mark selected</a:t>
            </a:r>
            <a:r>
              <a:rPr lang="en-AU" sz="1200" b="1" baseline="0">
                <a:solidFill>
                  <a:srgbClr val="FF0000"/>
                </a:solidFill>
                <a:latin typeface="Calibri" panose="020F0502020204030204" pitchFamily="34" charset="0"/>
                <a:cs typeface="Calibri" panose="020F0502020204030204" pitchFamily="34" charset="0"/>
              </a:rPr>
              <a:t> cells CONFIDENTIAL</a:t>
            </a:r>
            <a:endParaRPr lang="en-AU" sz="12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8" name="Rounded Rectangle 7"/>
          <xdr:cNvSpPr/>
        </xdr:nvSpPr>
        <xdr:spPr>
          <a:xfrm>
            <a:off x="7608794" y="517036"/>
            <a:ext cx="3036935" cy="280982"/>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200" b="1">
                <a:solidFill>
                  <a:schemeClr val="accent6">
                    <a:lumMod val="75000"/>
                  </a:schemeClr>
                </a:solidFill>
              </a:rPr>
              <a:t>Return</a:t>
            </a:r>
            <a:r>
              <a:rPr lang="en-AU" sz="1200" b="1" baseline="0">
                <a:solidFill>
                  <a:schemeClr val="accent6">
                    <a:lumMod val="75000"/>
                  </a:schemeClr>
                </a:solidFill>
              </a:rPr>
              <a:t> cells to NON-CONFIDENTIAL</a:t>
            </a:r>
            <a:endParaRPr lang="en-AU" sz="1200" b="1">
              <a:solidFill>
                <a:schemeClr val="accent6">
                  <a:lumMod val="75000"/>
                </a:schemeClr>
              </a:solidFill>
            </a:endParaRPr>
          </a:p>
        </xdr:txBody>
      </xdr:sp>
    </xdr:grpSp>
    <xdr:clientData/>
  </xdr:twoCellAnchor>
</xdr:wsDr>
</file>

<file path=xl/drawings/drawing37.xml><?xml version="1.0" encoding="utf-8"?>
<xdr:wsDr xmlns:xdr="http://schemas.openxmlformats.org/drawingml/2006/spreadsheetDrawing" xmlns:a="http://schemas.openxmlformats.org/drawingml/2006/main">
  <xdr:twoCellAnchor>
    <xdr:from>
      <xdr:col>0</xdr:col>
      <xdr:colOff>257734</xdr:colOff>
      <xdr:row>0</xdr:row>
      <xdr:rowOff>134470</xdr:rowOff>
    </xdr:from>
    <xdr:to>
      <xdr:col>0</xdr:col>
      <xdr:colOff>609038</xdr:colOff>
      <xdr:row>3</xdr:row>
      <xdr:rowOff>151279</xdr:rowOff>
    </xdr:to>
    <xdr:grpSp>
      <xdr:nvGrpSpPr>
        <xdr:cNvPr id="2" name="Group 1"/>
        <xdr:cNvGrpSpPr/>
      </xdr:nvGrpSpPr>
      <xdr:grpSpPr>
        <a:xfrm>
          <a:off x="257734" y="134470"/>
          <a:ext cx="351304" cy="969309"/>
          <a:chOff x="0" y="1560739"/>
          <a:chExt cx="762000" cy="931132"/>
        </a:xfrm>
      </xdr:grpSpPr>
      <xdr:pic>
        <xdr:nvPicPr>
          <xdr:cNvPr id="3" name="Picture 3" descr="item"/>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60739"/>
            <a:ext cx="762000" cy="4898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4" name="AutoShape 4">
            <a:hlinkClick xmlns:r="http://schemas.openxmlformats.org/officeDocument/2006/relationships" r:id="rId2"/>
          </xdr:cNvPr>
          <xdr:cNvSpPr>
            <a:spLocks noChangeArrowheads="1"/>
          </xdr:cNvSpPr>
        </xdr:nvSpPr>
        <xdr:spPr bwMode="auto">
          <a:xfrm>
            <a:off x="19050" y="2039711"/>
            <a:ext cx="736671" cy="234132"/>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0" i="0" u="none" strike="noStrike" baseline="0">
                <a:solidFill>
                  <a:srgbClr val="000080"/>
                </a:solidFill>
                <a:latin typeface="Arial Black"/>
              </a:rPr>
              <a:t>Contents</a:t>
            </a:r>
          </a:p>
        </xdr:txBody>
      </xdr:sp>
      <xdr:sp macro="" textlink="">
        <xdr:nvSpPr>
          <xdr:cNvPr id="5" name="AutoShape 5">
            <a:hlinkClick xmlns:r="http://schemas.openxmlformats.org/officeDocument/2006/relationships" r:id="rId3"/>
          </xdr:cNvPr>
          <xdr:cNvSpPr>
            <a:spLocks noChangeArrowheads="1"/>
          </xdr:cNvSpPr>
        </xdr:nvSpPr>
        <xdr:spPr bwMode="auto">
          <a:xfrm>
            <a:off x="19050" y="2261507"/>
            <a:ext cx="736671" cy="23036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650" b="0" i="0" u="none" strike="noStrike" baseline="0">
                <a:solidFill>
                  <a:srgbClr val="000080"/>
                </a:solidFill>
                <a:latin typeface="Arial Black"/>
              </a:rPr>
              <a:t>Instructions</a:t>
            </a:r>
          </a:p>
        </xdr:txBody>
      </xdr:sp>
    </xdr:grpSp>
    <xdr:clientData/>
  </xdr:twoCellAnchor>
  <xdr:twoCellAnchor>
    <xdr:from>
      <xdr:col>8</xdr:col>
      <xdr:colOff>2722</xdr:colOff>
      <xdr:row>1</xdr:row>
      <xdr:rowOff>1360</xdr:rowOff>
    </xdr:from>
    <xdr:to>
      <xdr:col>10</xdr:col>
      <xdr:colOff>607200</xdr:colOff>
      <xdr:row>2</xdr:row>
      <xdr:rowOff>158402</xdr:rowOff>
    </xdr:to>
    <xdr:grpSp>
      <xdr:nvGrpSpPr>
        <xdr:cNvPr id="6" name="Group 5"/>
        <xdr:cNvGrpSpPr/>
      </xdr:nvGrpSpPr>
      <xdr:grpSpPr>
        <a:xfrm>
          <a:off x="12734472" y="318860"/>
          <a:ext cx="2699978" cy="474542"/>
          <a:chOff x="7608794" y="145676"/>
          <a:chExt cx="3047258" cy="652342"/>
        </a:xfrm>
      </xdr:grpSpPr>
      <xdr:sp macro="[0]!MarkConfidential" textlink="">
        <xdr:nvSpPr>
          <xdr:cNvPr id="7" name="Rounded Rectangle 6"/>
          <xdr:cNvSpPr/>
        </xdr:nvSpPr>
        <xdr:spPr>
          <a:xfrm>
            <a:off x="7608794" y="145676"/>
            <a:ext cx="3047258" cy="269785"/>
          </a:xfrm>
          <a:prstGeom prst="roundRect">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200" b="1">
                <a:solidFill>
                  <a:srgbClr val="FF0000"/>
                </a:solidFill>
                <a:latin typeface="Calibri" panose="020F0502020204030204" pitchFamily="34" charset="0"/>
                <a:cs typeface="Calibri" panose="020F0502020204030204" pitchFamily="34" charset="0"/>
              </a:rPr>
              <a:t>Mark selected</a:t>
            </a:r>
            <a:r>
              <a:rPr lang="en-AU" sz="1200" b="1" baseline="0">
                <a:solidFill>
                  <a:srgbClr val="FF0000"/>
                </a:solidFill>
                <a:latin typeface="Calibri" panose="020F0502020204030204" pitchFamily="34" charset="0"/>
                <a:cs typeface="Calibri" panose="020F0502020204030204" pitchFamily="34" charset="0"/>
              </a:rPr>
              <a:t> cells CONFIDENTIAL</a:t>
            </a:r>
            <a:endParaRPr lang="en-AU" sz="12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8" name="Rounded Rectangle 7"/>
          <xdr:cNvSpPr/>
        </xdr:nvSpPr>
        <xdr:spPr>
          <a:xfrm>
            <a:off x="7608794" y="517036"/>
            <a:ext cx="3036935" cy="280982"/>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200" b="1">
                <a:solidFill>
                  <a:schemeClr val="accent6">
                    <a:lumMod val="75000"/>
                  </a:schemeClr>
                </a:solidFill>
              </a:rPr>
              <a:t>Return</a:t>
            </a:r>
            <a:r>
              <a:rPr lang="en-AU" sz="1200" b="1" baseline="0">
                <a:solidFill>
                  <a:schemeClr val="accent6">
                    <a:lumMod val="75000"/>
                  </a:schemeClr>
                </a:solidFill>
              </a:rPr>
              <a:t> cells to NON-CONFIDENTIAL</a:t>
            </a:r>
            <a:endParaRPr lang="en-AU" sz="1200" b="1">
              <a:solidFill>
                <a:schemeClr val="accent6">
                  <a:lumMod val="75000"/>
                </a:schemeClr>
              </a:solidFill>
            </a:endParaRPr>
          </a:p>
        </xdr:txBody>
      </xdr:sp>
    </xdr:grpSp>
    <xdr:clientData/>
  </xdr:twoCellAnchor>
</xdr:wsDr>
</file>

<file path=xl/drawings/drawing38.xml><?xml version="1.0" encoding="utf-8"?>
<xdr:wsDr xmlns:xdr="http://schemas.openxmlformats.org/drawingml/2006/spreadsheetDrawing" xmlns:a="http://schemas.openxmlformats.org/drawingml/2006/main">
  <xdr:twoCellAnchor>
    <xdr:from>
      <xdr:col>0</xdr:col>
      <xdr:colOff>112058</xdr:colOff>
      <xdr:row>0</xdr:row>
      <xdr:rowOff>123264</xdr:rowOff>
    </xdr:from>
    <xdr:to>
      <xdr:col>0</xdr:col>
      <xdr:colOff>806262</xdr:colOff>
      <xdr:row>3</xdr:row>
      <xdr:rowOff>140073</xdr:rowOff>
    </xdr:to>
    <xdr:grpSp>
      <xdr:nvGrpSpPr>
        <xdr:cNvPr id="5" name="Group 4"/>
        <xdr:cNvGrpSpPr/>
      </xdr:nvGrpSpPr>
      <xdr:grpSpPr>
        <a:xfrm>
          <a:off x="112058" y="123264"/>
          <a:ext cx="694204" cy="955702"/>
          <a:chOff x="0" y="1560739"/>
          <a:chExt cx="762000" cy="931132"/>
        </a:xfrm>
      </xdr:grpSpPr>
      <xdr:pic>
        <xdr:nvPicPr>
          <xdr:cNvPr id="6" name="Picture 3" descr="item"/>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60739"/>
            <a:ext cx="762000" cy="4898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7" name="AutoShape 4">
            <a:hlinkClick xmlns:r="http://schemas.openxmlformats.org/officeDocument/2006/relationships" r:id="rId2"/>
          </xdr:cNvPr>
          <xdr:cNvSpPr>
            <a:spLocks noChangeArrowheads="1"/>
          </xdr:cNvSpPr>
        </xdr:nvSpPr>
        <xdr:spPr bwMode="auto">
          <a:xfrm>
            <a:off x="19050" y="2039711"/>
            <a:ext cx="736671" cy="234132"/>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0" i="0" u="none" strike="noStrike" baseline="0">
                <a:solidFill>
                  <a:srgbClr val="000080"/>
                </a:solidFill>
                <a:latin typeface="Arial Black"/>
              </a:rPr>
              <a:t>Contents</a:t>
            </a:r>
          </a:p>
        </xdr:txBody>
      </xdr:sp>
      <xdr:sp macro="" textlink="">
        <xdr:nvSpPr>
          <xdr:cNvPr id="8" name="AutoShape 5">
            <a:hlinkClick xmlns:r="http://schemas.openxmlformats.org/officeDocument/2006/relationships" r:id="rId3"/>
          </xdr:cNvPr>
          <xdr:cNvSpPr>
            <a:spLocks noChangeArrowheads="1"/>
          </xdr:cNvSpPr>
        </xdr:nvSpPr>
        <xdr:spPr bwMode="auto">
          <a:xfrm>
            <a:off x="19050" y="2261507"/>
            <a:ext cx="736671" cy="23036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650" b="0" i="0" u="none" strike="noStrike" baseline="0">
                <a:solidFill>
                  <a:srgbClr val="000080"/>
                </a:solidFill>
                <a:latin typeface="Arial Black"/>
              </a:rPr>
              <a:t>Instructions</a:t>
            </a:r>
          </a:p>
        </xdr:txBody>
      </xdr:sp>
    </xdr:grpSp>
    <xdr:clientData/>
  </xdr:twoCellAnchor>
  <xdr:twoCellAnchor>
    <xdr:from>
      <xdr:col>10</xdr:col>
      <xdr:colOff>353785</xdr:colOff>
      <xdr:row>0</xdr:row>
      <xdr:rowOff>136071</xdr:rowOff>
    </xdr:from>
    <xdr:to>
      <xdr:col>13</xdr:col>
      <xdr:colOff>524196</xdr:colOff>
      <xdr:row>2</xdr:row>
      <xdr:rowOff>178813</xdr:rowOff>
    </xdr:to>
    <xdr:grpSp>
      <xdr:nvGrpSpPr>
        <xdr:cNvPr id="9" name="Group 8"/>
        <xdr:cNvGrpSpPr/>
      </xdr:nvGrpSpPr>
      <xdr:grpSpPr>
        <a:xfrm>
          <a:off x="13552714" y="136071"/>
          <a:ext cx="3109553" cy="668671"/>
          <a:chOff x="7608794" y="145676"/>
          <a:chExt cx="3047258" cy="652342"/>
        </a:xfrm>
      </xdr:grpSpPr>
      <xdr:sp macro="[0]!MarkConfidential" textlink="">
        <xdr:nvSpPr>
          <xdr:cNvPr id="10" name="Rounded Rectangle 9"/>
          <xdr:cNvSpPr/>
        </xdr:nvSpPr>
        <xdr:spPr>
          <a:xfrm>
            <a:off x="7608794" y="145676"/>
            <a:ext cx="3047258" cy="269785"/>
          </a:xfrm>
          <a:prstGeom prst="roundRect">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200" b="1">
                <a:solidFill>
                  <a:srgbClr val="FF0000"/>
                </a:solidFill>
                <a:latin typeface="Calibri" panose="020F0502020204030204" pitchFamily="34" charset="0"/>
                <a:cs typeface="Calibri" panose="020F0502020204030204" pitchFamily="34" charset="0"/>
              </a:rPr>
              <a:t>Mark selected</a:t>
            </a:r>
            <a:r>
              <a:rPr lang="en-AU" sz="1200" b="1" baseline="0">
                <a:solidFill>
                  <a:srgbClr val="FF0000"/>
                </a:solidFill>
                <a:latin typeface="Calibri" panose="020F0502020204030204" pitchFamily="34" charset="0"/>
                <a:cs typeface="Calibri" panose="020F0502020204030204" pitchFamily="34" charset="0"/>
              </a:rPr>
              <a:t> cells CONFIDENTIAL</a:t>
            </a:r>
            <a:endParaRPr lang="en-AU" sz="12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11" name="Rounded Rectangle 10"/>
          <xdr:cNvSpPr/>
        </xdr:nvSpPr>
        <xdr:spPr>
          <a:xfrm>
            <a:off x="7608794" y="517036"/>
            <a:ext cx="3036935" cy="280982"/>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200" b="1">
                <a:solidFill>
                  <a:schemeClr val="accent6">
                    <a:lumMod val="75000"/>
                  </a:schemeClr>
                </a:solidFill>
              </a:rPr>
              <a:t>Return</a:t>
            </a:r>
            <a:r>
              <a:rPr lang="en-AU" sz="1200" b="1" baseline="0">
                <a:solidFill>
                  <a:schemeClr val="accent6">
                    <a:lumMod val="75000"/>
                  </a:schemeClr>
                </a:solidFill>
              </a:rPr>
              <a:t> cells to NON-CONFIDENTIAL</a:t>
            </a:r>
            <a:endParaRPr lang="en-AU" sz="1200" b="1">
              <a:solidFill>
                <a:schemeClr val="accent6">
                  <a:lumMod val="75000"/>
                </a:schemeClr>
              </a:solidFill>
            </a:endParaRPr>
          </a:p>
        </xdr:txBody>
      </xdr:sp>
    </xdr:grpSp>
    <xdr:clientData/>
  </xdr:twoCellAnchor>
</xdr:wsDr>
</file>

<file path=xl/drawings/drawing39.xml><?xml version="1.0" encoding="utf-8"?>
<xdr:wsDr xmlns:xdr="http://schemas.openxmlformats.org/drawingml/2006/spreadsheetDrawing" xmlns:a="http://schemas.openxmlformats.org/drawingml/2006/main">
  <xdr:twoCellAnchor>
    <xdr:from>
      <xdr:col>0</xdr:col>
      <xdr:colOff>112058</xdr:colOff>
      <xdr:row>0</xdr:row>
      <xdr:rowOff>123264</xdr:rowOff>
    </xdr:from>
    <xdr:to>
      <xdr:col>0</xdr:col>
      <xdr:colOff>806262</xdr:colOff>
      <xdr:row>3</xdr:row>
      <xdr:rowOff>140073</xdr:rowOff>
    </xdr:to>
    <xdr:grpSp>
      <xdr:nvGrpSpPr>
        <xdr:cNvPr id="5" name="Group 4"/>
        <xdr:cNvGrpSpPr/>
      </xdr:nvGrpSpPr>
      <xdr:grpSpPr>
        <a:xfrm>
          <a:off x="112058" y="123264"/>
          <a:ext cx="694204" cy="955702"/>
          <a:chOff x="0" y="1560739"/>
          <a:chExt cx="762000" cy="931132"/>
        </a:xfrm>
      </xdr:grpSpPr>
      <xdr:pic>
        <xdr:nvPicPr>
          <xdr:cNvPr id="6" name="Picture 3" descr="item"/>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60739"/>
            <a:ext cx="762000" cy="4898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7" name="AutoShape 4">
            <a:hlinkClick xmlns:r="http://schemas.openxmlformats.org/officeDocument/2006/relationships" r:id="rId2"/>
          </xdr:cNvPr>
          <xdr:cNvSpPr>
            <a:spLocks noChangeArrowheads="1"/>
          </xdr:cNvSpPr>
        </xdr:nvSpPr>
        <xdr:spPr bwMode="auto">
          <a:xfrm>
            <a:off x="19050" y="2039711"/>
            <a:ext cx="736671" cy="234132"/>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0" i="0" u="none" strike="noStrike" baseline="0">
                <a:solidFill>
                  <a:srgbClr val="000080"/>
                </a:solidFill>
                <a:latin typeface="Arial Black"/>
              </a:rPr>
              <a:t>Contents</a:t>
            </a:r>
          </a:p>
        </xdr:txBody>
      </xdr:sp>
      <xdr:sp macro="" textlink="">
        <xdr:nvSpPr>
          <xdr:cNvPr id="8" name="AutoShape 5">
            <a:hlinkClick xmlns:r="http://schemas.openxmlformats.org/officeDocument/2006/relationships" r:id="rId3"/>
          </xdr:cNvPr>
          <xdr:cNvSpPr>
            <a:spLocks noChangeArrowheads="1"/>
          </xdr:cNvSpPr>
        </xdr:nvSpPr>
        <xdr:spPr bwMode="auto">
          <a:xfrm>
            <a:off x="19050" y="2261507"/>
            <a:ext cx="736671" cy="23036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650" b="0" i="0" u="none" strike="noStrike" baseline="0">
                <a:solidFill>
                  <a:srgbClr val="000080"/>
                </a:solidFill>
                <a:latin typeface="Arial Black"/>
              </a:rPr>
              <a:t>Instructions</a:t>
            </a:r>
          </a:p>
        </xdr:txBody>
      </xdr:sp>
    </xdr:grpSp>
    <xdr:clientData/>
  </xdr:twoCellAnchor>
  <xdr:twoCellAnchor>
    <xdr:from>
      <xdr:col>11</xdr:col>
      <xdr:colOff>830036</xdr:colOff>
      <xdr:row>0</xdr:row>
      <xdr:rowOff>190500</xdr:rowOff>
    </xdr:from>
    <xdr:to>
      <xdr:col>15</xdr:col>
      <xdr:colOff>565018</xdr:colOff>
      <xdr:row>2</xdr:row>
      <xdr:rowOff>233242</xdr:rowOff>
    </xdr:to>
    <xdr:grpSp>
      <xdr:nvGrpSpPr>
        <xdr:cNvPr id="9" name="Group 8"/>
        <xdr:cNvGrpSpPr/>
      </xdr:nvGrpSpPr>
      <xdr:grpSpPr>
        <a:xfrm>
          <a:off x="16002000" y="190500"/>
          <a:ext cx="3109554" cy="668671"/>
          <a:chOff x="7608794" y="145676"/>
          <a:chExt cx="3047258" cy="652342"/>
        </a:xfrm>
      </xdr:grpSpPr>
      <xdr:sp macro="[0]!MarkConfidential" textlink="">
        <xdr:nvSpPr>
          <xdr:cNvPr id="10" name="Rounded Rectangle 9"/>
          <xdr:cNvSpPr/>
        </xdr:nvSpPr>
        <xdr:spPr>
          <a:xfrm>
            <a:off x="7608794" y="145676"/>
            <a:ext cx="3047258" cy="269785"/>
          </a:xfrm>
          <a:prstGeom prst="roundRect">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200" b="1">
                <a:solidFill>
                  <a:srgbClr val="FF0000"/>
                </a:solidFill>
                <a:latin typeface="Calibri" panose="020F0502020204030204" pitchFamily="34" charset="0"/>
                <a:cs typeface="Calibri" panose="020F0502020204030204" pitchFamily="34" charset="0"/>
              </a:rPr>
              <a:t>Mark selected</a:t>
            </a:r>
            <a:r>
              <a:rPr lang="en-AU" sz="1200" b="1" baseline="0">
                <a:solidFill>
                  <a:srgbClr val="FF0000"/>
                </a:solidFill>
                <a:latin typeface="Calibri" panose="020F0502020204030204" pitchFamily="34" charset="0"/>
                <a:cs typeface="Calibri" panose="020F0502020204030204" pitchFamily="34" charset="0"/>
              </a:rPr>
              <a:t> cells CONFIDENTIAL</a:t>
            </a:r>
            <a:endParaRPr lang="en-AU" sz="12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11" name="Rounded Rectangle 10"/>
          <xdr:cNvSpPr/>
        </xdr:nvSpPr>
        <xdr:spPr>
          <a:xfrm>
            <a:off x="7608794" y="517036"/>
            <a:ext cx="3036935" cy="280982"/>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200" b="1">
                <a:solidFill>
                  <a:schemeClr val="accent6">
                    <a:lumMod val="75000"/>
                  </a:schemeClr>
                </a:solidFill>
              </a:rPr>
              <a:t>Return</a:t>
            </a:r>
            <a:r>
              <a:rPr lang="en-AU" sz="1200" b="1" baseline="0">
                <a:solidFill>
                  <a:schemeClr val="accent6">
                    <a:lumMod val="75000"/>
                  </a:schemeClr>
                </a:solidFill>
              </a:rPr>
              <a:t> cells to NON-CONFIDENTIAL</a:t>
            </a:r>
            <a:endParaRPr lang="en-AU" sz="1200" b="1">
              <a:solidFill>
                <a:schemeClr val="accent6">
                  <a:lumMod val="75000"/>
                </a:schemeClr>
              </a:solidFill>
            </a:endParaRPr>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997323</xdr:colOff>
      <xdr:row>0</xdr:row>
      <xdr:rowOff>22412</xdr:rowOff>
    </xdr:from>
    <xdr:to>
      <xdr:col>0</xdr:col>
      <xdr:colOff>2151529</xdr:colOff>
      <xdr:row>3</xdr:row>
      <xdr:rowOff>291353</xdr:rowOff>
    </xdr:to>
    <xdr:grpSp>
      <xdr:nvGrpSpPr>
        <xdr:cNvPr id="2" name="Group 1"/>
        <xdr:cNvGrpSpPr/>
      </xdr:nvGrpSpPr>
      <xdr:grpSpPr>
        <a:xfrm>
          <a:off x="997323" y="22412"/>
          <a:ext cx="1154206" cy="1183341"/>
          <a:chOff x="165320" y="2985326"/>
          <a:chExt cx="963805" cy="1410158"/>
        </a:xfrm>
      </xdr:grpSpPr>
      <xdr:grpSp>
        <xdr:nvGrpSpPr>
          <xdr:cNvPr id="3" name="Group 2"/>
          <xdr:cNvGrpSpPr>
            <a:grpSpLocks/>
          </xdr:cNvGrpSpPr>
        </xdr:nvGrpSpPr>
        <xdr:grpSpPr bwMode="auto">
          <a:xfrm>
            <a:off x="165320" y="2985326"/>
            <a:ext cx="963805" cy="1410158"/>
            <a:chOff x="59" y="246"/>
            <a:chExt cx="78" cy="119"/>
          </a:xfrm>
        </xdr:grpSpPr>
        <xdr:sp macro="" textlink="">
          <xdr:nvSpPr>
            <xdr:cNvPr id="6" name="Rectangle 3"/>
            <xdr:cNvSpPr>
              <a:spLocks noChangeArrowheads="1"/>
            </xdr:cNvSpPr>
          </xdr:nvSpPr>
          <xdr:spPr bwMode="auto">
            <a:xfrm>
              <a:off x="59" y="246"/>
              <a:ext cx="78" cy="119"/>
            </a:xfrm>
            <a:prstGeom prst="rect">
              <a:avLst/>
            </a:prstGeom>
            <a:solidFill>
              <a:srgbClr val="FFFFCC">
                <a:alpha val="89803"/>
              </a:srgbClr>
            </a:solidFill>
            <a:ln w="25400" algn="ctr">
              <a:solidFill>
                <a:srgbClr val="000080"/>
              </a:solidFill>
              <a:miter lim="800000"/>
              <a:headEnd/>
              <a:tailEnd/>
            </a:ln>
          </xdr:spPr>
        </xdr:sp>
        <xdr:pic>
          <xdr:nvPicPr>
            <xdr:cNvPr id="7" name="Picture 4" descr="item"/>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9" y="246"/>
              <a:ext cx="78" cy="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sp macro="" textlink="">
        <xdr:nvSpPr>
          <xdr:cNvPr id="4" name="AutoShape 5">
            <a:hlinkClick xmlns:r="http://schemas.openxmlformats.org/officeDocument/2006/relationships" r:id="rId2"/>
          </xdr:cNvPr>
          <xdr:cNvSpPr>
            <a:spLocks noChangeArrowheads="1"/>
          </xdr:cNvSpPr>
        </xdr:nvSpPr>
        <xdr:spPr bwMode="auto">
          <a:xfrm>
            <a:off x="251103" y="3794769"/>
            <a:ext cx="827884" cy="224869"/>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5" name="AutoShape 5">
            <a:hlinkClick xmlns:r="http://schemas.openxmlformats.org/officeDocument/2006/relationships" r:id="rId3"/>
          </xdr:cNvPr>
          <xdr:cNvSpPr>
            <a:spLocks noChangeArrowheads="1"/>
          </xdr:cNvSpPr>
        </xdr:nvSpPr>
        <xdr:spPr bwMode="auto">
          <a:xfrm>
            <a:off x="251103" y="4082535"/>
            <a:ext cx="827884" cy="224368"/>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wsDr>
</file>

<file path=xl/drawings/drawing40.xml><?xml version="1.0" encoding="utf-8"?>
<xdr:wsDr xmlns:xdr="http://schemas.openxmlformats.org/drawingml/2006/spreadsheetDrawing" xmlns:a="http://schemas.openxmlformats.org/drawingml/2006/main">
  <xdr:twoCellAnchor>
    <xdr:from>
      <xdr:col>0</xdr:col>
      <xdr:colOff>112058</xdr:colOff>
      <xdr:row>0</xdr:row>
      <xdr:rowOff>123264</xdr:rowOff>
    </xdr:from>
    <xdr:to>
      <xdr:col>0</xdr:col>
      <xdr:colOff>806262</xdr:colOff>
      <xdr:row>3</xdr:row>
      <xdr:rowOff>140073</xdr:rowOff>
    </xdr:to>
    <xdr:grpSp>
      <xdr:nvGrpSpPr>
        <xdr:cNvPr id="10" name="Group 9"/>
        <xdr:cNvGrpSpPr/>
      </xdr:nvGrpSpPr>
      <xdr:grpSpPr>
        <a:xfrm>
          <a:off x="112058" y="123264"/>
          <a:ext cx="694204" cy="955702"/>
          <a:chOff x="0" y="1560739"/>
          <a:chExt cx="762000" cy="931132"/>
        </a:xfrm>
      </xdr:grpSpPr>
      <xdr:pic>
        <xdr:nvPicPr>
          <xdr:cNvPr id="11" name="Picture 3" descr="item"/>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60739"/>
            <a:ext cx="762000" cy="4898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2" name="AutoShape 4">
            <a:hlinkClick xmlns:r="http://schemas.openxmlformats.org/officeDocument/2006/relationships" r:id="rId2"/>
          </xdr:cNvPr>
          <xdr:cNvSpPr>
            <a:spLocks noChangeArrowheads="1"/>
          </xdr:cNvSpPr>
        </xdr:nvSpPr>
        <xdr:spPr bwMode="auto">
          <a:xfrm>
            <a:off x="19050" y="2039711"/>
            <a:ext cx="736671" cy="234132"/>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0" i="0" u="none" strike="noStrike" baseline="0">
                <a:solidFill>
                  <a:srgbClr val="000080"/>
                </a:solidFill>
                <a:latin typeface="Arial Black"/>
              </a:rPr>
              <a:t>Contents</a:t>
            </a:r>
          </a:p>
        </xdr:txBody>
      </xdr:sp>
      <xdr:sp macro="" textlink="">
        <xdr:nvSpPr>
          <xdr:cNvPr id="13" name="AutoShape 5">
            <a:hlinkClick xmlns:r="http://schemas.openxmlformats.org/officeDocument/2006/relationships" r:id="rId3"/>
          </xdr:cNvPr>
          <xdr:cNvSpPr>
            <a:spLocks noChangeArrowheads="1"/>
          </xdr:cNvSpPr>
        </xdr:nvSpPr>
        <xdr:spPr bwMode="auto">
          <a:xfrm>
            <a:off x="19050" y="2261507"/>
            <a:ext cx="736671" cy="23036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650" b="0" i="0" u="none" strike="noStrike" baseline="0">
                <a:solidFill>
                  <a:srgbClr val="000080"/>
                </a:solidFill>
                <a:latin typeface="Arial Black"/>
              </a:rPr>
              <a:t>Instructions</a:t>
            </a:r>
          </a:p>
        </xdr:txBody>
      </xdr:sp>
    </xdr:grpSp>
    <xdr:clientData/>
  </xdr:twoCellAnchor>
  <xdr:twoCellAnchor>
    <xdr:from>
      <xdr:col>12</xdr:col>
      <xdr:colOff>277091</xdr:colOff>
      <xdr:row>0</xdr:row>
      <xdr:rowOff>138545</xdr:rowOff>
    </xdr:from>
    <xdr:to>
      <xdr:col>15</xdr:col>
      <xdr:colOff>217417</xdr:colOff>
      <xdr:row>2</xdr:row>
      <xdr:rowOff>183761</xdr:rowOff>
    </xdr:to>
    <xdr:grpSp>
      <xdr:nvGrpSpPr>
        <xdr:cNvPr id="6" name="Group 5"/>
        <xdr:cNvGrpSpPr/>
      </xdr:nvGrpSpPr>
      <xdr:grpSpPr>
        <a:xfrm>
          <a:off x="16891412" y="138545"/>
          <a:ext cx="3083576" cy="671145"/>
          <a:chOff x="7608794" y="145676"/>
          <a:chExt cx="3047258" cy="652342"/>
        </a:xfrm>
      </xdr:grpSpPr>
      <xdr:sp macro="[0]!MarkConfidential" textlink="">
        <xdr:nvSpPr>
          <xdr:cNvPr id="7" name="Rounded Rectangle 6"/>
          <xdr:cNvSpPr/>
        </xdr:nvSpPr>
        <xdr:spPr>
          <a:xfrm>
            <a:off x="7608794" y="145676"/>
            <a:ext cx="3047258" cy="269785"/>
          </a:xfrm>
          <a:prstGeom prst="roundRect">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200" b="1">
                <a:solidFill>
                  <a:srgbClr val="FF0000"/>
                </a:solidFill>
                <a:latin typeface="Calibri" panose="020F0502020204030204" pitchFamily="34" charset="0"/>
                <a:cs typeface="Calibri" panose="020F0502020204030204" pitchFamily="34" charset="0"/>
              </a:rPr>
              <a:t>Mark selected</a:t>
            </a:r>
            <a:r>
              <a:rPr lang="en-AU" sz="1200" b="1" baseline="0">
                <a:solidFill>
                  <a:srgbClr val="FF0000"/>
                </a:solidFill>
                <a:latin typeface="Calibri" panose="020F0502020204030204" pitchFamily="34" charset="0"/>
                <a:cs typeface="Calibri" panose="020F0502020204030204" pitchFamily="34" charset="0"/>
              </a:rPr>
              <a:t> cells CONFIDENTIAL</a:t>
            </a:r>
            <a:endParaRPr lang="en-AU" sz="12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8" name="Rounded Rectangle 7"/>
          <xdr:cNvSpPr/>
        </xdr:nvSpPr>
        <xdr:spPr>
          <a:xfrm>
            <a:off x="7608794" y="517036"/>
            <a:ext cx="3036935" cy="280982"/>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200" b="1">
                <a:solidFill>
                  <a:schemeClr val="accent6">
                    <a:lumMod val="75000"/>
                  </a:schemeClr>
                </a:solidFill>
              </a:rPr>
              <a:t>Return</a:t>
            </a:r>
            <a:r>
              <a:rPr lang="en-AU" sz="1200" b="1" baseline="0">
                <a:solidFill>
                  <a:schemeClr val="accent6">
                    <a:lumMod val="75000"/>
                  </a:schemeClr>
                </a:solidFill>
              </a:rPr>
              <a:t> cells to NON-CONFIDENTIAL</a:t>
            </a:r>
            <a:endParaRPr lang="en-AU" sz="1200" b="1">
              <a:solidFill>
                <a:schemeClr val="accent6">
                  <a:lumMod val="75000"/>
                </a:schemeClr>
              </a:solidFill>
            </a:endParaRPr>
          </a:p>
        </xdr:txBody>
      </xdr:sp>
    </xdr:grpSp>
    <xdr:clientData/>
  </xdr:twoCellAnchor>
</xdr:wsDr>
</file>

<file path=xl/drawings/drawing41.xml><?xml version="1.0" encoding="utf-8"?>
<xdr:wsDr xmlns:xdr="http://schemas.openxmlformats.org/drawingml/2006/spreadsheetDrawing" xmlns:a="http://schemas.openxmlformats.org/drawingml/2006/main">
  <xdr:twoCellAnchor>
    <xdr:from>
      <xdr:col>0</xdr:col>
      <xdr:colOff>112058</xdr:colOff>
      <xdr:row>0</xdr:row>
      <xdr:rowOff>123264</xdr:rowOff>
    </xdr:from>
    <xdr:to>
      <xdr:col>0</xdr:col>
      <xdr:colOff>806262</xdr:colOff>
      <xdr:row>3</xdr:row>
      <xdr:rowOff>140073</xdr:rowOff>
    </xdr:to>
    <xdr:grpSp>
      <xdr:nvGrpSpPr>
        <xdr:cNvPr id="8" name="Group 7"/>
        <xdr:cNvGrpSpPr/>
      </xdr:nvGrpSpPr>
      <xdr:grpSpPr>
        <a:xfrm>
          <a:off x="112058" y="123264"/>
          <a:ext cx="694204" cy="955702"/>
          <a:chOff x="0" y="1560739"/>
          <a:chExt cx="762000" cy="931132"/>
        </a:xfrm>
      </xdr:grpSpPr>
      <xdr:pic>
        <xdr:nvPicPr>
          <xdr:cNvPr id="9" name="Picture 3" descr="item"/>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60739"/>
            <a:ext cx="762000" cy="4898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0" name="AutoShape 4">
            <a:hlinkClick xmlns:r="http://schemas.openxmlformats.org/officeDocument/2006/relationships" r:id="rId2"/>
          </xdr:cNvPr>
          <xdr:cNvSpPr>
            <a:spLocks noChangeArrowheads="1"/>
          </xdr:cNvSpPr>
        </xdr:nvSpPr>
        <xdr:spPr bwMode="auto">
          <a:xfrm>
            <a:off x="19050" y="2039711"/>
            <a:ext cx="736671" cy="234132"/>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0" i="0" u="none" strike="noStrike" baseline="0">
                <a:solidFill>
                  <a:srgbClr val="000080"/>
                </a:solidFill>
                <a:latin typeface="Arial Black"/>
              </a:rPr>
              <a:t>Contents</a:t>
            </a:r>
          </a:p>
        </xdr:txBody>
      </xdr:sp>
      <xdr:sp macro="" textlink="">
        <xdr:nvSpPr>
          <xdr:cNvPr id="11" name="AutoShape 5">
            <a:hlinkClick xmlns:r="http://schemas.openxmlformats.org/officeDocument/2006/relationships" r:id="rId3"/>
          </xdr:cNvPr>
          <xdr:cNvSpPr>
            <a:spLocks noChangeArrowheads="1"/>
          </xdr:cNvSpPr>
        </xdr:nvSpPr>
        <xdr:spPr bwMode="auto">
          <a:xfrm>
            <a:off x="19050" y="2261507"/>
            <a:ext cx="736671" cy="23036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650" b="0" i="0" u="none" strike="noStrike" baseline="0">
                <a:solidFill>
                  <a:srgbClr val="000080"/>
                </a:solidFill>
                <a:latin typeface="Arial Black"/>
              </a:rPr>
              <a:t>Instructions</a:t>
            </a:r>
          </a:p>
        </xdr:txBody>
      </xdr:sp>
    </xdr:grpSp>
    <xdr:clientData/>
  </xdr:twoCellAnchor>
  <xdr:twoCellAnchor>
    <xdr:from>
      <xdr:col>6</xdr:col>
      <xdr:colOff>324971</xdr:colOff>
      <xdr:row>0</xdr:row>
      <xdr:rowOff>145677</xdr:rowOff>
    </xdr:from>
    <xdr:to>
      <xdr:col>9</xdr:col>
      <xdr:colOff>274465</xdr:colOff>
      <xdr:row>2</xdr:row>
      <xdr:rowOff>186819</xdr:rowOff>
    </xdr:to>
    <xdr:grpSp>
      <xdr:nvGrpSpPr>
        <xdr:cNvPr id="6" name="Group 5"/>
        <xdr:cNvGrpSpPr/>
      </xdr:nvGrpSpPr>
      <xdr:grpSpPr>
        <a:xfrm>
          <a:off x="12367292" y="145677"/>
          <a:ext cx="3092744" cy="667071"/>
          <a:chOff x="7608794" y="145676"/>
          <a:chExt cx="3047258" cy="652342"/>
        </a:xfrm>
      </xdr:grpSpPr>
      <xdr:sp macro="[0]!MarkConfidential" textlink="">
        <xdr:nvSpPr>
          <xdr:cNvPr id="7" name="Rounded Rectangle 6"/>
          <xdr:cNvSpPr/>
        </xdr:nvSpPr>
        <xdr:spPr>
          <a:xfrm>
            <a:off x="7608794" y="145676"/>
            <a:ext cx="3047258" cy="269785"/>
          </a:xfrm>
          <a:prstGeom prst="roundRect">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200" b="1">
                <a:solidFill>
                  <a:srgbClr val="FF0000"/>
                </a:solidFill>
                <a:latin typeface="Calibri" panose="020F0502020204030204" pitchFamily="34" charset="0"/>
                <a:cs typeface="Calibri" panose="020F0502020204030204" pitchFamily="34" charset="0"/>
              </a:rPr>
              <a:t>Mark selected</a:t>
            </a:r>
            <a:r>
              <a:rPr lang="en-AU" sz="1200" b="1" baseline="0">
                <a:solidFill>
                  <a:srgbClr val="FF0000"/>
                </a:solidFill>
                <a:latin typeface="Calibri" panose="020F0502020204030204" pitchFamily="34" charset="0"/>
                <a:cs typeface="Calibri" panose="020F0502020204030204" pitchFamily="34" charset="0"/>
              </a:rPr>
              <a:t> cells CONFIDENTIAL</a:t>
            </a:r>
            <a:endParaRPr lang="en-AU" sz="12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12" name="Rounded Rectangle 11"/>
          <xdr:cNvSpPr/>
        </xdr:nvSpPr>
        <xdr:spPr>
          <a:xfrm>
            <a:off x="7608794" y="517036"/>
            <a:ext cx="3036935" cy="280982"/>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200" b="1">
                <a:solidFill>
                  <a:schemeClr val="accent6">
                    <a:lumMod val="75000"/>
                  </a:schemeClr>
                </a:solidFill>
              </a:rPr>
              <a:t>Return</a:t>
            </a:r>
            <a:r>
              <a:rPr lang="en-AU" sz="1200" b="1" baseline="0">
                <a:solidFill>
                  <a:schemeClr val="accent6">
                    <a:lumMod val="75000"/>
                  </a:schemeClr>
                </a:solidFill>
              </a:rPr>
              <a:t> cells to NON-CONFIDENTIAL</a:t>
            </a:r>
            <a:endParaRPr lang="en-AU" sz="1200" b="1">
              <a:solidFill>
                <a:schemeClr val="accent6">
                  <a:lumMod val="75000"/>
                </a:schemeClr>
              </a:solidFill>
            </a:endParaRPr>
          </a:p>
        </xdr:txBody>
      </xdr:sp>
    </xdr:grpSp>
    <xdr:clientData/>
  </xdr:twoCellAnchor>
</xdr:wsDr>
</file>

<file path=xl/drawings/drawing42.xml><?xml version="1.0" encoding="utf-8"?>
<xdr:wsDr xmlns:xdr="http://schemas.openxmlformats.org/drawingml/2006/spreadsheetDrawing" xmlns:a="http://schemas.openxmlformats.org/drawingml/2006/main">
  <xdr:twoCellAnchor>
    <xdr:from>
      <xdr:col>0</xdr:col>
      <xdr:colOff>112058</xdr:colOff>
      <xdr:row>0</xdr:row>
      <xdr:rowOff>123264</xdr:rowOff>
    </xdr:from>
    <xdr:to>
      <xdr:col>0</xdr:col>
      <xdr:colOff>806262</xdr:colOff>
      <xdr:row>3</xdr:row>
      <xdr:rowOff>140073</xdr:rowOff>
    </xdr:to>
    <xdr:grpSp>
      <xdr:nvGrpSpPr>
        <xdr:cNvPr id="2" name="Group 1"/>
        <xdr:cNvGrpSpPr/>
      </xdr:nvGrpSpPr>
      <xdr:grpSpPr>
        <a:xfrm>
          <a:off x="112058" y="123264"/>
          <a:ext cx="694204" cy="943566"/>
          <a:chOff x="0" y="1560739"/>
          <a:chExt cx="762000" cy="931132"/>
        </a:xfrm>
      </xdr:grpSpPr>
      <xdr:pic>
        <xdr:nvPicPr>
          <xdr:cNvPr id="3" name="Picture 3" descr="item"/>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60739"/>
            <a:ext cx="762000" cy="4898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4" name="AutoShape 4">
            <a:hlinkClick xmlns:r="http://schemas.openxmlformats.org/officeDocument/2006/relationships" r:id="rId2"/>
          </xdr:cNvPr>
          <xdr:cNvSpPr>
            <a:spLocks noChangeArrowheads="1"/>
          </xdr:cNvSpPr>
        </xdr:nvSpPr>
        <xdr:spPr bwMode="auto">
          <a:xfrm>
            <a:off x="19050" y="2039711"/>
            <a:ext cx="736671" cy="234132"/>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0" i="0" u="none" strike="noStrike" baseline="0">
                <a:solidFill>
                  <a:srgbClr val="000080"/>
                </a:solidFill>
                <a:latin typeface="Arial Black"/>
              </a:rPr>
              <a:t>Contents</a:t>
            </a:r>
          </a:p>
        </xdr:txBody>
      </xdr:sp>
      <xdr:sp macro="" textlink="">
        <xdr:nvSpPr>
          <xdr:cNvPr id="5" name="AutoShape 5">
            <a:hlinkClick xmlns:r="http://schemas.openxmlformats.org/officeDocument/2006/relationships" r:id="rId3"/>
          </xdr:cNvPr>
          <xdr:cNvSpPr>
            <a:spLocks noChangeArrowheads="1"/>
          </xdr:cNvSpPr>
        </xdr:nvSpPr>
        <xdr:spPr bwMode="auto">
          <a:xfrm>
            <a:off x="19050" y="2261507"/>
            <a:ext cx="736671" cy="23036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650" b="0" i="0" u="none" strike="noStrike" baseline="0">
                <a:solidFill>
                  <a:srgbClr val="000080"/>
                </a:solidFill>
                <a:latin typeface="Arial Black"/>
              </a:rPr>
              <a:t>Instructions</a:t>
            </a:r>
          </a:p>
        </xdr:txBody>
      </xdr:sp>
    </xdr:grpSp>
    <xdr:clientData/>
  </xdr:twoCellAnchor>
  <xdr:twoCellAnchor>
    <xdr:from>
      <xdr:col>10</xdr:col>
      <xdr:colOff>40821</xdr:colOff>
      <xdr:row>0</xdr:row>
      <xdr:rowOff>136071</xdr:rowOff>
    </xdr:from>
    <xdr:to>
      <xdr:col>13</xdr:col>
      <xdr:colOff>7124</xdr:colOff>
      <xdr:row>2</xdr:row>
      <xdr:rowOff>178813</xdr:rowOff>
    </xdr:to>
    <xdr:grpSp>
      <xdr:nvGrpSpPr>
        <xdr:cNvPr id="6" name="Group 5"/>
        <xdr:cNvGrpSpPr/>
      </xdr:nvGrpSpPr>
      <xdr:grpSpPr>
        <a:xfrm>
          <a:off x="16825416" y="136071"/>
          <a:ext cx="3094107" cy="660580"/>
          <a:chOff x="7608794" y="145676"/>
          <a:chExt cx="3047258" cy="652342"/>
        </a:xfrm>
      </xdr:grpSpPr>
      <xdr:sp macro="[0]!MarkConfidential" textlink="">
        <xdr:nvSpPr>
          <xdr:cNvPr id="7" name="Rounded Rectangle 6"/>
          <xdr:cNvSpPr/>
        </xdr:nvSpPr>
        <xdr:spPr>
          <a:xfrm>
            <a:off x="7608794" y="145676"/>
            <a:ext cx="3047258" cy="269785"/>
          </a:xfrm>
          <a:prstGeom prst="roundRect">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200" b="1">
                <a:solidFill>
                  <a:srgbClr val="FF0000"/>
                </a:solidFill>
                <a:latin typeface="Calibri" panose="020F0502020204030204" pitchFamily="34" charset="0"/>
                <a:cs typeface="Calibri" panose="020F0502020204030204" pitchFamily="34" charset="0"/>
              </a:rPr>
              <a:t>Mark selected</a:t>
            </a:r>
            <a:r>
              <a:rPr lang="en-AU" sz="1200" b="1" baseline="0">
                <a:solidFill>
                  <a:srgbClr val="FF0000"/>
                </a:solidFill>
                <a:latin typeface="Calibri" panose="020F0502020204030204" pitchFamily="34" charset="0"/>
                <a:cs typeface="Calibri" panose="020F0502020204030204" pitchFamily="34" charset="0"/>
              </a:rPr>
              <a:t> cells CONFIDENTIAL</a:t>
            </a:r>
            <a:endParaRPr lang="en-AU" sz="12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8" name="Rounded Rectangle 7"/>
          <xdr:cNvSpPr/>
        </xdr:nvSpPr>
        <xdr:spPr>
          <a:xfrm>
            <a:off x="7608794" y="517036"/>
            <a:ext cx="3036935" cy="280982"/>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200" b="1">
                <a:solidFill>
                  <a:schemeClr val="accent6">
                    <a:lumMod val="75000"/>
                  </a:schemeClr>
                </a:solidFill>
              </a:rPr>
              <a:t>Return</a:t>
            </a:r>
            <a:r>
              <a:rPr lang="en-AU" sz="1200" b="1" baseline="0">
                <a:solidFill>
                  <a:schemeClr val="accent6">
                    <a:lumMod val="75000"/>
                  </a:schemeClr>
                </a:solidFill>
              </a:rPr>
              <a:t> cells to NON-CONFIDENTIAL</a:t>
            </a:r>
            <a:endParaRPr lang="en-AU" sz="1200" b="1">
              <a:solidFill>
                <a:schemeClr val="accent6">
                  <a:lumMod val="75000"/>
                </a:schemeClr>
              </a:solidFill>
            </a:endParaRPr>
          </a:p>
        </xdr:txBody>
      </xdr:sp>
    </xdr:grpSp>
    <xdr:clientData/>
  </xdr:twoCellAnchor>
</xdr:wsDr>
</file>

<file path=xl/drawings/drawing43.xml><?xml version="1.0" encoding="utf-8"?>
<xdr:wsDr xmlns:xdr="http://schemas.openxmlformats.org/drawingml/2006/spreadsheetDrawing" xmlns:a="http://schemas.openxmlformats.org/drawingml/2006/main">
  <xdr:twoCellAnchor>
    <xdr:from>
      <xdr:col>0</xdr:col>
      <xdr:colOff>112058</xdr:colOff>
      <xdr:row>0</xdr:row>
      <xdr:rowOff>123264</xdr:rowOff>
    </xdr:from>
    <xdr:to>
      <xdr:col>0</xdr:col>
      <xdr:colOff>806262</xdr:colOff>
      <xdr:row>3</xdr:row>
      <xdr:rowOff>140073</xdr:rowOff>
    </xdr:to>
    <xdr:grpSp>
      <xdr:nvGrpSpPr>
        <xdr:cNvPr id="2" name="Group 1"/>
        <xdr:cNvGrpSpPr/>
      </xdr:nvGrpSpPr>
      <xdr:grpSpPr>
        <a:xfrm>
          <a:off x="112058" y="123264"/>
          <a:ext cx="694204" cy="955702"/>
          <a:chOff x="0" y="1560739"/>
          <a:chExt cx="762000" cy="931132"/>
        </a:xfrm>
      </xdr:grpSpPr>
      <xdr:pic>
        <xdr:nvPicPr>
          <xdr:cNvPr id="3" name="Picture 3" descr="item"/>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60739"/>
            <a:ext cx="762000" cy="4898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4" name="AutoShape 4">
            <a:hlinkClick xmlns:r="http://schemas.openxmlformats.org/officeDocument/2006/relationships" r:id="rId2"/>
          </xdr:cNvPr>
          <xdr:cNvSpPr>
            <a:spLocks noChangeArrowheads="1"/>
          </xdr:cNvSpPr>
        </xdr:nvSpPr>
        <xdr:spPr bwMode="auto">
          <a:xfrm>
            <a:off x="19050" y="2039711"/>
            <a:ext cx="736671" cy="234132"/>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0" i="0" u="none" strike="noStrike" baseline="0">
                <a:solidFill>
                  <a:srgbClr val="000080"/>
                </a:solidFill>
                <a:latin typeface="Arial Black"/>
              </a:rPr>
              <a:t>Contents</a:t>
            </a:r>
          </a:p>
        </xdr:txBody>
      </xdr:sp>
      <xdr:sp macro="" textlink="">
        <xdr:nvSpPr>
          <xdr:cNvPr id="5" name="AutoShape 5">
            <a:hlinkClick xmlns:r="http://schemas.openxmlformats.org/officeDocument/2006/relationships" r:id="rId3"/>
          </xdr:cNvPr>
          <xdr:cNvSpPr>
            <a:spLocks noChangeArrowheads="1"/>
          </xdr:cNvSpPr>
        </xdr:nvSpPr>
        <xdr:spPr bwMode="auto">
          <a:xfrm>
            <a:off x="19050" y="2261507"/>
            <a:ext cx="736671" cy="23036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650" b="0" i="0" u="none" strike="noStrike" baseline="0">
                <a:solidFill>
                  <a:srgbClr val="000080"/>
                </a:solidFill>
                <a:latin typeface="Arial Black"/>
              </a:rPr>
              <a:t>Instructions</a:t>
            </a:r>
          </a:p>
        </xdr:txBody>
      </xdr:sp>
    </xdr:grpSp>
    <xdr:clientData/>
  </xdr:twoCellAnchor>
  <xdr:twoCellAnchor>
    <xdr:from>
      <xdr:col>8</xdr:col>
      <xdr:colOff>134471</xdr:colOff>
      <xdr:row>0</xdr:row>
      <xdr:rowOff>179294</xdr:rowOff>
    </xdr:from>
    <xdr:to>
      <xdr:col>11</xdr:col>
      <xdr:colOff>83965</xdr:colOff>
      <xdr:row>2</xdr:row>
      <xdr:rowOff>220436</xdr:rowOff>
    </xdr:to>
    <xdr:grpSp>
      <xdr:nvGrpSpPr>
        <xdr:cNvPr id="6" name="Group 5"/>
        <xdr:cNvGrpSpPr/>
      </xdr:nvGrpSpPr>
      <xdr:grpSpPr>
        <a:xfrm>
          <a:off x="10176542" y="179294"/>
          <a:ext cx="3092744" cy="667071"/>
          <a:chOff x="7608794" y="145676"/>
          <a:chExt cx="3047258" cy="652342"/>
        </a:xfrm>
      </xdr:grpSpPr>
      <xdr:sp macro="[0]!MarkConfidential" textlink="">
        <xdr:nvSpPr>
          <xdr:cNvPr id="7" name="Rounded Rectangle 6"/>
          <xdr:cNvSpPr/>
        </xdr:nvSpPr>
        <xdr:spPr>
          <a:xfrm>
            <a:off x="7608794" y="145676"/>
            <a:ext cx="3047258" cy="269785"/>
          </a:xfrm>
          <a:prstGeom prst="roundRect">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200" b="1">
                <a:solidFill>
                  <a:srgbClr val="FF0000"/>
                </a:solidFill>
                <a:latin typeface="Calibri" panose="020F0502020204030204" pitchFamily="34" charset="0"/>
                <a:cs typeface="Calibri" panose="020F0502020204030204" pitchFamily="34" charset="0"/>
              </a:rPr>
              <a:t>Mark selected</a:t>
            </a:r>
            <a:r>
              <a:rPr lang="en-AU" sz="1200" b="1" baseline="0">
                <a:solidFill>
                  <a:srgbClr val="FF0000"/>
                </a:solidFill>
                <a:latin typeface="Calibri" panose="020F0502020204030204" pitchFamily="34" charset="0"/>
                <a:cs typeface="Calibri" panose="020F0502020204030204" pitchFamily="34" charset="0"/>
              </a:rPr>
              <a:t> cells CONFIDENTIAL</a:t>
            </a:r>
            <a:endParaRPr lang="en-AU" sz="12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8" name="Rounded Rectangle 7"/>
          <xdr:cNvSpPr/>
        </xdr:nvSpPr>
        <xdr:spPr>
          <a:xfrm>
            <a:off x="7608794" y="517036"/>
            <a:ext cx="3036935" cy="280982"/>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200" b="1">
                <a:solidFill>
                  <a:schemeClr val="accent6">
                    <a:lumMod val="75000"/>
                  </a:schemeClr>
                </a:solidFill>
              </a:rPr>
              <a:t>Return</a:t>
            </a:r>
            <a:r>
              <a:rPr lang="en-AU" sz="1200" b="1" baseline="0">
                <a:solidFill>
                  <a:schemeClr val="accent6">
                    <a:lumMod val="75000"/>
                  </a:schemeClr>
                </a:solidFill>
              </a:rPr>
              <a:t> cells to NON-CONFIDENTIAL</a:t>
            </a:r>
            <a:endParaRPr lang="en-AU" sz="1200" b="1">
              <a:solidFill>
                <a:schemeClr val="accent6">
                  <a:lumMod val="75000"/>
                </a:schemeClr>
              </a:solidFill>
            </a:endParaRP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119743</xdr:colOff>
      <xdr:row>0</xdr:row>
      <xdr:rowOff>146957</xdr:rowOff>
    </xdr:from>
    <xdr:to>
      <xdr:col>1</xdr:col>
      <xdr:colOff>990600</xdr:colOff>
      <xdr:row>3</xdr:row>
      <xdr:rowOff>180018</xdr:rowOff>
    </xdr:to>
    <xdr:grpSp>
      <xdr:nvGrpSpPr>
        <xdr:cNvPr id="2" name="Group 1"/>
        <xdr:cNvGrpSpPr/>
      </xdr:nvGrpSpPr>
      <xdr:grpSpPr>
        <a:xfrm>
          <a:off x="740229" y="146957"/>
          <a:ext cx="870857" cy="947461"/>
          <a:chOff x="0" y="1560739"/>
          <a:chExt cx="762000" cy="931132"/>
        </a:xfrm>
      </xdr:grpSpPr>
      <xdr:pic>
        <xdr:nvPicPr>
          <xdr:cNvPr id="3" name="Picture 3" descr="item"/>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60739"/>
            <a:ext cx="762000" cy="4898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4" name="AutoShape 4">
            <a:hlinkClick xmlns:r="http://schemas.openxmlformats.org/officeDocument/2006/relationships" r:id="rId2"/>
          </xdr:cNvPr>
          <xdr:cNvSpPr>
            <a:spLocks noChangeArrowheads="1"/>
          </xdr:cNvSpPr>
        </xdr:nvSpPr>
        <xdr:spPr bwMode="auto">
          <a:xfrm>
            <a:off x="19050" y="2039711"/>
            <a:ext cx="736671" cy="234132"/>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0" i="0" u="none" strike="noStrike" baseline="0">
                <a:solidFill>
                  <a:srgbClr val="000080"/>
                </a:solidFill>
                <a:latin typeface="Arial Black"/>
              </a:rPr>
              <a:t>Contents</a:t>
            </a:r>
          </a:p>
        </xdr:txBody>
      </xdr:sp>
      <xdr:sp macro="" textlink="">
        <xdr:nvSpPr>
          <xdr:cNvPr id="5" name="AutoShape 5">
            <a:hlinkClick xmlns:r="http://schemas.openxmlformats.org/officeDocument/2006/relationships" r:id="rId3"/>
          </xdr:cNvPr>
          <xdr:cNvSpPr>
            <a:spLocks noChangeArrowheads="1"/>
          </xdr:cNvSpPr>
        </xdr:nvSpPr>
        <xdr:spPr bwMode="auto">
          <a:xfrm>
            <a:off x="19050" y="2261507"/>
            <a:ext cx="736671" cy="23036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650" b="0" i="0" u="none" strike="noStrike" baseline="0">
                <a:solidFill>
                  <a:srgbClr val="000080"/>
                </a:solidFill>
                <a:latin typeface="Arial Black"/>
              </a:rPr>
              <a:t>Instructions</a:t>
            </a:r>
          </a:p>
        </xdr:txBody>
      </xdr:sp>
    </xdr:grp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176893</xdr:colOff>
      <xdr:row>0</xdr:row>
      <xdr:rowOff>118382</xdr:rowOff>
    </xdr:from>
    <xdr:to>
      <xdr:col>0</xdr:col>
      <xdr:colOff>938893</xdr:colOff>
      <xdr:row>3</xdr:row>
      <xdr:rowOff>151443</xdr:rowOff>
    </xdr:to>
    <xdr:grpSp>
      <xdr:nvGrpSpPr>
        <xdr:cNvPr id="2" name="Group 1"/>
        <xdr:cNvGrpSpPr/>
      </xdr:nvGrpSpPr>
      <xdr:grpSpPr>
        <a:xfrm>
          <a:off x="176893" y="118382"/>
          <a:ext cx="762000" cy="958347"/>
          <a:chOff x="0" y="1560739"/>
          <a:chExt cx="762000" cy="931132"/>
        </a:xfrm>
      </xdr:grpSpPr>
      <xdr:pic>
        <xdr:nvPicPr>
          <xdr:cNvPr id="3" name="Picture 3" descr="item"/>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60739"/>
            <a:ext cx="762000" cy="4898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4" name="AutoShape 4">
            <a:hlinkClick xmlns:r="http://schemas.openxmlformats.org/officeDocument/2006/relationships" r:id="rId2"/>
          </xdr:cNvPr>
          <xdr:cNvSpPr>
            <a:spLocks noChangeArrowheads="1"/>
          </xdr:cNvSpPr>
        </xdr:nvSpPr>
        <xdr:spPr bwMode="auto">
          <a:xfrm>
            <a:off x="19050" y="2039711"/>
            <a:ext cx="736671" cy="234132"/>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0" i="0" u="none" strike="noStrike" baseline="0">
                <a:solidFill>
                  <a:srgbClr val="000080"/>
                </a:solidFill>
                <a:latin typeface="Arial Black"/>
              </a:rPr>
              <a:t>Contents</a:t>
            </a:r>
          </a:p>
        </xdr:txBody>
      </xdr:sp>
      <xdr:sp macro="" textlink="">
        <xdr:nvSpPr>
          <xdr:cNvPr id="5" name="AutoShape 5">
            <a:hlinkClick xmlns:r="http://schemas.openxmlformats.org/officeDocument/2006/relationships" r:id="rId3"/>
          </xdr:cNvPr>
          <xdr:cNvSpPr>
            <a:spLocks noChangeArrowheads="1"/>
          </xdr:cNvSpPr>
        </xdr:nvSpPr>
        <xdr:spPr bwMode="auto">
          <a:xfrm>
            <a:off x="19050" y="2261507"/>
            <a:ext cx="736671" cy="23036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650" b="0" i="0" u="none" strike="noStrike" baseline="0">
                <a:solidFill>
                  <a:srgbClr val="000080"/>
                </a:solidFill>
                <a:latin typeface="Arial Black"/>
              </a:rPr>
              <a:t>Instructions</a:t>
            </a:r>
          </a:p>
        </xdr:txBody>
      </xdr:sp>
    </xdr:grpSp>
    <xdr:clientData/>
  </xdr:twoCellAnchor>
  <xdr:twoCellAnchor>
    <xdr:from>
      <xdr:col>6</xdr:col>
      <xdr:colOff>0</xdr:colOff>
      <xdr:row>0</xdr:row>
      <xdr:rowOff>171450</xdr:rowOff>
    </xdr:from>
    <xdr:to>
      <xdr:col>9</xdr:col>
      <xdr:colOff>252053</xdr:colOff>
      <xdr:row>2</xdr:row>
      <xdr:rowOff>230521</xdr:rowOff>
    </xdr:to>
    <xdr:grpSp>
      <xdr:nvGrpSpPr>
        <xdr:cNvPr id="6" name="Group 5"/>
        <xdr:cNvGrpSpPr/>
      </xdr:nvGrpSpPr>
      <xdr:grpSpPr>
        <a:xfrm>
          <a:off x="9606643" y="171450"/>
          <a:ext cx="3191196" cy="675928"/>
          <a:chOff x="7608794" y="145676"/>
          <a:chExt cx="3047258" cy="652342"/>
        </a:xfrm>
      </xdr:grpSpPr>
      <xdr:sp macro="[0]!MarkConfidential" textlink="">
        <xdr:nvSpPr>
          <xdr:cNvPr id="7" name="Rounded Rectangle 6"/>
          <xdr:cNvSpPr/>
        </xdr:nvSpPr>
        <xdr:spPr>
          <a:xfrm>
            <a:off x="7608794" y="145676"/>
            <a:ext cx="3047258" cy="269785"/>
          </a:xfrm>
          <a:prstGeom prst="roundRect">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200" b="1">
                <a:solidFill>
                  <a:srgbClr val="FF0000"/>
                </a:solidFill>
                <a:latin typeface="Calibri" panose="020F0502020204030204" pitchFamily="34" charset="0"/>
                <a:cs typeface="Calibri" panose="020F0502020204030204" pitchFamily="34" charset="0"/>
              </a:rPr>
              <a:t>Mark selected</a:t>
            </a:r>
            <a:r>
              <a:rPr lang="en-AU" sz="1200" b="1" baseline="0">
                <a:solidFill>
                  <a:srgbClr val="FF0000"/>
                </a:solidFill>
                <a:latin typeface="Calibri" panose="020F0502020204030204" pitchFamily="34" charset="0"/>
                <a:cs typeface="Calibri" panose="020F0502020204030204" pitchFamily="34" charset="0"/>
              </a:rPr>
              <a:t> cells CONFIDENTIAL</a:t>
            </a:r>
            <a:endParaRPr lang="en-AU" sz="12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8" name="Rounded Rectangle 7"/>
          <xdr:cNvSpPr/>
        </xdr:nvSpPr>
        <xdr:spPr>
          <a:xfrm>
            <a:off x="7608794" y="517036"/>
            <a:ext cx="3036935" cy="280982"/>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200" b="1">
                <a:solidFill>
                  <a:schemeClr val="accent6">
                    <a:lumMod val="75000"/>
                  </a:schemeClr>
                </a:solidFill>
              </a:rPr>
              <a:t>Return</a:t>
            </a:r>
            <a:r>
              <a:rPr lang="en-AU" sz="1200" b="1" baseline="0">
                <a:solidFill>
                  <a:schemeClr val="accent6">
                    <a:lumMod val="75000"/>
                  </a:schemeClr>
                </a:solidFill>
              </a:rPr>
              <a:t> cells to NON-CONFIDENTIAL</a:t>
            </a:r>
            <a:endParaRPr lang="en-AU" sz="1200" b="1">
              <a:solidFill>
                <a:schemeClr val="accent6">
                  <a:lumMod val="75000"/>
                </a:schemeClr>
              </a:solidFill>
            </a:endParaRPr>
          </a:p>
        </xdr:txBody>
      </xdr:sp>
    </xdr:grp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0</xdr:colOff>
      <xdr:row>4</xdr:row>
      <xdr:rowOff>0</xdr:rowOff>
    </xdr:from>
    <xdr:to>
      <xdr:col>1</xdr:col>
      <xdr:colOff>3781425</xdr:colOff>
      <xdr:row>4</xdr:row>
      <xdr:rowOff>0</xdr:rowOff>
    </xdr:to>
    <xdr:sp macro="" textlink="">
      <xdr:nvSpPr>
        <xdr:cNvPr id="2" name="Text Box 58"/>
        <xdr:cNvSpPr txBox="1">
          <a:spLocks noChangeArrowheads="1"/>
        </xdr:cNvSpPr>
      </xdr:nvSpPr>
      <xdr:spPr bwMode="auto">
        <a:xfrm>
          <a:off x="2209800" y="1219200"/>
          <a:ext cx="3781425"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32004" rIns="0" bIns="0" anchor="t" upright="1"/>
        <a:lstStyle/>
        <a:p>
          <a:pPr algn="l" rtl="0">
            <a:defRPr sz="1000"/>
          </a:pPr>
          <a:r>
            <a:rPr lang="en-AU" sz="1600" b="1" i="0" u="none" strike="noStrike" baseline="0">
              <a:solidFill>
                <a:srgbClr val="FFFFFF"/>
              </a:solidFill>
              <a:latin typeface="Arial"/>
              <a:cs typeface="Arial"/>
            </a:rPr>
            <a:t>Non-Demand Capital Expenditure Including Related Party Margins</a:t>
          </a:r>
        </a:p>
        <a:p>
          <a:pPr algn="l" rtl="0">
            <a:defRPr sz="1000"/>
          </a:pPr>
          <a:endParaRPr lang="en-AU" sz="1600" b="1" i="0" u="none" strike="noStrike" baseline="0">
            <a:solidFill>
              <a:srgbClr val="FFFFFF"/>
            </a:solidFill>
            <a:latin typeface="Arial"/>
            <a:cs typeface="Arial"/>
          </a:endParaRPr>
        </a:p>
      </xdr:txBody>
    </xdr:sp>
    <xdr:clientData/>
  </xdr:twoCellAnchor>
  <xdr:twoCellAnchor>
    <xdr:from>
      <xdr:col>1</xdr:col>
      <xdr:colOff>0</xdr:colOff>
      <xdr:row>4</xdr:row>
      <xdr:rowOff>0</xdr:rowOff>
    </xdr:from>
    <xdr:to>
      <xdr:col>1</xdr:col>
      <xdr:colOff>4410075</xdr:colOff>
      <xdr:row>4</xdr:row>
      <xdr:rowOff>0</xdr:rowOff>
    </xdr:to>
    <xdr:sp macro="" textlink="">
      <xdr:nvSpPr>
        <xdr:cNvPr id="3" name="Text Box 59"/>
        <xdr:cNvSpPr txBox="1">
          <a:spLocks noChangeArrowheads="1"/>
        </xdr:cNvSpPr>
      </xdr:nvSpPr>
      <xdr:spPr bwMode="auto">
        <a:xfrm>
          <a:off x="2209800" y="1219200"/>
          <a:ext cx="4410075"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0</xdr:col>
      <xdr:colOff>89807</xdr:colOff>
      <xdr:row>0</xdr:row>
      <xdr:rowOff>191522</xdr:rowOff>
    </xdr:from>
    <xdr:to>
      <xdr:col>0</xdr:col>
      <xdr:colOff>794657</xdr:colOff>
      <xdr:row>4</xdr:row>
      <xdr:rowOff>62658</xdr:rowOff>
    </xdr:to>
    <xdr:grpSp>
      <xdr:nvGrpSpPr>
        <xdr:cNvPr id="4" name="Group 3"/>
        <xdr:cNvGrpSpPr/>
      </xdr:nvGrpSpPr>
      <xdr:grpSpPr>
        <a:xfrm>
          <a:off x="89807" y="191522"/>
          <a:ext cx="704850" cy="1118045"/>
          <a:chOff x="0" y="1560739"/>
          <a:chExt cx="762000" cy="931132"/>
        </a:xfrm>
      </xdr:grpSpPr>
      <xdr:pic>
        <xdr:nvPicPr>
          <xdr:cNvPr id="5" name="Picture 3" descr="item"/>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60739"/>
            <a:ext cx="762000" cy="4898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AutoShape 4">
            <a:hlinkClick xmlns:r="http://schemas.openxmlformats.org/officeDocument/2006/relationships" r:id="rId2"/>
          </xdr:cNvPr>
          <xdr:cNvSpPr>
            <a:spLocks noChangeArrowheads="1"/>
          </xdr:cNvSpPr>
        </xdr:nvSpPr>
        <xdr:spPr bwMode="auto">
          <a:xfrm>
            <a:off x="19050" y="2039711"/>
            <a:ext cx="736671" cy="234132"/>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0" i="0" u="none" strike="noStrike" baseline="0">
                <a:solidFill>
                  <a:srgbClr val="000080"/>
                </a:solidFill>
                <a:latin typeface="Arial Black"/>
              </a:rPr>
              <a:t>Contents</a:t>
            </a:r>
          </a:p>
        </xdr:txBody>
      </xdr:sp>
      <xdr:sp macro="" textlink="">
        <xdr:nvSpPr>
          <xdr:cNvPr id="7" name="AutoShape 5">
            <a:hlinkClick xmlns:r="http://schemas.openxmlformats.org/officeDocument/2006/relationships" r:id="rId3"/>
          </xdr:cNvPr>
          <xdr:cNvSpPr>
            <a:spLocks noChangeArrowheads="1"/>
          </xdr:cNvSpPr>
        </xdr:nvSpPr>
        <xdr:spPr bwMode="auto">
          <a:xfrm>
            <a:off x="19050" y="2261507"/>
            <a:ext cx="736671" cy="23036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650" b="0" i="0" u="none" strike="noStrike" baseline="0">
                <a:solidFill>
                  <a:srgbClr val="000080"/>
                </a:solidFill>
                <a:latin typeface="Arial Black"/>
              </a:rPr>
              <a:t>Instructions</a:t>
            </a:r>
          </a:p>
        </xdr:txBody>
      </xdr:sp>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68036</xdr:colOff>
      <xdr:row>0</xdr:row>
      <xdr:rowOff>131990</xdr:rowOff>
    </xdr:from>
    <xdr:to>
      <xdr:col>0</xdr:col>
      <xdr:colOff>985157</xdr:colOff>
      <xdr:row>4</xdr:row>
      <xdr:rowOff>0</xdr:rowOff>
    </xdr:to>
    <xdr:grpSp>
      <xdr:nvGrpSpPr>
        <xdr:cNvPr id="2" name="Group 1"/>
        <xdr:cNvGrpSpPr/>
      </xdr:nvGrpSpPr>
      <xdr:grpSpPr>
        <a:xfrm>
          <a:off x="68036" y="131990"/>
          <a:ext cx="917121" cy="898951"/>
          <a:chOff x="0" y="1560739"/>
          <a:chExt cx="762000" cy="931132"/>
        </a:xfrm>
      </xdr:grpSpPr>
      <xdr:pic>
        <xdr:nvPicPr>
          <xdr:cNvPr id="3" name="Picture 3" descr="item"/>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60739"/>
            <a:ext cx="762000" cy="4898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4" name="AutoShape 4">
            <a:hlinkClick xmlns:r="http://schemas.openxmlformats.org/officeDocument/2006/relationships" r:id="rId2"/>
          </xdr:cNvPr>
          <xdr:cNvSpPr>
            <a:spLocks noChangeArrowheads="1"/>
          </xdr:cNvSpPr>
        </xdr:nvSpPr>
        <xdr:spPr bwMode="auto">
          <a:xfrm>
            <a:off x="19050" y="2039711"/>
            <a:ext cx="736671" cy="234132"/>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0" i="0" u="none" strike="noStrike" baseline="0">
                <a:solidFill>
                  <a:srgbClr val="000080"/>
                </a:solidFill>
                <a:latin typeface="Arial Black"/>
              </a:rPr>
              <a:t>Contents</a:t>
            </a:r>
          </a:p>
        </xdr:txBody>
      </xdr:sp>
      <xdr:sp macro="" textlink="">
        <xdr:nvSpPr>
          <xdr:cNvPr id="5" name="AutoShape 5">
            <a:hlinkClick xmlns:r="http://schemas.openxmlformats.org/officeDocument/2006/relationships" r:id="rId3"/>
          </xdr:cNvPr>
          <xdr:cNvSpPr>
            <a:spLocks noChangeArrowheads="1"/>
          </xdr:cNvSpPr>
        </xdr:nvSpPr>
        <xdr:spPr bwMode="auto">
          <a:xfrm>
            <a:off x="19050" y="2261507"/>
            <a:ext cx="736671" cy="23036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650" b="0" i="0" u="none" strike="noStrike" baseline="0">
                <a:solidFill>
                  <a:srgbClr val="000080"/>
                </a:solidFill>
                <a:latin typeface="Arial Black"/>
              </a:rPr>
              <a:t>Instructions</a:t>
            </a:r>
          </a:p>
        </xdr:txBody>
      </xdr:sp>
    </xdr:grpSp>
    <xdr:clientData/>
  </xdr:twoCellAnchor>
  <xdr:twoCellAnchor>
    <xdr:from>
      <xdr:col>7</xdr:col>
      <xdr:colOff>895350</xdr:colOff>
      <xdr:row>0</xdr:row>
      <xdr:rowOff>114300</xdr:rowOff>
    </xdr:from>
    <xdr:to>
      <xdr:col>11</xdr:col>
      <xdr:colOff>347303</xdr:colOff>
      <xdr:row>2</xdr:row>
      <xdr:rowOff>192421</xdr:rowOff>
    </xdr:to>
    <xdr:grpSp>
      <xdr:nvGrpSpPr>
        <xdr:cNvPr id="6" name="Group 5"/>
        <xdr:cNvGrpSpPr/>
      </xdr:nvGrpSpPr>
      <xdr:grpSpPr>
        <a:xfrm>
          <a:off x="12269321" y="114300"/>
          <a:ext cx="3127482" cy="593592"/>
          <a:chOff x="7608794" y="145676"/>
          <a:chExt cx="3047258" cy="652342"/>
        </a:xfrm>
      </xdr:grpSpPr>
      <xdr:sp macro="[0]!MarkConfidential" textlink="">
        <xdr:nvSpPr>
          <xdr:cNvPr id="7" name="Rounded Rectangle 6"/>
          <xdr:cNvSpPr/>
        </xdr:nvSpPr>
        <xdr:spPr>
          <a:xfrm>
            <a:off x="7608794" y="145676"/>
            <a:ext cx="3047258" cy="269785"/>
          </a:xfrm>
          <a:prstGeom prst="roundRect">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200" b="1">
                <a:solidFill>
                  <a:srgbClr val="FF0000"/>
                </a:solidFill>
                <a:latin typeface="Calibri" panose="020F0502020204030204" pitchFamily="34" charset="0"/>
                <a:cs typeface="Calibri" panose="020F0502020204030204" pitchFamily="34" charset="0"/>
              </a:rPr>
              <a:t>Mark selected</a:t>
            </a:r>
            <a:r>
              <a:rPr lang="en-AU" sz="1200" b="1" baseline="0">
                <a:solidFill>
                  <a:srgbClr val="FF0000"/>
                </a:solidFill>
                <a:latin typeface="Calibri" panose="020F0502020204030204" pitchFamily="34" charset="0"/>
                <a:cs typeface="Calibri" panose="020F0502020204030204" pitchFamily="34" charset="0"/>
              </a:rPr>
              <a:t> cells CONFIDENTIAL</a:t>
            </a:r>
            <a:endParaRPr lang="en-AU" sz="12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8" name="Rounded Rectangle 7"/>
          <xdr:cNvSpPr/>
        </xdr:nvSpPr>
        <xdr:spPr>
          <a:xfrm>
            <a:off x="7608794" y="517036"/>
            <a:ext cx="3036935" cy="280982"/>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200" b="1">
                <a:solidFill>
                  <a:schemeClr val="accent6">
                    <a:lumMod val="75000"/>
                  </a:schemeClr>
                </a:solidFill>
              </a:rPr>
              <a:t>Return</a:t>
            </a:r>
            <a:r>
              <a:rPr lang="en-AU" sz="1200" b="1" baseline="0">
                <a:solidFill>
                  <a:schemeClr val="accent6">
                    <a:lumMod val="75000"/>
                  </a:schemeClr>
                </a:solidFill>
              </a:rPr>
              <a:t> cells to NON-CONFIDENTIAL</a:t>
            </a:r>
            <a:endParaRPr lang="en-AU" sz="1200" b="1">
              <a:solidFill>
                <a:schemeClr val="accent6">
                  <a:lumMod val="75000"/>
                </a:schemeClr>
              </a:solidFill>
            </a:endParaRPr>
          </a:p>
        </xdr:txBody>
      </xdr:sp>
    </xdr:grpSp>
    <xdr:clientData/>
  </xdr:twoCellAnchor>
</xdr:wsDr>
</file>

<file path=xl/drawings/drawing9.xml><?xml version="1.0" encoding="utf-8"?>
<xdr:wsDr xmlns:xdr="http://schemas.openxmlformats.org/drawingml/2006/spreadsheetDrawing" xmlns:a="http://schemas.openxmlformats.org/drawingml/2006/main">
  <xdr:twoCellAnchor>
    <xdr:from>
      <xdr:col>3</xdr:col>
      <xdr:colOff>227006</xdr:colOff>
      <xdr:row>0</xdr:row>
      <xdr:rowOff>21348</xdr:rowOff>
    </xdr:from>
    <xdr:to>
      <xdr:col>3</xdr:col>
      <xdr:colOff>1383418</xdr:colOff>
      <xdr:row>3</xdr:row>
      <xdr:rowOff>236565</xdr:rowOff>
    </xdr:to>
    <xdr:grpSp>
      <xdr:nvGrpSpPr>
        <xdr:cNvPr id="6" name="Group 5"/>
        <xdr:cNvGrpSpPr/>
      </xdr:nvGrpSpPr>
      <xdr:grpSpPr>
        <a:xfrm>
          <a:off x="227006" y="21348"/>
          <a:ext cx="1156412" cy="970648"/>
          <a:chOff x="0" y="1560739"/>
          <a:chExt cx="762000" cy="931132"/>
        </a:xfrm>
      </xdr:grpSpPr>
      <xdr:pic>
        <xdr:nvPicPr>
          <xdr:cNvPr id="7" name="Picture 3" descr="item"/>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60739"/>
            <a:ext cx="762000" cy="4898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8" name="AutoShape 4">
            <a:hlinkClick xmlns:r="http://schemas.openxmlformats.org/officeDocument/2006/relationships" r:id="rId2"/>
          </xdr:cNvPr>
          <xdr:cNvSpPr>
            <a:spLocks noChangeArrowheads="1"/>
          </xdr:cNvSpPr>
        </xdr:nvSpPr>
        <xdr:spPr bwMode="auto">
          <a:xfrm>
            <a:off x="19050" y="2039711"/>
            <a:ext cx="736671" cy="234132"/>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0" i="0" u="none" strike="noStrike" baseline="0">
                <a:solidFill>
                  <a:srgbClr val="000080"/>
                </a:solidFill>
                <a:latin typeface="Arial Black"/>
              </a:rPr>
              <a:t>Contents</a:t>
            </a:r>
          </a:p>
        </xdr:txBody>
      </xdr:sp>
      <xdr:sp macro="" textlink="">
        <xdr:nvSpPr>
          <xdr:cNvPr id="9" name="AutoShape 5">
            <a:hlinkClick xmlns:r="http://schemas.openxmlformats.org/officeDocument/2006/relationships" r:id="rId3"/>
          </xdr:cNvPr>
          <xdr:cNvSpPr>
            <a:spLocks noChangeArrowheads="1"/>
          </xdr:cNvSpPr>
        </xdr:nvSpPr>
        <xdr:spPr bwMode="auto">
          <a:xfrm>
            <a:off x="19050" y="2261507"/>
            <a:ext cx="736671" cy="23036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650" b="0" i="0" u="none" strike="noStrike" baseline="0">
                <a:solidFill>
                  <a:srgbClr val="000080"/>
                </a:solidFill>
                <a:latin typeface="Arial Black"/>
              </a:rPr>
              <a:t>Instructions</a:t>
            </a:r>
          </a:p>
        </xdr:txBody>
      </xdr:sp>
    </xdr:grpSp>
    <xdr:clientData/>
  </xdr:twoCellAnchor>
  <xdr:twoCellAnchor>
    <xdr:from>
      <xdr:col>11</xdr:col>
      <xdr:colOff>69273</xdr:colOff>
      <xdr:row>0</xdr:row>
      <xdr:rowOff>173181</xdr:rowOff>
    </xdr:from>
    <xdr:to>
      <xdr:col>14</xdr:col>
      <xdr:colOff>9599</xdr:colOff>
      <xdr:row>2</xdr:row>
      <xdr:rowOff>218397</xdr:rowOff>
    </xdr:to>
    <xdr:grpSp>
      <xdr:nvGrpSpPr>
        <xdr:cNvPr id="10" name="Group 9"/>
        <xdr:cNvGrpSpPr/>
      </xdr:nvGrpSpPr>
      <xdr:grpSpPr>
        <a:xfrm>
          <a:off x="14280135" y="173181"/>
          <a:ext cx="3093430" cy="548837"/>
          <a:chOff x="7608794" y="145676"/>
          <a:chExt cx="3047258" cy="652342"/>
        </a:xfrm>
      </xdr:grpSpPr>
      <xdr:sp macro="[0]!MarkConfidential" textlink="">
        <xdr:nvSpPr>
          <xdr:cNvPr id="11" name="Rounded Rectangle 10"/>
          <xdr:cNvSpPr/>
        </xdr:nvSpPr>
        <xdr:spPr>
          <a:xfrm>
            <a:off x="7608794" y="145676"/>
            <a:ext cx="3047258" cy="269785"/>
          </a:xfrm>
          <a:prstGeom prst="roundRect">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200" b="1">
                <a:solidFill>
                  <a:srgbClr val="FF0000"/>
                </a:solidFill>
                <a:latin typeface="Calibri" panose="020F0502020204030204" pitchFamily="34" charset="0"/>
                <a:cs typeface="Calibri" panose="020F0502020204030204" pitchFamily="34" charset="0"/>
              </a:rPr>
              <a:t>Mark selected</a:t>
            </a:r>
            <a:r>
              <a:rPr lang="en-AU" sz="1200" b="1" baseline="0">
                <a:solidFill>
                  <a:srgbClr val="FF0000"/>
                </a:solidFill>
                <a:latin typeface="Calibri" panose="020F0502020204030204" pitchFamily="34" charset="0"/>
                <a:cs typeface="Calibri" panose="020F0502020204030204" pitchFamily="34" charset="0"/>
              </a:rPr>
              <a:t> cells CONFIDENTIAL</a:t>
            </a:r>
            <a:endParaRPr lang="en-AU" sz="12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12" name="Rounded Rectangle 11"/>
          <xdr:cNvSpPr/>
        </xdr:nvSpPr>
        <xdr:spPr>
          <a:xfrm>
            <a:off x="7608794" y="517036"/>
            <a:ext cx="3036935" cy="280982"/>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200" b="1">
                <a:solidFill>
                  <a:schemeClr val="accent6">
                    <a:lumMod val="75000"/>
                  </a:schemeClr>
                </a:solidFill>
              </a:rPr>
              <a:t>Return</a:t>
            </a:r>
            <a:r>
              <a:rPr lang="en-AU" sz="1200" b="1" baseline="0">
                <a:solidFill>
                  <a:schemeClr val="accent6">
                    <a:lumMod val="75000"/>
                  </a:schemeClr>
                </a:solidFill>
              </a:rPr>
              <a:t> cells to NON-CONFIDENTIAL</a:t>
            </a:r>
            <a:endParaRPr lang="en-AU" sz="1200" b="1">
              <a:solidFill>
                <a:schemeClr val="accent6">
                  <a:lumMod val="75000"/>
                </a:schemeClr>
              </a:solidFill>
            </a:endParaRPr>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AER\DMT\TEMPLATES\RIN%20Templates\Benchmarking\Benchmarking%202015-16\DNSP%20-%20Benchmarking%20RIN%20-%202015-16%20blank%20template%20(unlocked)%20@%2020160329.xlsm"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Users\rbabitsk\AppData\Local\Microsoft\Windows\Temporary%20Internet%20Files\Content.Outlook\6C00SD00\AER%20-%20Final%20RIN%20%20MG%20GAAR%202018-22%20%20Regtemplates%20-%202016102.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nance/Financial%20Control/Corporate%20Finance/Stat%20&amp;%20Reg%20Accts/AER%202018%20to%202022%20Reset%20RIN%20Templates/Jemena%20-%20Related%20Party%20Capex%20Opex%20Maint%20ARS.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Operations/MG%20NETWORK%20MANAGEMENT/9.%20Revenue%20Management/Revenue/Tariffs%20&amp;%20Charges/Tariff%20Reports/2017/MGH2016v2017ratechanges.xlsm"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Operations/MG%20NETWORK%20MANAGEMENT/9.%20Revenue%20Management/Revenue/Price%20Review%20(GAAR)/2018-2022/PTRM%20Models/PTRM%207-11-16.xlsm"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nance/Financial%20Control/Corporate%20Finance/Stat%20&amp;%20Reg%20Accts/Yearend%20Dec%202016/Regulatory%20Accounts/MG%20RIN/MG%20Reset%20Rin/Copy%20of%20Related%20Party%20transactions%20CY2013.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nance/Financial%20Control/Corporate%20Finance/ECM%20model/MG%20ECM/MG%20Opex%202013-17%20Draft%20ECM%20forecast%20Sep%2016%20Sent%20to%20reg.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Regulation/03.%20Multinet/22.22.03%202018%20GAAR/0.0%20FINAL%202018-22%20AA%20Proposal%20-%20All%20Docs%20-%20Filed%20with%20AER%20211216/0.1%20MG%20AAR%20Pricing%20Model.xlsm"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Regulation/03.%20Multinet/22.22.03%202018%20GAAR/Models/PTRM%20&amp;%20RFM/PTRM%20Scenarios/Models%20for%20submission%20final/GAAR%20Proposal%20Tables%20and%20Graphs%20Version%200.2.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Users\rbabitsk\AppData\Local\Microsoft\Windows\Temporary%20Internet%20Files\Content.Outlook\6C00SD00\RIN%20%20MG%20GAAR%202018-22%20%20Regtemplates%20V1%20Revenue%2023-11-16%20(002).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Users\SHarriso\AppData\Roaming\Microsoft\Excel\GARR%20summary%20RIN%20template_27_3_2012%20(version%201).xlsb"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jbialeck\AppData\Local\Microsoft\Windows\Temporary%20Internet%20Files\Content.Outlook\GFA9HXHX\RIN%20%20MG%20GAAR%202018-22%20%20Regtemplates%20V1%20Revenue%2023-11-16.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Users\SHarriso\AppData\Roaming\Microsoft\Excel\NIEIR%20detailed%20Forecast%20for%20RIN%20&amp;%20PTRM%2010-11-16%20(version%201).xlsb"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Users\SHarriso\AppData\Roaming\Microsoft\Excel\PTRM%207-11-16%20(version%201).xlsb"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Operations/MG%20NETWORK%20MANAGEMENT/9.%20Revenue%20Management/Revenue/Price%20Review%20(GAAR)/2013-2017/RIN/Final/GARR%20summary%20RIN%20template_27_3_2012.xlsm"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Operations/MG%20NETWORK%20MANAGEMENT/9.%20Revenue%20Management/Revenue/Price%20Review%20(GAAR)/2018-2022/RIN%20MG%20GAAR%202018-22/NIEIR%20detailed%20Forecast%20for%20RIN%20&amp;%20PTRM%2010-11-1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uemgfileshare02\USERS\jbialeck\My%20Documents\WPM\RIN\Final%20RINs\Vic%20GAAR%202018-22%20Draft%20RIN%20regulatory%20templates%20-%20Multinet%20-%2020160922%20JB%20+%20Data.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Regulation/03.%20Multinet/22.22.03%202018%20GAAR/0.0%20FINAL%202018-22%20AA%20Proposal%20-%20All%20Docs%20-%20Filed%20with%20AER%20211216/0.11D_Final%202018-22%20Reset%20RIN%20Templates%20-%20MG%20response%20150217%20resubmitted%2010032013.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Regulation/03.%20Multinet/03.20.%20RIN%202013%20-%202017/RIN%202016/1.%20Lodge%20with%20AER/Final%20Submission/Appendix%20A%20-Multinet%20Financial%20RIN%202016%20Submission.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Regulation/03.%20Multinet/22.22.03%202018%20GAAR/Draft%20Decision/Final%20submission/Revised%20AAI%20models%20-%20Aug%2014%202017/MG%20DD%20Resp%20RFM.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Users\aschille\AppData\Local\Microsoft\Windows\Temporary%20Internet%20Files\Content.Outlook\ORWRHY0N\MG%20-%20IR%2310%20-%200.3C%20Capex%20Model%20Revised%20-%2007032017-%20CONFIDENTIAL%200.1.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Regulation/03.%20Multinet/22.22.03%202018%20GAAR/Draft%20Decision/Final%20submission/Revised%20AAI%20models%20-%20Aug%2014%202017/Rev%20AAI%20Tables.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Regulation/03.%20Multinet/22.22.03%202018%20GAAR/Models/PTRM%20&amp;%20RFM/PTRM%20Scenarios/Models%20for%20submission%20final/0.5%20Opex%20and%20ECM%20Mode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ER only"/>
      <sheetName val="Instructions"/>
      <sheetName val="Contents"/>
      <sheetName val="Business &amp; other details"/>
      <sheetName val="3.1 Revenue"/>
      <sheetName val="3.2 Operating expenditure"/>
      <sheetName val="3.2.3 Provisions"/>
      <sheetName val="3.3 Assets (RAB)"/>
      <sheetName val="3.4 Operational data"/>
      <sheetName val="3.5 Physical assets"/>
      <sheetName val="3.6 Quality of service"/>
      <sheetName val="3.7 Operating environment"/>
      <sheetName val="Unlocked worksheet"/>
    </sheetNames>
    <sheetDataSet>
      <sheetData sheetId="0">
        <row r="12">
          <cell r="G12" t="str">
            <v>dms_Segment_List</v>
          </cell>
        </row>
        <row r="13">
          <cell r="G13" t="str">
            <v>Distribution</v>
          </cell>
        </row>
        <row r="14">
          <cell r="G14" t="str">
            <v>Distribution</v>
          </cell>
        </row>
        <row r="15">
          <cell r="G15" t="str">
            <v>Distribution</v>
          </cell>
        </row>
        <row r="16">
          <cell r="G16" t="str">
            <v>Distribution</v>
          </cell>
        </row>
        <row r="17">
          <cell r="G17" t="str">
            <v>Distribution</v>
          </cell>
        </row>
        <row r="18">
          <cell r="G18" t="str">
            <v>Distribution</v>
          </cell>
        </row>
        <row r="19">
          <cell r="G19" t="str">
            <v>Transmission</v>
          </cell>
        </row>
        <row r="20">
          <cell r="G20" t="str">
            <v>Distribution</v>
          </cell>
        </row>
        <row r="21">
          <cell r="G21" t="str">
            <v>Transmission</v>
          </cell>
        </row>
        <row r="22">
          <cell r="G22" t="str">
            <v>Distribution</v>
          </cell>
        </row>
        <row r="23">
          <cell r="G23" t="str">
            <v>Transmission</v>
          </cell>
        </row>
        <row r="24">
          <cell r="G24" t="str">
            <v>Transmission</v>
          </cell>
        </row>
        <row r="25">
          <cell r="G25" t="str">
            <v>Distribution</v>
          </cell>
        </row>
        <row r="26">
          <cell r="G26" t="str">
            <v>Distribution</v>
          </cell>
        </row>
        <row r="27">
          <cell r="G27" t="str">
            <v>Distribution</v>
          </cell>
        </row>
        <row r="28">
          <cell r="G28" t="str">
            <v>Distribution</v>
          </cell>
        </row>
        <row r="29">
          <cell r="G29" t="str">
            <v>Distribution</v>
          </cell>
        </row>
        <row r="30">
          <cell r="G30" t="str">
            <v>Transmission</v>
          </cell>
        </row>
        <row r="31">
          <cell r="G31" t="str">
            <v>Distribution</v>
          </cell>
        </row>
        <row r="32">
          <cell r="G32" t="str">
            <v>Transmission</v>
          </cell>
        </row>
        <row r="33">
          <cell r="G33" t="str">
            <v>Distribution</v>
          </cell>
        </row>
        <row r="34">
          <cell r="G34" t="str">
            <v>Distribution</v>
          </cell>
        </row>
        <row r="35">
          <cell r="G35" t="str">
            <v>Distribution</v>
          </cell>
        </row>
        <row r="36">
          <cell r="G36" t="str">
            <v>Transmission</v>
          </cell>
        </row>
        <row r="37">
          <cell r="G37" t="str">
            <v>Transmission</v>
          </cell>
        </row>
        <row r="38">
          <cell r="G38" t="str">
            <v>Distribution</v>
          </cell>
        </row>
        <row r="39">
          <cell r="G39" t="str">
            <v>Distribution</v>
          </cell>
        </row>
        <row r="40">
          <cell r="G40" t="str">
            <v>Distribution</v>
          </cell>
        </row>
        <row r="41">
          <cell r="G41" t="str">
            <v>Distribution</v>
          </cell>
        </row>
        <row r="42">
          <cell r="G42" t="str">
            <v>Transmission</v>
          </cell>
        </row>
        <row r="58">
          <cell r="G58" t="str">
            <v>dms_CRCPlength_Num_List</v>
          </cell>
        </row>
        <row r="59">
          <cell r="G59">
            <v>1</v>
          </cell>
        </row>
        <row r="60">
          <cell r="G60">
            <v>2</v>
          </cell>
        </row>
        <row r="61">
          <cell r="G61">
            <v>3</v>
          </cell>
        </row>
        <row r="62">
          <cell r="G62">
            <v>4</v>
          </cell>
        </row>
        <row r="63">
          <cell r="G63">
            <v>5</v>
          </cell>
        </row>
        <row r="64">
          <cell r="G64">
            <v>6</v>
          </cell>
        </row>
        <row r="65">
          <cell r="G65">
            <v>7</v>
          </cell>
        </row>
        <row r="66">
          <cell r="G66">
            <v>8</v>
          </cell>
        </row>
        <row r="67">
          <cell r="G67">
            <v>9</v>
          </cell>
        </row>
        <row r="68">
          <cell r="G68">
            <v>10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ER only"/>
      <sheetName val="Contents"/>
      <sheetName val="Instructions"/>
      <sheetName val="Business &amp; other details"/>
      <sheetName val="1. CPI"/>
      <sheetName val="2. Escalators"/>
      <sheetName val="3 - Capex summary"/>
      <sheetName val="4. Connections market expansn"/>
      <sheetName val="5. Mains augmentation"/>
      <sheetName val="6. Mains replacement"/>
      <sheetName val="7. Telemetry"/>
      <sheetName val="8. Meter replacement"/>
      <sheetName val="9. Other capex"/>
      <sheetName val="12. IT"/>
      <sheetName val="14. Overheads"/>
      <sheetName val="15. Related party transactions"/>
      <sheetName val="16. Capex allocation"/>
      <sheetName val="17. Gross Capex "/>
      <sheetName val="20. Changes in provisions"/>
      <sheetName val="21 - Indicative bill impacts"/>
      <sheetName val="22. WACC Inputs"/>
      <sheetName val="23.1 Opex incl. RPM"/>
      <sheetName val="23.2 Opex excl. RPM"/>
      <sheetName val="23.3 Opex base-step-trend"/>
      <sheetName val="23.4 Opex Incentive Mechanism"/>
      <sheetName val="24. Cost category matrix"/>
      <sheetName val="25. ARS"/>
      <sheetName val="26. Allocation of total revenue"/>
      <sheetName val="27. Customer numbers"/>
      <sheetName val="28. Consumption and demand"/>
      <sheetName val="29.1 Gas extenstions ($)"/>
      <sheetName val="29.2 Gas extenstions cust no"/>
      <sheetName val="29.3 Gas extensions - demand"/>
      <sheetName val="29.4 Gas extensions - tariffs"/>
      <sheetName val="30. Network characteristics"/>
      <sheetName val="31 - Pass throughs"/>
      <sheetName val="AER - Final RIN  MG GAAR 2018-2"/>
    </sheetNames>
    <definedNames>
      <definedName name="MarkConfidential"/>
      <definedName name="MarkNonConfidential"/>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21">
          <cell r="B21" t="str">
            <v>Transmission and distribution</v>
          </cell>
        </row>
        <row r="22">
          <cell r="B22" t="str">
            <v>Services</v>
          </cell>
        </row>
        <row r="23">
          <cell r="B23" t="str">
            <v>Cathodic Protection</v>
          </cell>
        </row>
        <row r="24">
          <cell r="B24" t="str">
            <v>Supply Regs/Valve stations</v>
          </cell>
        </row>
        <row r="25">
          <cell r="B25" t="str">
            <v>Meters</v>
          </cell>
        </row>
        <row r="26">
          <cell r="B26" t="str">
            <v>Land</v>
          </cell>
        </row>
        <row r="27">
          <cell r="B27" t="str">
            <v>IT system</v>
          </cell>
        </row>
        <row r="28">
          <cell r="B28" t="str">
            <v>SCADA</v>
          </cell>
        </row>
        <row r="29">
          <cell r="B29" t="str">
            <v>Other</v>
          </cell>
        </row>
        <row r="30">
          <cell r="B30" t="str">
            <v>Buildings</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23">
          <cell r="S23">
            <v>12304.672897196262</v>
          </cell>
          <cell r="T23">
            <v>20030.841121495327</v>
          </cell>
          <cell r="U23">
            <v>27367.896618130839</v>
          </cell>
          <cell r="V23">
            <v>11097.186305607476</v>
          </cell>
        </row>
        <row r="24">
          <cell r="S24">
            <v>8488.7850467289718</v>
          </cell>
          <cell r="T24">
            <v>9771.0280373831774</v>
          </cell>
          <cell r="U24">
            <v>10499.35856140185</v>
          </cell>
          <cell r="V24">
            <v>13773.200320747681</v>
          </cell>
        </row>
        <row r="25">
          <cell r="S25">
            <v>3.7383177570093453</v>
          </cell>
          <cell r="T25">
            <v>114.95327102803739</v>
          </cell>
          <cell r="U25">
            <v>43.785894205607484</v>
          </cell>
          <cell r="V25">
            <v>98.618492897196262</v>
          </cell>
        </row>
        <row r="26">
          <cell r="S26">
            <v>656.07476635514013</v>
          </cell>
          <cell r="T26">
            <v>803.73831775700944</v>
          </cell>
          <cell r="U26">
            <v>862.91541757009338</v>
          </cell>
          <cell r="V26">
            <v>798.79206700934606</v>
          </cell>
        </row>
        <row r="27">
          <cell r="S27">
            <v>3051.4018691588785</v>
          </cell>
          <cell r="T27">
            <v>3128.9719626168226</v>
          </cell>
          <cell r="U27">
            <v>3536.4777517757011</v>
          </cell>
          <cell r="V27">
            <v>2738.3512846728972</v>
          </cell>
        </row>
        <row r="28">
          <cell r="S28">
            <v>0</v>
          </cell>
          <cell r="T28">
            <v>0</v>
          </cell>
          <cell r="U28">
            <v>0</v>
          </cell>
          <cell r="V28">
            <v>0</v>
          </cell>
        </row>
        <row r="29">
          <cell r="S29">
            <v>4667.2897196261683</v>
          </cell>
          <cell r="T29">
            <v>19411.214953271028</v>
          </cell>
          <cell r="U29">
            <v>28385.181549439272</v>
          </cell>
          <cell r="V29">
            <v>24571.634439999994</v>
          </cell>
        </row>
        <row r="30">
          <cell r="S30">
            <v>3.7383177570093453</v>
          </cell>
          <cell r="T30">
            <v>64.485981308411212</v>
          </cell>
          <cell r="U30">
            <v>86.455604018691574</v>
          </cell>
          <cell r="V30">
            <v>141.53980457943931</v>
          </cell>
        </row>
        <row r="31">
          <cell r="S31">
            <v>167.28971962616822</v>
          </cell>
          <cell r="T31">
            <v>113.08411214953271</v>
          </cell>
          <cell r="U31">
            <v>620.21927775700931</v>
          </cell>
          <cell r="V31">
            <v>87.467219999999998</v>
          </cell>
        </row>
        <row r="32">
          <cell r="S32">
            <v>0</v>
          </cell>
          <cell r="T32">
            <v>0</v>
          </cell>
          <cell r="U32">
            <v>0</v>
          </cell>
          <cell r="V32">
            <v>1809.3730699999996</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onentDetailed"/>
      <sheetName val="ComponentAverage"/>
      <sheetName val="TariffVResChartv2"/>
      <sheetName val="TariffVResChart"/>
      <sheetName val="TariffVCommChartv2"/>
      <sheetName val="TariffVCommChart"/>
      <sheetName val="TariffDChart"/>
      <sheetName val="AvPriceMove"/>
      <sheetName val="CustomerChange"/>
      <sheetName val="Consumption Blocks"/>
      <sheetName val="Ancillary tariffs"/>
      <sheetName val="MHQ tables"/>
    </sheetNames>
    <sheetDataSet>
      <sheetData sheetId="0"/>
      <sheetData sheetId="1">
        <row r="9">
          <cell r="I9">
            <v>281.58468799464816</v>
          </cell>
        </row>
        <row r="20">
          <cell r="I20">
            <v>541.73926748226097</v>
          </cell>
        </row>
      </sheetData>
      <sheetData sheetId="2"/>
      <sheetData sheetId="3"/>
      <sheetData sheetId="4"/>
      <sheetData sheetId="5"/>
      <sheetData sheetId="6"/>
      <sheetData sheetId="7"/>
      <sheetData sheetId="8">
        <row r="83">
          <cell r="I83">
            <v>1268.1256249293715</v>
          </cell>
        </row>
        <row r="140">
          <cell r="J140">
            <v>6117.0823380020174</v>
          </cell>
        </row>
      </sheetData>
      <sheetData sheetId="9"/>
      <sheetData sheetId="10"/>
      <sheetData sheetId="1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ER only"/>
      <sheetName val="Intro"/>
      <sheetName val="DMS input"/>
      <sheetName val="PTRM input"/>
      <sheetName val="WACC"/>
      <sheetName val="Assets"/>
      <sheetName val="Analysis"/>
      <sheetName val="Forecast revenues"/>
      <sheetName val="X factors"/>
      <sheetName val="Revenue summary"/>
      <sheetName val="Equity raising costs"/>
      <sheetName val="Chart 1-Revenue"/>
      <sheetName val="Chart 2-Price path"/>
      <sheetName val="Chart 3-Building blocks"/>
      <sheetName val="PTRM 7-11-16"/>
    </sheetNames>
    <sheetDataSet>
      <sheetData sheetId="0"/>
      <sheetData sheetId="1"/>
      <sheetData sheetId="2"/>
      <sheetData sheetId="3">
        <row r="242">
          <cell r="F242">
            <v>43055.938511655288</v>
          </cell>
        </row>
        <row r="314">
          <cell r="M314">
            <v>3496038.5709682787</v>
          </cell>
          <cell r="N314">
            <v>3446446.9244342539</v>
          </cell>
          <cell r="O314">
            <v>3399842.3109444343</v>
          </cell>
          <cell r="P314">
            <v>3345846.9165954473</v>
          </cell>
          <cell r="Q314">
            <v>3295992.2279378446</v>
          </cell>
          <cell r="S314">
            <v>1678887.3805360412</v>
          </cell>
          <cell r="T314">
            <v>1657164.1682873429</v>
          </cell>
          <cell r="U314">
            <v>1636818.8050783714</v>
          </cell>
          <cell r="V314">
            <v>1612878.6424198807</v>
          </cell>
          <cell r="W314">
            <v>1590863.3185538249</v>
          </cell>
          <cell r="Y314">
            <v>4068403.2861992917</v>
          </cell>
          <cell r="Z314">
            <v>4031675.1475406419</v>
          </cell>
          <cell r="AA314">
            <v>3997931.3624610384</v>
          </cell>
          <cell r="AB314">
            <v>3955164.687257627</v>
          </cell>
          <cell r="AC314">
            <v>3916661.2961718785</v>
          </cell>
        </row>
        <row r="315">
          <cell r="M315">
            <v>3052467.2620682572</v>
          </cell>
          <cell r="N315">
            <v>3009385.3993639951</v>
          </cell>
          <cell r="O315">
            <v>2968911.3967462163</v>
          </cell>
          <cell r="P315">
            <v>2921984.7964754049</v>
          </cell>
          <cell r="Q315">
            <v>2878673.2821251811</v>
          </cell>
          <cell r="S315">
            <v>1318683.9846581572</v>
          </cell>
          <cell r="T315">
            <v>1301808.3037057444</v>
          </cell>
          <cell r="U315">
            <v>1286014.7044542029</v>
          </cell>
          <cell r="V315">
            <v>1267397.9608737321</v>
          </cell>
          <cell r="W315">
            <v>1250292.8726156999</v>
          </cell>
          <cell r="Y315">
            <v>1922462.2739821463</v>
          </cell>
          <cell r="Z315">
            <v>1924719.7181492492</v>
          </cell>
          <cell r="AA315">
            <v>1928373.1152258401</v>
          </cell>
          <cell r="AB315">
            <v>1927805.9903747495</v>
          </cell>
          <cell r="AC315">
            <v>1929233.0474161163</v>
          </cell>
        </row>
        <row r="316">
          <cell r="M316">
            <v>2681632.7159628677</v>
          </cell>
          <cell r="N316">
            <v>2643993.1636229544</v>
          </cell>
          <cell r="O316">
            <v>2608644.4751417465</v>
          </cell>
          <cell r="P316">
            <v>2567627.5290593291</v>
          </cell>
          <cell r="Q316">
            <v>2529786.2401851001</v>
          </cell>
          <cell r="S316">
            <v>1000877.6103028111</v>
          </cell>
          <cell r="T316">
            <v>987832.82640919916</v>
          </cell>
          <cell r="U316">
            <v>975609.53098750918</v>
          </cell>
          <cell r="V316">
            <v>961242.97732670372</v>
          </cell>
          <cell r="W316">
            <v>948024.03333336033</v>
          </cell>
          <cell r="Y316">
            <v>890479.29549417784</v>
          </cell>
          <cell r="Z316">
            <v>881885.98970268737</v>
          </cell>
          <cell r="AA316">
            <v>873946.2928356817</v>
          </cell>
          <cell r="AB316">
            <v>864030.4757291131</v>
          </cell>
          <cell r="AC316">
            <v>855048.36854434549</v>
          </cell>
        </row>
        <row r="317">
          <cell r="M317">
            <v>4309852.7603846919</v>
          </cell>
          <cell r="N317">
            <v>4247967.7070497898</v>
          </cell>
          <cell r="O317">
            <v>4189765.6450335304</v>
          </cell>
          <cell r="P317">
            <v>4122450.8007549131</v>
          </cell>
          <cell r="Q317">
            <v>4060241.4182802793</v>
          </cell>
          <cell r="S317">
            <v>1318968.1697661662</v>
          </cell>
          <cell r="T317">
            <v>1316885.2652773079</v>
          </cell>
          <cell r="U317">
            <v>1315872.687506286</v>
          </cell>
          <cell r="V317">
            <v>1312067.6340828908</v>
          </cell>
          <cell r="W317">
            <v>1309757.8144098339</v>
          </cell>
          <cell r="Y317">
            <v>806185.02247969806</v>
          </cell>
          <cell r="Z317">
            <v>798405.17351774883</v>
          </cell>
          <cell r="AA317">
            <v>791217.06175636663</v>
          </cell>
          <cell r="AB317">
            <v>782239.89263248804</v>
          </cell>
          <cell r="AC317">
            <v>774108.04687334737</v>
          </cell>
        </row>
        <row r="318">
          <cell r="M318">
            <v>8075604.6466282737</v>
          </cell>
          <cell r="N318">
            <v>8004186.2673593955</v>
          </cell>
          <cell r="O318">
            <v>7939631.3863961548</v>
          </cell>
          <cell r="P318">
            <v>7858094.2320018718</v>
          </cell>
          <cell r="Q318">
            <v>7786071.4438956007</v>
          </cell>
          <cell r="S318">
            <v>1697742.3732452223</v>
          </cell>
          <cell r="T318">
            <v>1674894.5617544979</v>
          </cell>
          <cell r="U318">
            <v>1653440.7869373427</v>
          </cell>
          <cell r="V318">
            <v>1628349.9792361283</v>
          </cell>
          <cell r="W318">
            <v>1605206.6242601376</v>
          </cell>
          <cell r="Y318">
            <v>1042773.9003942504</v>
          </cell>
          <cell r="Z318">
            <v>1032710.9207799966</v>
          </cell>
          <cell r="AA318">
            <v>1023413.3338379433</v>
          </cell>
          <cell r="AB318">
            <v>1011801.6598415542</v>
          </cell>
          <cell r="AC318">
            <v>1001283.383908343</v>
          </cell>
        </row>
        <row r="328">
          <cell r="M328">
            <v>28168.646648805476</v>
          </cell>
          <cell r="N328">
            <v>28460.505724723247</v>
          </cell>
          <cell r="O328">
            <v>28709.765260220083</v>
          </cell>
          <cell r="P328">
            <v>28817.12905188058</v>
          </cell>
          <cell r="Q328">
            <v>28882.204152065238</v>
          </cell>
          <cell r="S328">
            <v>15080.365143671477</v>
          </cell>
          <cell r="T328">
            <v>15196.105373843542</v>
          </cell>
          <cell r="U328">
            <v>15288.475188345745</v>
          </cell>
          <cell r="V328">
            <v>15304.916627899778</v>
          </cell>
          <cell r="W328">
            <v>15298.794826330546</v>
          </cell>
          <cell r="Y328">
            <v>31229.118712248521</v>
          </cell>
          <cell r="Z328">
            <v>31859.009321961319</v>
          </cell>
          <cell r="AA328">
            <v>32449.63329516798</v>
          </cell>
          <cell r="AB328">
            <v>32886.459756928998</v>
          </cell>
          <cell r="AC328">
            <v>33279.644467529295</v>
          </cell>
        </row>
        <row r="329">
          <cell r="M329">
            <v>23840.432623807425</v>
          </cell>
          <cell r="N329">
            <v>24089.261753220086</v>
          </cell>
          <cell r="O329">
            <v>24302.039688999819</v>
          </cell>
          <cell r="P329">
            <v>24394.733912932319</v>
          </cell>
          <cell r="Q329">
            <v>24451.640008875318</v>
          </cell>
          <cell r="S329">
            <v>11380.512794082515</v>
          </cell>
          <cell r="T329">
            <v>11469.333995381981</v>
          </cell>
          <cell r="U329">
            <v>11540.520840480434</v>
          </cell>
          <cell r="V329">
            <v>11554.415251053348</v>
          </cell>
          <cell r="W329">
            <v>11551.284366199865</v>
          </cell>
          <cell r="Y329">
            <v>13785.099123100465</v>
          </cell>
          <cell r="Z329">
            <v>14198.081728013074</v>
          </cell>
          <cell r="AA329">
            <v>14593.904487034213</v>
          </cell>
          <cell r="AB329">
            <v>14922.516457718899</v>
          </cell>
          <cell r="AC329">
            <v>15232.056621114087</v>
          </cell>
        </row>
        <row r="330">
          <cell r="M330">
            <v>20609.663555315175</v>
          </cell>
          <cell r="N330">
            <v>20826.373242531896</v>
          </cell>
          <cell r="O330">
            <v>21011.919709799586</v>
          </cell>
          <cell r="P330">
            <v>21093.663924007513</v>
          </cell>
          <cell r="Q330">
            <v>21144.472316354542</v>
          </cell>
          <cell r="S330">
            <v>8368.3988607666379</v>
          </cell>
          <cell r="T330">
            <v>8432.2212902612646</v>
          </cell>
          <cell r="U330">
            <v>8483.0743734286098</v>
          </cell>
          <cell r="V330">
            <v>8491.791218855009</v>
          </cell>
          <cell r="W330">
            <v>8487.986657194464</v>
          </cell>
          <cell r="Y330">
            <v>7137.3732699000584</v>
          </cell>
          <cell r="Z330">
            <v>7277.3672394983596</v>
          </cell>
          <cell r="AA330">
            <v>7408.3817816235305</v>
          </cell>
          <cell r="AB330">
            <v>7504.2261711088549</v>
          </cell>
          <cell r="AC330">
            <v>7590.0906393629102</v>
          </cell>
        </row>
        <row r="331">
          <cell r="M331">
            <v>32762.380384541102</v>
          </cell>
          <cell r="N331">
            <v>33421.809817695561</v>
          </cell>
          <cell r="O331">
            <v>34032.181555335097</v>
          </cell>
          <cell r="P331">
            <v>34479.145938641639</v>
          </cell>
          <cell r="Q331">
            <v>34877.410600551033</v>
          </cell>
          <cell r="S331">
            <v>10151.981840995959</v>
          </cell>
          <cell r="T331">
            <v>10334.149362343516</v>
          </cell>
          <cell r="U331">
            <v>10500.746917444118</v>
          </cell>
          <cell r="V331">
            <v>10616.759054988212</v>
          </cell>
          <cell r="W331">
            <v>10717.738986529903</v>
          </cell>
          <cell r="Y331">
            <v>6094.4167690896829</v>
          </cell>
          <cell r="Z331">
            <v>6213.9539662668831</v>
          </cell>
          <cell r="AA331">
            <v>6325.8238646634718</v>
          </cell>
          <cell r="AB331">
            <v>6407.6628875664601</v>
          </cell>
          <cell r="AC331">
            <v>6480.9803161789341</v>
          </cell>
        </row>
        <row r="332">
          <cell r="M332">
            <v>58640.367755182408</v>
          </cell>
          <cell r="N332">
            <v>59223.354611417344</v>
          </cell>
          <cell r="O332">
            <v>59717.621856833714</v>
          </cell>
          <cell r="P332">
            <v>59916.371004036431</v>
          </cell>
          <cell r="Q332">
            <v>60027.047927626161</v>
          </cell>
          <cell r="S332">
            <v>15161.873091730995</v>
          </cell>
          <cell r="T332">
            <v>15272.186385601844</v>
          </cell>
          <cell r="U332">
            <v>15358.993496658954</v>
          </cell>
          <cell r="V332">
            <v>15369.431137549404</v>
          </cell>
          <cell r="W332">
            <v>15357.174459339753</v>
          </cell>
          <cell r="Y332">
            <v>10741.303374115038</v>
          </cell>
          <cell r="Z332">
            <v>10951.985601475</v>
          </cell>
          <cell r="AA332">
            <v>11149.154348319444</v>
          </cell>
          <cell r="AB332">
            <v>11293.394200326391</v>
          </cell>
          <cell r="AC332">
            <v>11422.61489086578</v>
          </cell>
        </row>
        <row r="342">
          <cell r="M342">
            <v>25368.255154473467</v>
          </cell>
          <cell r="N342">
            <v>26336.524289619916</v>
          </cell>
          <cell r="O342">
            <v>27268.186603895108</v>
          </cell>
          <cell r="P342">
            <v>28699.021828262008</v>
          </cell>
          <cell r="Q342">
            <v>29876.720089547071</v>
          </cell>
          <cell r="S342">
            <v>10553.26655422136</v>
          </cell>
          <cell r="T342">
            <v>11046.053570808865</v>
          </cell>
          <cell r="U342">
            <v>11245.235585613462</v>
          </cell>
          <cell r="V342">
            <v>11904.371921638636</v>
          </cell>
          <cell r="W342">
            <v>12401.726496206062</v>
          </cell>
          <cell r="Y342">
            <v>17160.223723427163</v>
          </cell>
          <cell r="Z342">
            <v>17978.003685135962</v>
          </cell>
          <cell r="AA342">
            <v>18562.335704122946</v>
          </cell>
          <cell r="AB342">
            <v>19451.127313804376</v>
          </cell>
          <cell r="AC342">
            <v>20279.972957485083</v>
          </cell>
        </row>
        <row r="343">
          <cell r="M343">
            <v>18839.806439284734</v>
          </cell>
          <cell r="N343">
            <v>19583.979169536051</v>
          </cell>
          <cell r="O343">
            <v>20295.027897306521</v>
          </cell>
          <cell r="P343">
            <v>21354.31395097695</v>
          </cell>
          <cell r="Q343">
            <v>22213.933718504486</v>
          </cell>
          <cell r="S343">
            <v>5874.6004544168718</v>
          </cell>
          <cell r="T343">
            <v>6150.3509664767007</v>
          </cell>
          <cell r="U343">
            <v>6444.6515147366335</v>
          </cell>
          <cell r="V343">
            <v>6886.9335659754142</v>
          </cell>
          <cell r="W343">
            <v>7232.6279592804494</v>
          </cell>
          <cell r="Y343">
            <v>5173.495832358155</v>
          </cell>
          <cell r="Z343">
            <v>5456.3834771803622</v>
          </cell>
          <cell r="AA343">
            <v>5798.5944038804219</v>
          </cell>
          <cell r="AB343">
            <v>6204.6339594059018</v>
          </cell>
          <cell r="AC343">
            <v>6529.8777935278413</v>
          </cell>
        </row>
        <row r="344">
          <cell r="M344">
            <v>14487.247229759058</v>
          </cell>
          <cell r="N344">
            <v>15085.585438397633</v>
          </cell>
          <cell r="O344">
            <v>15689.137864358774</v>
          </cell>
          <cell r="P344">
            <v>16468.338659494122</v>
          </cell>
          <cell r="Q344">
            <v>17134.995571210464</v>
          </cell>
          <cell r="S344">
            <v>3290.0466636206656</v>
          </cell>
          <cell r="T344">
            <v>3403.2466794909365</v>
          </cell>
          <cell r="U344">
            <v>3608.5974835594716</v>
          </cell>
          <cell r="V344">
            <v>3759.9578962875335</v>
          </cell>
          <cell r="W344">
            <v>3908.2584124732489</v>
          </cell>
          <cell r="Y344">
            <v>2283.8418603171494</v>
          </cell>
          <cell r="Z344">
            <v>2337.6138439415276</v>
          </cell>
          <cell r="AA344">
            <v>2491.0111102217325</v>
          </cell>
          <cell r="AB344">
            <v>2613.7735667126253</v>
          </cell>
          <cell r="AC344">
            <v>2707.1007704513631</v>
          </cell>
        </row>
        <row r="345">
          <cell r="M345">
            <v>18840.276116141293</v>
          </cell>
          <cell r="N345">
            <v>19937.598311902802</v>
          </cell>
          <cell r="O345">
            <v>21064.85361460732</v>
          </cell>
          <cell r="P345">
            <v>22172.123241274483</v>
          </cell>
          <cell r="Q345">
            <v>23299.420002532108</v>
          </cell>
          <cell r="S345">
            <v>2854.7324097399528</v>
          </cell>
          <cell r="T345">
            <v>2990.9829749784831</v>
          </cell>
          <cell r="U345">
            <v>3254.1678301092352</v>
          </cell>
          <cell r="V345">
            <v>3305.0576006597385</v>
          </cell>
          <cell r="W345">
            <v>3436.399583528937</v>
          </cell>
          <cell r="Y345">
            <v>1842.890402048984</v>
          </cell>
          <cell r="Z345">
            <v>1906.6139684460793</v>
          </cell>
          <cell r="AA345">
            <v>2072.5861790522604</v>
          </cell>
          <cell r="AB345">
            <v>2132.381539810704</v>
          </cell>
          <cell r="AC345">
            <v>2211.1912686853484</v>
          </cell>
        </row>
        <row r="346">
          <cell r="M346">
            <v>20450.100533065372</v>
          </cell>
          <cell r="N346">
            <v>21939.687571467894</v>
          </cell>
          <cell r="O346">
            <v>23159.749401572408</v>
          </cell>
          <cell r="P346">
            <v>23455.108018673582</v>
          </cell>
          <cell r="Q346">
            <v>24549.704171689911</v>
          </cell>
          <cell r="S346">
            <v>3118.3353339380446</v>
          </cell>
          <cell r="T346">
            <v>3399.4781778158085</v>
          </cell>
          <cell r="U346">
            <v>3656.2371966275555</v>
          </cell>
          <cell r="V346">
            <v>3591.0701053241301</v>
          </cell>
          <cell r="W346">
            <v>3772.4095600503892</v>
          </cell>
          <cell r="Y346">
            <v>5410.5454176435796</v>
          </cell>
          <cell r="Z346">
            <v>5809.8507252254203</v>
          </cell>
          <cell r="AA346">
            <v>6081.6899008659939</v>
          </cell>
          <cell r="AB346">
            <v>6146.4594800035693</v>
          </cell>
          <cell r="AC346">
            <v>6443.6041972731591</v>
          </cell>
        </row>
      </sheetData>
      <sheetData sheetId="4"/>
      <sheetData sheetId="5"/>
      <sheetData sheetId="6"/>
      <sheetData sheetId="7"/>
      <sheetData sheetId="8">
        <row r="10">
          <cell r="G10">
            <v>1.6799999999999999E-2</v>
          </cell>
          <cell r="H10">
            <v>1.6799999999999999E-2</v>
          </cell>
          <cell r="I10">
            <v>1.6799999999999999E-2</v>
          </cell>
          <cell r="J10">
            <v>1.6799999999999999E-2</v>
          </cell>
          <cell r="K10">
            <v>1.6799999999999999E-2</v>
          </cell>
        </row>
      </sheetData>
      <sheetData sheetId="9"/>
      <sheetData sheetId="10"/>
      <sheetData sheetId="11"/>
      <sheetData sheetId="12"/>
      <sheetData sheetId="13"/>
      <sheetData sheetId="14"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oices from UEM"/>
      <sheetName val="Invoices from JAM"/>
    </sheetNames>
    <sheetDataSet>
      <sheetData sheetId="0" refreshError="1"/>
      <sheetData sheetId="1">
        <row r="38">
          <cell r="M38">
            <v>358.94649885195952</v>
          </cell>
        </row>
        <row r="39">
          <cell r="M39">
            <v>3245.3097126054831</v>
          </cell>
        </row>
        <row r="40">
          <cell r="M40">
            <v>5685.6080724154663</v>
          </cell>
        </row>
        <row r="41">
          <cell r="M41">
            <v>520.98726196383575</v>
          </cell>
        </row>
        <row r="42">
          <cell r="M42">
            <v>840.65042001580423</v>
          </cell>
        </row>
        <row r="43">
          <cell r="M43">
            <v>3892.4801323567294</v>
          </cell>
        </row>
        <row r="44">
          <cell r="M44">
            <v>1060.7425405510787</v>
          </cell>
        </row>
        <row r="45">
          <cell r="M45">
            <v>3713.9180183449562</v>
          </cell>
        </row>
      </sheetData>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 - 6 months to 30 Jun 16"/>
      <sheetName val="Report - 6 months to 31 Dec 16"/>
      <sheetName val="Report - 12 months to 31 Dec 16"/>
      <sheetName val="Report - Pres. Table 31 Dec 16"/>
      <sheetName val="ECM summary"/>
      <sheetName val="INPUT - by HY"/>
      <sheetName val="Input - CPI"/>
      <sheetName val="Input - RIN"/>
      <sheetName val="Input - Allowance"/>
      <sheetName val="Input - MG Board ECM 6m Act-Bud"/>
      <sheetName val="Input - MG Board ECM 6m Forecas"/>
      <sheetName val="Info - MG Stats 2013"/>
      <sheetName val="Info - MG Stats 2014"/>
      <sheetName val="Info - MG Stats 2015"/>
      <sheetName val="Info - P&amp;L Forecast"/>
      <sheetName val="Info - Assumptions"/>
      <sheetName val="Info - Summary HY CY FY"/>
      <sheetName val="Info - ECM comparison"/>
    </sheetNames>
    <sheetDataSet>
      <sheetData sheetId="0" refreshError="1"/>
      <sheetData sheetId="1" refreshError="1"/>
      <sheetData sheetId="2" refreshError="1"/>
      <sheetData sheetId="3" refreshError="1"/>
      <sheetData sheetId="4">
        <row r="34">
          <cell r="B34">
            <v>56985.617667156788</v>
          </cell>
          <cell r="C34">
            <v>62456.705104288565</v>
          </cell>
          <cell r="D34">
            <v>64725.135254196102</v>
          </cell>
          <cell r="E34">
            <v>64371.415384773303</v>
          </cell>
          <cell r="F34">
            <v>65192.322974737282</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ER only"/>
      <sheetName val="Intro"/>
      <sheetName val="DMS input"/>
      <sheetName val="PTRM input"/>
      <sheetName val="WACC"/>
      <sheetName val="Assets"/>
      <sheetName val="Analysis"/>
      <sheetName val="Forecast revenues"/>
      <sheetName val="X factors"/>
      <sheetName val="Revenue summary"/>
      <sheetName val="Equity raising costs"/>
      <sheetName val="Chart 1-Revenue"/>
      <sheetName val="Chart 2-Price path"/>
      <sheetName val="Chart 3-Building blocks"/>
    </sheetNames>
    <sheetDataSet>
      <sheetData sheetId="0"/>
      <sheetData sheetId="1"/>
      <sheetData sheetId="2"/>
      <sheetData sheetId="3"/>
      <sheetData sheetId="4"/>
      <sheetData sheetId="5"/>
      <sheetData sheetId="6"/>
      <sheetData sheetId="7">
        <row r="149">
          <cell r="F149">
            <v>43726649.79236871</v>
          </cell>
          <cell r="G149">
            <v>48793264.7138675</v>
          </cell>
          <cell r="H149">
            <v>50914601.587152973</v>
          </cell>
          <cell r="I149">
            <v>53830533.777087986</v>
          </cell>
          <cell r="J149">
            <v>56909632.227185138</v>
          </cell>
          <cell r="K149">
            <v>60148869.599629492</v>
          </cell>
        </row>
        <row r="150">
          <cell r="Q150">
            <v>27979667.045911737</v>
          </cell>
          <cell r="R150">
            <v>30740498.924106792</v>
          </cell>
          <cell r="S150">
            <v>31467172.721804537</v>
          </cell>
          <cell r="T150">
            <v>32659744.153316632</v>
          </cell>
          <cell r="U150">
            <v>33816444.641725726</v>
          </cell>
          <cell r="V150">
            <v>35049024.272152901</v>
          </cell>
          <cell r="AB150">
            <v>12808153.30928611</v>
          </cell>
          <cell r="AC150">
            <v>14089477.408554895</v>
          </cell>
          <cell r="AD150">
            <v>14440767.88582832</v>
          </cell>
          <cell r="AE150">
            <v>15006977.579262998</v>
          </cell>
          <cell r="AF150">
            <v>15558301.865205437</v>
          </cell>
          <cell r="AG150">
            <v>16145862.336795159</v>
          </cell>
          <cell r="AM150">
            <v>27662799.804041415</v>
          </cell>
          <cell r="AN150">
            <v>30549335.279124245</v>
          </cell>
          <cell r="AO150">
            <v>31435091.789093919</v>
          </cell>
          <cell r="AP150">
            <v>32796870.853296358</v>
          </cell>
          <cell r="AQ150">
            <v>34137327.780414835</v>
          </cell>
          <cell r="AR150">
            <v>35567131.583044678</v>
          </cell>
        </row>
        <row r="151">
          <cell r="Q151">
            <v>17550561.185901128</v>
          </cell>
          <cell r="R151">
            <v>19283680.016589969</v>
          </cell>
          <cell r="S151">
            <v>19740954.339171983</v>
          </cell>
          <cell r="T151">
            <v>20490636.350361239</v>
          </cell>
          <cell r="U151">
            <v>21217979.996437583</v>
          </cell>
          <cell r="V151">
            <v>21993094.250658877</v>
          </cell>
          <cell r="AB151">
            <v>7193298.6456159828</v>
          </cell>
          <cell r="AC151">
            <v>7914021.2357412828</v>
          </cell>
          <cell r="AD151">
            <v>8112504.4819300892</v>
          </cell>
          <cell r="AE151">
            <v>8431827.6614998654</v>
          </cell>
          <cell r="AF151">
            <v>8742923.2453919407</v>
          </cell>
          <cell r="AG151">
            <v>9074512.261056209</v>
          </cell>
          <cell r="AM151">
            <v>9253635.8019484151</v>
          </cell>
          <cell r="AN151">
            <v>10323604.812292883</v>
          </cell>
          <cell r="AO151">
            <v>10732291.837364661</v>
          </cell>
          <cell r="AP151">
            <v>11313159.779722355</v>
          </cell>
          <cell r="AQ151">
            <v>11899372.30664359</v>
          </cell>
          <cell r="AR151">
            <v>12528910.152360344</v>
          </cell>
        </row>
        <row r="152">
          <cell r="Q152">
            <v>7970824.7948602261</v>
          </cell>
          <cell r="R152">
            <v>8758615.4533053264</v>
          </cell>
          <cell r="S152">
            <v>8967015.5811023824</v>
          </cell>
          <cell r="T152">
            <v>9308299.8641786426</v>
          </cell>
          <cell r="U152">
            <v>9639519.1219351701</v>
          </cell>
          <cell r="V152">
            <v>9992520.4686605409</v>
          </cell>
          <cell r="AB152">
            <v>2824362.5563840424</v>
          </cell>
          <cell r="AC152">
            <v>3106621.8110826709</v>
          </cell>
          <cell r="AD152">
            <v>3183774.497536378</v>
          </cell>
          <cell r="AE152">
            <v>3308283.7729425686</v>
          </cell>
          <cell r="AF152">
            <v>3429476.0551653169</v>
          </cell>
          <cell r="AG152">
            <v>3558621.6526427092</v>
          </cell>
          <cell r="AM152">
            <v>2240815.8237375799</v>
          </cell>
          <cell r="AN152">
            <v>2473112.8045309936</v>
          </cell>
          <cell r="AO152">
            <v>2543220.2668385566</v>
          </cell>
          <cell r="AP152">
            <v>2651698.5541116567</v>
          </cell>
          <cell r="AQ152">
            <v>2758267.2505472172</v>
          </cell>
          <cell r="AR152">
            <v>2871877.0251946677</v>
          </cell>
        </row>
        <row r="153">
          <cell r="Q153">
            <v>6485288.7059306018</v>
          </cell>
          <cell r="R153">
            <v>7123988.89714061</v>
          </cell>
          <cell r="S153">
            <v>7291106.4660926461</v>
          </cell>
          <cell r="T153">
            <v>7566061.0165183377</v>
          </cell>
          <cell r="U153">
            <v>7832555.1941523086</v>
          </cell>
          <cell r="V153">
            <v>8116479.8427394843</v>
          </cell>
          <cell r="AB153">
            <v>1861737.6187632575</v>
          </cell>
          <cell r="AC153">
            <v>2071213.4785445598</v>
          </cell>
          <cell r="AD153">
            <v>2147286.1345926407</v>
          </cell>
          <cell r="AE153">
            <v>2257479.0510183992</v>
          </cell>
          <cell r="AF153">
            <v>2368284.9398672748</v>
          </cell>
          <cell r="AG153">
            <v>2487348.3028371092</v>
          </cell>
          <cell r="AM153">
            <v>1026354.2488164121</v>
          </cell>
          <cell r="AN153">
            <v>1132752.5483548688</v>
          </cell>
          <cell r="AO153">
            <v>1164863.6621067727</v>
          </cell>
          <cell r="AP153">
            <v>1214549.6514092619</v>
          </cell>
          <cell r="AQ153">
            <v>1263360.996464398</v>
          </cell>
          <cell r="AR153">
            <v>1315397.3457623941</v>
          </cell>
        </row>
        <row r="154">
          <cell r="Q154">
            <v>8962824.2058807705</v>
          </cell>
          <cell r="R154">
            <v>9899347.6930698082</v>
          </cell>
          <cell r="S154">
            <v>10188263.024701001</v>
          </cell>
          <cell r="T154">
            <v>10632886.456192702</v>
          </cell>
          <cell r="U154">
            <v>11072251.53822439</v>
          </cell>
          <cell r="V154">
            <v>11542635.198337508</v>
          </cell>
          <cell r="AB154">
            <v>1823403.1942469527</v>
          </cell>
          <cell r="AC154">
            <v>2004789.3253858539</v>
          </cell>
          <cell r="AD154">
            <v>2053694.5865255012</v>
          </cell>
          <cell r="AE154">
            <v>2133069.0145456376</v>
          </cell>
          <cell r="AF154">
            <v>2210201.5958149596</v>
          </cell>
          <cell r="AG154">
            <v>2292360.6935615269</v>
          </cell>
          <cell r="AM154">
            <v>998394.82465233107</v>
          </cell>
          <cell r="AN154">
            <v>1101894.6754431326</v>
          </cell>
          <cell r="AO154">
            <v>1133131.0344494835</v>
          </cell>
          <cell r="AP154">
            <v>1181463.5031215253</v>
          </cell>
          <cell r="AQ154">
            <v>1228945.1541631278</v>
          </cell>
          <cell r="AR154">
            <v>1279563.9555105499</v>
          </cell>
        </row>
        <row r="156">
          <cell r="F156">
            <v>1660251.8027210874</v>
          </cell>
          <cell r="G156">
            <v>1832406.6253741006</v>
          </cell>
          <cell r="H156">
            <v>1885621.4551900837</v>
          </cell>
          <cell r="I156">
            <v>1970930.8966563602</v>
          </cell>
          <cell r="J156">
            <v>2030229.6544713981</v>
          </cell>
          <cell r="K156">
            <v>2125136.5251623262</v>
          </cell>
        </row>
        <row r="157">
          <cell r="Q157">
            <v>979428.17110396968</v>
          </cell>
          <cell r="R157">
            <v>1066103.6416418508</v>
          </cell>
          <cell r="S157">
            <v>1074968.0741066288</v>
          </cell>
          <cell r="T157">
            <v>1097047.8460022216</v>
          </cell>
          <cell r="U157">
            <v>1114456.310381202</v>
          </cell>
          <cell r="V157">
            <v>1138213.4970021949</v>
          </cell>
          <cell r="AB157">
            <v>423824.95277677372</v>
          </cell>
          <cell r="AC157">
            <v>462216.21754979272</v>
          </cell>
          <cell r="AD157">
            <v>467080.67841033626</v>
          </cell>
          <cell r="AE157">
            <v>477712.69715431926</v>
          </cell>
          <cell r="AF157">
            <v>486442.21400047833</v>
          </cell>
          <cell r="AG157">
            <v>497950.66383542097</v>
          </cell>
          <cell r="AM157">
            <v>903302.47949098656</v>
          </cell>
          <cell r="AN157">
            <v>989322.40420815896</v>
          </cell>
          <cell r="AO157">
            <v>1004304.3707985138</v>
          </cell>
          <cell r="AP157">
            <v>1031832.6884182285</v>
          </cell>
          <cell r="AQ157">
            <v>1055679.3691336729</v>
          </cell>
          <cell r="AR157">
            <v>1085680.3159206952</v>
          </cell>
        </row>
        <row r="158">
          <cell r="Q158">
            <v>978680.10873794986</v>
          </cell>
          <cell r="R158">
            <v>1065289.3787524241</v>
          </cell>
          <cell r="S158">
            <v>1074147.0407887842</v>
          </cell>
          <cell r="T158">
            <v>1096209.9487152849</v>
          </cell>
          <cell r="U158">
            <v>1113605.1169512337</v>
          </cell>
          <cell r="V158">
            <v>1137344.1584363626</v>
          </cell>
          <cell r="AB158">
            <v>390388.9963303433</v>
          </cell>
          <cell r="AC158">
            <v>425751.53745586606</v>
          </cell>
          <cell r="AD158">
            <v>430232.23634014348</v>
          </cell>
          <cell r="AE158">
            <v>440025.48494250933</v>
          </cell>
          <cell r="AF158">
            <v>448066.32184390782</v>
          </cell>
          <cell r="AG158">
            <v>458666.85904905834</v>
          </cell>
          <cell r="AM158">
            <v>850256.71932466212</v>
          </cell>
          <cell r="AN158">
            <v>931225.18852203619</v>
          </cell>
          <cell r="AO158">
            <v>945327.35036855843</v>
          </cell>
          <cell r="AP158">
            <v>971239.08819646225</v>
          </cell>
          <cell r="AQ158">
            <v>993685.39048417658</v>
          </cell>
          <cell r="AR158">
            <v>1021924.5541872826</v>
          </cell>
        </row>
        <row r="159">
          <cell r="Q159">
            <v>228714.47655221701</v>
          </cell>
          <cell r="R159">
            <v>248954.79172677841</v>
          </cell>
          <cell r="S159">
            <v>251024.79960579312</v>
          </cell>
          <cell r="T159">
            <v>256180.8320954454</v>
          </cell>
          <cell r="U159">
            <v>260246.02843702969</v>
          </cell>
          <cell r="V159">
            <v>265793.76809031045</v>
          </cell>
          <cell r="AB159">
            <v>95228.031887584482</v>
          </cell>
          <cell r="AC159">
            <v>103854.0567642635</v>
          </cell>
          <cell r="AD159">
            <v>104947.03873927175</v>
          </cell>
          <cell r="AE159">
            <v>107335.91700929345</v>
          </cell>
          <cell r="AF159">
            <v>109297.32749997567</v>
          </cell>
          <cell r="AG159">
            <v>111883.12859705217</v>
          </cell>
          <cell r="AM159">
            <v>192142.62012674395</v>
          </cell>
          <cell r="AN159">
            <v>210440.02779861965</v>
          </cell>
          <cell r="AO159">
            <v>213626.8609809489</v>
          </cell>
          <cell r="AP159">
            <v>219482.44445960131</v>
          </cell>
          <cell r="AQ159">
            <v>224554.90226639641</v>
          </cell>
          <cell r="AR159">
            <v>230936.44184236412</v>
          </cell>
        </row>
        <row r="160">
          <cell r="Q160">
            <v>433939.0728316771</v>
          </cell>
          <cell r="R160">
            <v>472340.94285351149</v>
          </cell>
          <cell r="S160">
            <v>476268.36062485148</v>
          </cell>
          <cell r="T160">
            <v>486050.88069869095</v>
          </cell>
          <cell r="U160">
            <v>493763.76165812183</v>
          </cell>
          <cell r="V160">
            <v>504289.46618608391</v>
          </cell>
          <cell r="AB160">
            <v>181556.3145746942</v>
          </cell>
          <cell r="AC160">
            <v>198002.19983554099</v>
          </cell>
          <cell r="AD160">
            <v>200086.01670485656</v>
          </cell>
          <cell r="AE160">
            <v>204640.51527083246</v>
          </cell>
          <cell r="AF160">
            <v>208380.02823773678</v>
          </cell>
          <cell r="AG160">
            <v>213309.96859356199</v>
          </cell>
          <cell r="AM160">
            <v>355930.2401145937</v>
          </cell>
          <cell r="AN160">
            <v>389824.85809070646</v>
          </cell>
          <cell r="AO160">
            <v>395728.23496275797</v>
          </cell>
          <cell r="AP160">
            <v>406575.27781141386</v>
          </cell>
          <cell r="AQ160">
            <v>415971.63726541103</v>
          </cell>
          <cell r="AR160">
            <v>427792.97556129098</v>
          </cell>
        </row>
        <row r="161">
          <cell r="Q161">
            <v>177155.51777943628</v>
          </cell>
          <cell r="R161">
            <v>192833.07159597299</v>
          </cell>
          <cell r="S161">
            <v>194436.43891728306</v>
          </cell>
          <cell r="T161">
            <v>198430.15028685358</v>
          </cell>
          <cell r="U161">
            <v>201578.9320064226</v>
          </cell>
          <cell r="V161">
            <v>205876.04824321697</v>
          </cell>
          <cell r="AB161">
            <v>59381.900572880928</v>
          </cell>
          <cell r="AC161">
            <v>64760.881335297927</v>
          </cell>
          <cell r="AD161">
            <v>65442.438495321032</v>
          </cell>
          <cell r="AE161">
            <v>66932.085284184679</v>
          </cell>
          <cell r="AF161">
            <v>68155.173490793735</v>
          </cell>
          <cell r="AG161">
            <v>69767.616598187844</v>
          </cell>
          <cell r="AM161">
            <v>86164.758838826194</v>
          </cell>
          <cell r="AN161">
            <v>94370.079024336766</v>
          </cell>
          <cell r="AO161">
            <v>95799.187841702922</v>
          </cell>
          <cell r="AP161">
            <v>98425.075518085636</v>
          </cell>
          <cell r="AQ161">
            <v>100699.77700469132</v>
          </cell>
          <cell r="AR161">
            <v>103561.52531550845</v>
          </cell>
        </row>
        <row r="163">
          <cell r="F163">
            <v>326480.85845357896</v>
          </cell>
          <cell r="G163">
            <v>372613.20079698</v>
          </cell>
          <cell r="H163">
            <v>397932.26681291754</v>
          </cell>
          <cell r="I163">
            <v>429719.67841948412</v>
          </cell>
          <cell r="J163">
            <v>463822.79692567326</v>
          </cell>
          <cell r="K163">
            <v>499352.71586821327</v>
          </cell>
        </row>
        <row r="164">
          <cell r="Q164">
            <v>262067.9278478857</v>
          </cell>
          <cell r="R164">
            <v>295166.75266779173</v>
          </cell>
          <cell r="S164">
            <v>309667.40953246731</v>
          </cell>
          <cell r="T164">
            <v>328662.68918136909</v>
          </cell>
          <cell r="U164">
            <v>347087.80019172811</v>
          </cell>
          <cell r="V164">
            <v>366004.85441149556</v>
          </cell>
          <cell r="AB164">
            <v>135971.16181592859</v>
          </cell>
          <cell r="AC164">
            <v>152736.58384379902</v>
          </cell>
          <cell r="AD164">
            <v>159814.04528450969</v>
          </cell>
          <cell r="AE164">
            <v>169166.62921652265</v>
          </cell>
          <cell r="AF164">
            <v>178176.06599119923</v>
          </cell>
          <cell r="AG164">
            <v>187388.74067007049</v>
          </cell>
          <cell r="AM164">
            <v>258882.1003564164</v>
          </cell>
          <cell r="AN164">
            <v>294413.28384620463</v>
          </cell>
          <cell r="AO164">
            <v>311875.58138381108</v>
          </cell>
          <cell r="AP164">
            <v>334215.6432415442</v>
          </cell>
          <cell r="AQ164">
            <v>356370.69078376796</v>
          </cell>
          <cell r="AR164">
            <v>379429.77435220906</v>
          </cell>
        </row>
        <row r="165">
          <cell r="Q165">
            <v>179539.21382857641</v>
          </cell>
          <cell r="R165">
            <v>202230.3330749415</v>
          </cell>
          <cell r="S165">
            <v>212181.29148497779</v>
          </cell>
          <cell r="T165">
            <v>225213.3850610462</v>
          </cell>
          <cell r="U165">
            <v>237856.72370918997</v>
          </cell>
          <cell r="V165">
            <v>250839.08911558901</v>
          </cell>
          <cell r="AB165">
            <v>83391.247256297371</v>
          </cell>
          <cell r="AC165">
            <v>93685.749557440751</v>
          </cell>
          <cell r="AD165">
            <v>98039.556317961993</v>
          </cell>
          <cell r="AE165">
            <v>103790.21737711407</v>
          </cell>
          <cell r="AF165">
            <v>109331.89058713074</v>
          </cell>
          <cell r="AG165">
            <v>114999.7871609799</v>
          </cell>
          <cell r="AM165">
            <v>92775.170224049376</v>
          </cell>
          <cell r="AN165">
            <v>106573.10556142256</v>
          </cell>
          <cell r="AO165">
            <v>113977.42279049578</v>
          </cell>
          <cell r="AP165">
            <v>123261.80842443051</v>
          </cell>
          <cell r="AQ165">
            <v>132607.16083394969</v>
          </cell>
          <cell r="AR165">
            <v>142413.55586676206</v>
          </cell>
        </row>
        <row r="166">
          <cell r="Q166">
            <v>110934.77424782388</v>
          </cell>
          <cell r="R166">
            <v>124965.10991855216</v>
          </cell>
          <cell r="S166">
            <v>131124.23080522663</v>
          </cell>
          <cell r="T166">
            <v>139188.35862464743</v>
          </cell>
          <cell r="U166">
            <v>147013.45284695239</v>
          </cell>
          <cell r="V166">
            <v>155049.28986365109</v>
          </cell>
          <cell r="AB166">
            <v>44208.08323197742</v>
          </cell>
          <cell r="AC166">
            <v>49656.580937440995</v>
          </cell>
          <cell r="AD166">
            <v>51955.062281781306</v>
          </cell>
          <cell r="AE166">
            <v>54992.950807020439</v>
          </cell>
          <cell r="AF166">
            <v>57918.983558954031</v>
          </cell>
          <cell r="AG166">
            <v>60910.783593052394</v>
          </cell>
          <cell r="AM166">
            <v>35634.103523750986</v>
          </cell>
          <cell r="AN166">
            <v>40501.858485232013</v>
          </cell>
          <cell r="AO166">
            <v>42880.739464393715</v>
          </cell>
          <cell r="AP166">
            <v>45928.17666160495</v>
          </cell>
          <cell r="AQ166">
            <v>48947.401240385865</v>
          </cell>
          <cell r="AR166">
            <v>52088.105360132788</v>
          </cell>
        </row>
        <row r="167">
          <cell r="Q167">
            <v>137759.18867322736</v>
          </cell>
          <cell r="R167">
            <v>156704.46668620338</v>
          </cell>
          <cell r="S167">
            <v>165992.06347994579</v>
          </cell>
          <cell r="T167">
            <v>177834.09301328636</v>
          </cell>
          <cell r="U167">
            <v>189561.26977125931</v>
          </cell>
          <cell r="V167">
            <v>201746.13266265424</v>
          </cell>
          <cell r="AB167">
            <v>42193.157513745537</v>
          </cell>
          <cell r="AC167">
            <v>47891.234496013596</v>
          </cell>
          <cell r="AD167">
            <v>50621.07536335769</v>
          </cell>
          <cell r="AE167">
            <v>54118.368903863673</v>
          </cell>
          <cell r="AF167">
            <v>57568.424374192269</v>
          </cell>
          <cell r="AG167">
            <v>61145.349657405095</v>
          </cell>
          <cell r="AM167">
            <v>24591.367420520401</v>
          </cell>
          <cell r="AN167">
            <v>27950.642354743311</v>
          </cell>
          <cell r="AO167">
            <v>29592.326315426122</v>
          </cell>
          <cell r="AP167">
            <v>31695.386036225125</v>
          </cell>
          <cell r="AQ167">
            <v>33778.976013236337</v>
          </cell>
          <cell r="AR167">
            <v>35946.399950711297</v>
          </cell>
        </row>
        <row r="168">
          <cell r="Q168">
            <v>232196.92302898655</v>
          </cell>
          <cell r="R168">
            <v>261412.29624594931</v>
          </cell>
          <cell r="S168">
            <v>274140.85514414142</v>
          </cell>
          <cell r="T168">
            <v>290837.99270794005</v>
          </cell>
          <cell r="U168">
            <v>307016.70761613682</v>
          </cell>
          <cell r="V168">
            <v>323617.03100761818</v>
          </cell>
          <cell r="AB168">
            <v>59527.706686293401</v>
          </cell>
          <cell r="AC168">
            <v>66840.662112725302</v>
          </cell>
          <cell r="AD168">
            <v>69910.198391943923</v>
          </cell>
          <cell r="AE168">
            <v>73972.440992988457</v>
          </cell>
          <cell r="AF168">
            <v>77881.240730179372</v>
          </cell>
          <cell r="AG168">
            <v>81875.555739498028</v>
          </cell>
          <cell r="AM168">
            <v>40729.611644654738</v>
          </cell>
          <cell r="AN168">
            <v>46293.432522884963</v>
          </cell>
          <cell r="AO168">
            <v>49012.48222103528</v>
          </cell>
          <cell r="AP168">
            <v>52495.688511637178</v>
          </cell>
          <cell r="AQ168">
            <v>55946.647912924753</v>
          </cell>
          <cell r="AR168">
            <v>59536.457854482491</v>
          </cell>
        </row>
        <row r="170">
          <cell r="F170">
            <v>5446.357963121035</v>
          </cell>
          <cell r="G170">
            <v>6062.1537284118103</v>
          </cell>
          <cell r="H170">
            <v>6309.3756522533431</v>
          </cell>
          <cell r="I170">
            <v>6703.0141848570483</v>
          </cell>
          <cell r="J170">
            <v>7062.1401860206342</v>
          </cell>
          <cell r="K170">
            <v>7496.4474790002996</v>
          </cell>
        </row>
        <row r="171">
          <cell r="Q171">
            <v>5737.7333824134548</v>
          </cell>
          <cell r="R171">
            <v>6509.4033411727432</v>
          </cell>
          <cell r="S171">
            <v>6859.7505990766886</v>
          </cell>
          <cell r="T171">
            <v>7348.3645873744654</v>
          </cell>
          <cell r="U171">
            <v>7765.6064435961653</v>
          </cell>
          <cell r="V171">
            <v>8296.812532357586</v>
          </cell>
          <cell r="AB171">
            <v>2858.3002215412375</v>
          </cell>
          <cell r="AC171">
            <v>3234.1540442290279</v>
          </cell>
          <cell r="AD171">
            <v>3399.2247919072943</v>
          </cell>
          <cell r="AE171">
            <v>3631.7361999841228</v>
          </cell>
          <cell r="AF171">
            <v>3827.815673908895</v>
          </cell>
          <cell r="AG171">
            <v>4078.8614805602861</v>
          </cell>
          <cell r="AM171">
            <v>6019.2587079623272</v>
          </cell>
          <cell r="AN171">
            <v>6894.1922724530268</v>
          </cell>
          <cell r="AO171">
            <v>7334.8307667274894</v>
          </cell>
          <cell r="AP171">
            <v>7932.5356075009013</v>
          </cell>
          <cell r="AQ171">
            <v>8463.2325520235681</v>
          </cell>
          <cell r="AR171">
            <v>9128.7589145176662</v>
          </cell>
        </row>
        <row r="172">
          <cell r="Q172">
            <v>8036.6864596590731</v>
          </cell>
          <cell r="R172">
            <v>9117.5434977178611</v>
          </cell>
          <cell r="S172">
            <v>9608.2653343938946</v>
          </cell>
          <cell r="T172">
            <v>10292.653604470854</v>
          </cell>
          <cell r="U172">
            <v>10877.072878217152</v>
          </cell>
          <cell r="V172">
            <v>11621.118740285705</v>
          </cell>
          <cell r="AB172">
            <v>3587.1162974562862</v>
          </cell>
          <cell r="AC172">
            <v>4058.8062069569878</v>
          </cell>
          <cell r="AD172">
            <v>4265.967079970781</v>
          </cell>
          <cell r="AE172">
            <v>4557.7647907120163</v>
          </cell>
          <cell r="AF172">
            <v>4803.841067518566</v>
          </cell>
          <cell r="AG172">
            <v>5118.8991211339735</v>
          </cell>
          <cell r="AM172">
            <v>7438.9515174912194</v>
          </cell>
          <cell r="AN172">
            <v>8520.2455244529847</v>
          </cell>
          <cell r="AO172">
            <v>9064.8123149303628</v>
          </cell>
          <cell r="AP172">
            <v>9803.4908712119886</v>
          </cell>
          <cell r="AQ172">
            <v>10459.357155138714</v>
          </cell>
          <cell r="AR172">
            <v>11281.853509657734</v>
          </cell>
        </row>
        <row r="173">
          <cell r="Q173">
            <v>2436.0353168060719</v>
          </cell>
          <cell r="R173">
            <v>2763.6586389732656</v>
          </cell>
          <cell r="S173">
            <v>2912.4034893380604</v>
          </cell>
          <cell r="T173">
            <v>3119.8514225981075</v>
          </cell>
          <cell r="U173">
            <v>3296.9973144795899</v>
          </cell>
          <cell r="V173">
            <v>3522.5283223670504</v>
          </cell>
          <cell r="AB173">
            <v>1018.1581089242661</v>
          </cell>
          <cell r="AC173">
            <v>1152.0413918823497</v>
          </cell>
          <cell r="AD173">
            <v>1210.8414154166842</v>
          </cell>
          <cell r="AE173">
            <v>1293.6645470690939</v>
          </cell>
          <cell r="AF173">
            <v>1363.5102213847408</v>
          </cell>
          <cell r="AG173">
            <v>1452.9355105223956</v>
          </cell>
          <cell r="AM173">
            <v>1705.1755298346748</v>
          </cell>
          <cell r="AN173">
            <v>1953.0325130254867</v>
          </cell>
          <cell r="AO173">
            <v>2077.8595082410429</v>
          </cell>
          <cell r="AP173">
            <v>2247.1812998434471</v>
          </cell>
          <cell r="AQ173">
            <v>2397.5206501626199</v>
          </cell>
          <cell r="AR173">
            <v>2586.0553722677919</v>
          </cell>
        </row>
        <row r="174">
          <cell r="Q174">
            <v>5991.6053088152994</v>
          </cell>
          <cell r="R174">
            <v>6797.4186001276657</v>
          </cell>
          <cell r="S174">
            <v>7163.2673335003556</v>
          </cell>
          <cell r="T174">
            <v>7673.500551240938</v>
          </cell>
          <cell r="U174">
            <v>8109.2037033707329</v>
          </cell>
          <cell r="V174">
            <v>8663.9135529523373</v>
          </cell>
          <cell r="AB174">
            <v>2133.0391576265088</v>
          </cell>
          <cell r="AC174">
            <v>2413.5243618379736</v>
          </cell>
          <cell r="AD174">
            <v>2536.7102909866503</v>
          </cell>
          <cell r="AE174">
            <v>2710.22458255233</v>
          </cell>
          <cell r="AF174">
            <v>2856.5511275164617</v>
          </cell>
          <cell r="AG174">
            <v>3043.8969255224556</v>
          </cell>
          <cell r="AM174">
            <v>3490.5632561657903</v>
          </cell>
          <cell r="AN174">
            <v>3997.9365225378647</v>
          </cell>
          <cell r="AO174">
            <v>4253.4624289641952</v>
          </cell>
          <cell r="AP174">
            <v>4600.0709826846532</v>
          </cell>
          <cell r="AQ174">
            <v>4907.8217115675761</v>
          </cell>
          <cell r="AR174">
            <v>5293.7599108775003</v>
          </cell>
        </row>
        <row r="175">
          <cell r="Q175">
            <v>3965.3343182026738</v>
          </cell>
          <cell r="R175">
            <v>4498.633648417831</v>
          </cell>
          <cell r="S175">
            <v>4740.7578309936262</v>
          </cell>
          <cell r="T175">
            <v>5078.437832314301</v>
          </cell>
          <cell r="U175">
            <v>5366.7927176315006</v>
          </cell>
          <cell r="V175">
            <v>5733.9080214307596</v>
          </cell>
          <cell r="AB175">
            <v>1352.1554718547243</v>
          </cell>
          <cell r="AC175">
            <v>1529.9579291105181</v>
          </cell>
          <cell r="AD175">
            <v>1608.0467572308771</v>
          </cell>
          <cell r="AE175">
            <v>1718.0392521865704</v>
          </cell>
          <cell r="AF175">
            <v>1810.7971547986385</v>
          </cell>
          <cell r="AG175">
            <v>1929.5575840186405</v>
          </cell>
          <cell r="AM175">
            <v>1716.1319372968007</v>
          </cell>
          <cell r="AN175">
            <v>1965.5814967665106</v>
          </cell>
          <cell r="AO175">
            <v>2091.2105533522458</v>
          </cell>
          <cell r="AP175">
            <v>2261.6203024748893</v>
          </cell>
          <cell r="AQ175">
            <v>2412.9256408409633</v>
          </cell>
          <cell r="AR175">
            <v>2602.6717709214445</v>
          </cell>
        </row>
        <row r="177">
          <cell r="F177">
            <v>268477.37043799734</v>
          </cell>
          <cell r="G177">
            <v>319025.27043755294</v>
          </cell>
          <cell r="H177">
            <v>354267.21669098677</v>
          </cell>
          <cell r="I177">
            <v>395987.33298818476</v>
          </cell>
          <cell r="J177">
            <v>442157.05100924731</v>
          </cell>
          <cell r="K177">
            <v>493671.48975332099</v>
          </cell>
        </row>
        <row r="178">
          <cell r="Q178">
            <v>247583.24438445954</v>
          </cell>
          <cell r="R178">
            <v>289299.17989040184</v>
          </cell>
          <cell r="S178">
            <v>311864.89940286521</v>
          </cell>
          <cell r="T178">
            <v>339728.64747976587</v>
          </cell>
          <cell r="U178">
            <v>376193.14886282344</v>
          </cell>
          <cell r="V178">
            <v>412044.93534367357</v>
          </cell>
          <cell r="AB178">
            <v>98905.270894742585</v>
          </cell>
          <cell r="AC178">
            <v>116421.90866100673</v>
          </cell>
          <cell r="AD178">
            <v>126533.75177306068</v>
          </cell>
          <cell r="AE178">
            <v>135530.0732401229</v>
          </cell>
          <cell r="AF178">
            <v>150952.90537325022</v>
          </cell>
          <cell r="AG178">
            <v>165456.94963230664</v>
          </cell>
          <cell r="AM178">
            <v>150551.49091431091</v>
          </cell>
          <cell r="AN178">
            <v>176544.11903384395</v>
          </cell>
          <cell r="AO178">
            <v>192053.9339204969</v>
          </cell>
          <cell r="AP178">
            <v>208632.63333101038</v>
          </cell>
          <cell r="AQ178">
            <v>230018.23576098922</v>
          </cell>
          <cell r="AR178">
            <v>252320.61692526611</v>
          </cell>
        </row>
        <row r="179">
          <cell r="Q179">
            <v>149548.16589136256</v>
          </cell>
          <cell r="R179">
            <v>174917.89521701398</v>
          </cell>
          <cell r="S179">
            <v>188803.55945365963</v>
          </cell>
          <cell r="T179">
            <v>205857.53420222321</v>
          </cell>
          <cell r="U179">
            <v>227892.80393046077</v>
          </cell>
          <cell r="V179">
            <v>249424.05461425817</v>
          </cell>
          <cell r="AB179">
            <v>44940.232679976318</v>
          </cell>
          <cell r="AC179">
            <v>52980.120353853134</v>
          </cell>
          <cell r="AD179">
            <v>57595.153232876204</v>
          </cell>
          <cell r="AE179">
            <v>63497.021196327842</v>
          </cell>
          <cell r="AF179">
            <v>71391.69311570203</v>
          </cell>
          <cell r="AG179">
            <v>78883.430434882102</v>
          </cell>
          <cell r="AM179">
            <v>37326.921199144337</v>
          </cell>
          <cell r="AN179">
            <v>43903.976800371303</v>
          </cell>
          <cell r="AO179">
            <v>48081.285958695487</v>
          </cell>
          <cell r="AP179">
            <v>53760.313940676788</v>
          </cell>
          <cell r="AQ179">
            <v>60523.37032150368</v>
          </cell>
          <cell r="AR179">
            <v>67016.210560188556</v>
          </cell>
        </row>
        <row r="180">
          <cell r="Q180">
            <v>83508.108068959205</v>
          </cell>
          <cell r="R180">
            <v>97289.725794239217</v>
          </cell>
          <cell r="S180">
            <v>105194.90589612685</v>
          </cell>
          <cell r="T180">
            <v>115106.40613324638</v>
          </cell>
          <cell r="U180">
            <v>127121.22792699249</v>
          </cell>
          <cell r="V180">
            <v>139161.83959276992</v>
          </cell>
          <cell r="AB180">
            <v>18775.201552913521</v>
          </cell>
          <cell r="AC180">
            <v>21641.378937748468</v>
          </cell>
          <cell r="AD180">
            <v>23244.902778199918</v>
          </cell>
          <cell r="AE180">
            <v>25932.275165579988</v>
          </cell>
          <cell r="AF180">
            <v>28428.440465603817</v>
          </cell>
          <cell r="AG180">
            <v>31090.034214421888</v>
          </cell>
          <cell r="AM180">
            <v>12635.661494947997</v>
          </cell>
          <cell r="AN180">
            <v>14394.226729182306</v>
          </cell>
          <cell r="AO180">
            <v>15298.417672572587</v>
          </cell>
          <cell r="AP180">
            <v>17152.099300467711</v>
          </cell>
          <cell r="AQ180">
            <v>18935.529504297356</v>
          </cell>
          <cell r="AR180">
            <v>20633.922240575113</v>
          </cell>
        </row>
        <row r="181">
          <cell r="Q181">
            <v>85883.442062457587</v>
          </cell>
          <cell r="R181">
            <v>100904.29312959721</v>
          </cell>
          <cell r="S181">
            <v>110878.32477615727</v>
          </cell>
          <cell r="T181">
            <v>123253.74782260814</v>
          </cell>
          <cell r="U181">
            <v>136495.03273729459</v>
          </cell>
          <cell r="V181">
            <v>150911.57370656819</v>
          </cell>
          <cell r="AB181">
            <v>13216.980693538668</v>
          </cell>
          <cell r="AC181">
            <v>15090.525848602165</v>
          </cell>
          <cell r="AD181">
            <v>16417.398568383407</v>
          </cell>
          <cell r="AE181">
            <v>18793.091267018543</v>
          </cell>
          <cell r="AF181">
            <v>20081.917698822355</v>
          </cell>
          <cell r="AG181">
            <v>21968.362309978169</v>
          </cell>
          <cell r="AM181">
            <v>8396.2434788827541</v>
          </cell>
          <cell r="AN181">
            <v>9484.9307161119887</v>
          </cell>
          <cell r="AO181">
            <v>10189.405783551099</v>
          </cell>
          <cell r="AP181">
            <v>11653.773148628452</v>
          </cell>
          <cell r="AQ181">
            <v>12614.985363051439</v>
          </cell>
          <cell r="AR181">
            <v>13763.092295214294</v>
          </cell>
        </row>
        <row r="182">
          <cell r="Q182">
            <v>87745.990662521348</v>
          </cell>
          <cell r="R182">
            <v>102465.29638078591</v>
          </cell>
          <cell r="S182">
            <v>114146.66434536088</v>
          </cell>
          <cell r="T182">
            <v>126775.26193457599</v>
          </cell>
          <cell r="U182">
            <v>135084.64093102378</v>
          </cell>
          <cell r="V182">
            <v>148758.80233937223</v>
          </cell>
          <cell r="AB182">
            <v>13016.600238156017</v>
          </cell>
          <cell r="AC182">
            <v>15460.971593334298</v>
          </cell>
          <cell r="AD182">
            <v>17501.596097463764</v>
          </cell>
          <cell r="AE182">
            <v>19804.67119961941</v>
          </cell>
          <cell r="AF182">
            <v>20465.625945401374</v>
          </cell>
          <cell r="AG182">
            <v>22619.753092462695</v>
          </cell>
          <cell r="AM182">
            <v>21984.102371370082</v>
          </cell>
          <cell r="AN182">
            <v>26258.720534352193</v>
          </cell>
          <cell r="AO182">
            <v>29278.50659656752</v>
          </cell>
          <cell r="AP182">
            <v>32246.018123486487</v>
          </cell>
          <cell r="AQ182">
            <v>34288.202547599991</v>
          </cell>
          <cell r="AR182">
            <v>37819.556061824078</v>
          </cell>
        </row>
        <row r="184">
          <cell r="F184">
            <v>10811.61904507072</v>
          </cell>
          <cell r="G184">
            <v>12199.385635765288</v>
          </cell>
          <cell r="H184">
            <v>12898.496104488961</v>
          </cell>
          <cell r="I184">
            <v>13673.391629925203</v>
          </cell>
          <cell r="J184">
            <v>14500.004709095967</v>
          </cell>
          <cell r="K184">
            <v>15247.294268227281</v>
          </cell>
        </row>
        <row r="185">
          <cell r="Q185">
            <v>19475.122061130529</v>
          </cell>
          <cell r="R185">
            <v>22395.745589092418</v>
          </cell>
          <cell r="S185">
            <v>23798.803652136645</v>
          </cell>
          <cell r="T185">
            <v>25814.576523128202</v>
          </cell>
          <cell r="U185">
            <v>27509.022981530827</v>
          </cell>
          <cell r="V185">
            <v>29069.557225850825</v>
          </cell>
          <cell r="AB185">
            <v>7734.6168292250004</v>
          </cell>
          <cell r="AC185">
            <v>8947.4833969516785</v>
          </cell>
          <cell r="AD185">
            <v>9638.2293273884134</v>
          </cell>
          <cell r="AE185">
            <v>10327.570646609385</v>
          </cell>
          <cell r="AF185">
            <v>10990.136674128355</v>
          </cell>
          <cell r="AG185">
            <v>11631.776073707153</v>
          </cell>
          <cell r="AM185">
            <v>16401.051989795869</v>
          </cell>
          <cell r="AN185">
            <v>18950.343062527823</v>
          </cell>
          <cell r="AO185">
            <v>20511.897307208168</v>
          </cell>
          <cell r="AP185">
            <v>21895.012459060978</v>
          </cell>
          <cell r="AQ185">
            <v>23269.315347667249</v>
          </cell>
          <cell r="AR185">
            <v>24667.126341248328</v>
          </cell>
        </row>
        <row r="186">
          <cell r="Q186">
            <v>30810.247821374378</v>
          </cell>
          <cell r="R186">
            <v>35555.52147896876</v>
          </cell>
          <cell r="S186">
            <v>38084.765467329365</v>
          </cell>
          <cell r="T186">
            <v>41159.365519675019</v>
          </cell>
          <cell r="U186">
            <v>43765.091867523835</v>
          </cell>
          <cell r="V186">
            <v>46250.139539863871</v>
          </cell>
          <cell r="AB186">
            <v>11942.80785708608</v>
          </cell>
          <cell r="AC186">
            <v>13843.872517833173</v>
          </cell>
          <cell r="AD186">
            <v>14950.880194331743</v>
          </cell>
          <cell r="AE186">
            <v>16036.872889460245</v>
          </cell>
          <cell r="AF186">
            <v>17042.523631475051</v>
          </cell>
          <cell r="AG186">
            <v>18020.03208294206</v>
          </cell>
          <cell r="AM186">
            <v>26365.617998636804</v>
          </cell>
          <cell r="AN186">
            <v>30287.28447624989</v>
          </cell>
          <cell r="AO186">
            <v>32791.278051024638</v>
          </cell>
          <cell r="AP186">
            <v>35117.081363702491</v>
          </cell>
          <cell r="AQ186">
            <v>37410.652067976305</v>
          </cell>
          <cell r="AR186">
            <v>39546.491163504434</v>
          </cell>
        </row>
        <row r="187">
          <cell r="Q187">
            <v>11950.327174146074</v>
          </cell>
          <cell r="R187">
            <v>13938.853471626689</v>
          </cell>
          <cell r="S187">
            <v>14900.409874419545</v>
          </cell>
          <cell r="T187">
            <v>16007.906663840258</v>
          </cell>
          <cell r="U187">
            <v>17038.514875491921</v>
          </cell>
          <cell r="V187">
            <v>18031.719964941232</v>
          </cell>
          <cell r="AB187">
            <v>4497.0548509662485</v>
          </cell>
          <cell r="AC187">
            <v>5219.8005302311085</v>
          </cell>
          <cell r="AD187">
            <v>5648.1869710920582</v>
          </cell>
          <cell r="AE187">
            <v>6049.9656311742947</v>
          </cell>
          <cell r="AF187">
            <v>6429.501321263142</v>
          </cell>
          <cell r="AG187">
            <v>6796.7898257507049</v>
          </cell>
          <cell r="AM187">
            <v>9556.413885540831</v>
          </cell>
          <cell r="AN187">
            <v>10974.929320509293</v>
          </cell>
          <cell r="AO187">
            <v>11826.489849768994</v>
          </cell>
          <cell r="AP187">
            <v>12651.723827688966</v>
          </cell>
          <cell r="AQ187">
            <v>13530.089242501359</v>
          </cell>
          <cell r="AR187">
            <v>14295.376222772393</v>
          </cell>
        </row>
        <row r="188">
          <cell r="Q188">
            <v>41444.974822897129</v>
          </cell>
          <cell r="R188">
            <v>47959.207817996779</v>
          </cell>
          <cell r="S188">
            <v>51400.427364287607</v>
          </cell>
          <cell r="T188">
            <v>54869.305627792732</v>
          </cell>
          <cell r="U188">
            <v>58754.99893590375</v>
          </cell>
          <cell r="V188">
            <v>62152.914785866837</v>
          </cell>
          <cell r="AB188">
            <v>15353.436624543907</v>
          </cell>
          <cell r="AC188">
            <v>17749.486533603569</v>
          </cell>
          <cell r="AD188">
            <v>19177.724955200098</v>
          </cell>
          <cell r="AE188">
            <v>20467.882668017395</v>
          </cell>
          <cell r="AF188">
            <v>21898.734401767095</v>
          </cell>
          <cell r="AG188">
            <v>23107.608031045373</v>
          </cell>
          <cell r="AM188">
            <v>29269.503678637706</v>
          </cell>
          <cell r="AN188">
            <v>33696.25425530631</v>
          </cell>
          <cell r="AO188">
            <v>36470.155164210453</v>
          </cell>
          <cell r="AP188">
            <v>39202.194031595187</v>
          </cell>
          <cell r="AQ188">
            <v>41754.369742159928</v>
          </cell>
          <cell r="AR188">
            <v>44033.490948395411</v>
          </cell>
        </row>
        <row r="189">
          <cell r="Q189">
            <v>60234.406025277916</v>
          </cell>
          <cell r="R189">
            <v>69915.162226169996</v>
          </cell>
          <cell r="S189">
            <v>75836.193648586661</v>
          </cell>
          <cell r="T189">
            <v>81326.608275359933</v>
          </cell>
          <cell r="U189">
            <v>86483.6346589772</v>
          </cell>
          <cell r="V189">
            <v>91246.506625435199</v>
          </cell>
          <cell r="AB189">
            <v>17668.31122048575</v>
          </cell>
          <cell r="AC189">
            <v>20481.87173445056</v>
          </cell>
          <cell r="AD189">
            <v>21913.09024786282</v>
          </cell>
          <cell r="AE189">
            <v>23652.364984408374</v>
          </cell>
          <cell r="AF189">
            <v>25174.683353049739</v>
          </cell>
          <cell r="AG189">
            <v>26585.233292417215</v>
          </cell>
          <cell r="AM189">
            <v>24939.28599169313</v>
          </cell>
          <cell r="AN189">
            <v>29344.91179952518</v>
          </cell>
          <cell r="AO189">
            <v>31180.562892856095</v>
          </cell>
          <cell r="AP189">
            <v>33578.62221044254</v>
          </cell>
          <cell r="AQ189">
            <v>35791.215941188013</v>
          </cell>
          <cell r="AR189">
            <v>37794.312190588367</v>
          </cell>
        </row>
        <row r="192">
          <cell r="Q192">
            <v>4176.5918634543241</v>
          </cell>
          <cell r="R192">
            <v>4574.3485173056788</v>
          </cell>
          <cell r="S192">
            <v>4695.926415358309</v>
          </cell>
          <cell r="T192">
            <v>4901.8055780656514</v>
          </cell>
          <cell r="U192">
            <v>5100.4154710439561</v>
          </cell>
          <cell r="V192">
            <v>5312.1375477856745</v>
          </cell>
          <cell r="AB192">
            <v>1812.971822646356</v>
          </cell>
          <cell r="AC192">
            <v>1999.5327268329918</v>
          </cell>
          <cell r="AD192">
            <v>2058.8210482892555</v>
          </cell>
          <cell r="AE192">
            <v>2139.7509352236084</v>
          </cell>
          <cell r="AF192">
            <v>2230.7048632242495</v>
          </cell>
          <cell r="AG192">
            <v>2323.7348231603951</v>
          </cell>
          <cell r="AM192">
            <v>4005.5452989928617</v>
          </cell>
          <cell r="AN192">
            <v>4442.2763933015021</v>
          </cell>
          <cell r="AO192">
            <v>4521.2377871751287</v>
          </cell>
          <cell r="AP192">
            <v>4726.8397502265143</v>
          </cell>
          <cell r="AQ192">
            <v>4927.5204534938011</v>
          </cell>
          <cell r="AR192">
            <v>5122.9831025345047</v>
          </cell>
          <cell r="AX192">
            <v>28.645809058050329</v>
          </cell>
          <cell r="AY192">
            <v>31.821062743613815</v>
          </cell>
          <cell r="AZ192">
            <v>32.369686217823599</v>
          </cell>
          <cell r="BA192">
            <v>33.972428333468606</v>
          </cell>
          <cell r="BB192">
            <v>35.473176347161846</v>
          </cell>
          <cell r="BC192">
            <v>36.941112695333928</v>
          </cell>
        </row>
        <row r="193">
          <cell r="Q193">
            <v>3223.4564869526512</v>
          </cell>
          <cell r="R193">
            <v>3594.727443038229</v>
          </cell>
          <cell r="S193">
            <v>3593.9892216065064</v>
          </cell>
          <cell r="T193">
            <v>3795.7036323038342</v>
          </cell>
          <cell r="U193">
            <v>3953.9500611745743</v>
          </cell>
          <cell r="V193">
            <v>4098.8834517493533</v>
          </cell>
          <cell r="AB193">
            <v>1039.4285590368634</v>
          </cell>
          <cell r="AC193">
            <v>1166.8420191407138</v>
          </cell>
          <cell r="AD193">
            <v>1190.5797232185112</v>
          </cell>
          <cell r="AE193">
            <v>1237.584841735847</v>
          </cell>
          <cell r="AF193">
            <v>1294.0079662384655</v>
          </cell>
          <cell r="AG193">
            <v>1345.234112937625</v>
          </cell>
          <cell r="AM193">
            <v>1460.9874000413424</v>
          </cell>
          <cell r="AN193">
            <v>1617.9788634676963</v>
          </cell>
          <cell r="AO193">
            <v>1639.7109194536554</v>
          </cell>
          <cell r="AP193">
            <v>1720.0308484281011</v>
          </cell>
          <cell r="AQ193">
            <v>1791.6273202788393</v>
          </cell>
          <cell r="AR193">
            <v>1861.5967837837022</v>
          </cell>
          <cell r="AX193">
            <v>0</v>
          </cell>
          <cell r="AY193">
            <v>0</v>
          </cell>
          <cell r="AZ193">
            <v>0</v>
          </cell>
          <cell r="BA193">
            <v>0</v>
          </cell>
          <cell r="BB193">
            <v>0</v>
          </cell>
          <cell r="BC193">
            <v>0</v>
          </cell>
        </row>
        <row r="196">
          <cell r="Q196">
            <v>1640341.5869598887</v>
          </cell>
          <cell r="R196">
            <v>1804205.7658715546</v>
          </cell>
          <cell r="S196">
            <v>1860128.7700148392</v>
          </cell>
          <cell r="T196">
            <v>1945152.1393087155</v>
          </cell>
          <cell r="U196">
            <v>2039792.112347025</v>
          </cell>
          <cell r="V196">
            <v>2136032.1584639964</v>
          </cell>
        </row>
        <row r="197">
          <cell r="Q197">
            <v>44091.333684402962</v>
          </cell>
          <cell r="R197">
            <v>48495.898104857202</v>
          </cell>
          <cell r="S197">
            <v>49999.072721606171</v>
          </cell>
          <cell r="T197">
            <v>52284.446558561867</v>
          </cell>
          <cell r="U197">
            <v>54828.308559188597</v>
          </cell>
          <cell r="V197">
            <v>57415.179501728133</v>
          </cell>
        </row>
        <row r="200">
          <cell r="Q200">
            <v>60861.159999999996</v>
          </cell>
          <cell r="R200">
            <v>67589.83166904797</v>
          </cell>
          <cell r="S200">
            <v>70183.140478205838</v>
          </cell>
          <cell r="T200">
            <v>73841.527550473387</v>
          </cell>
          <cell r="U200">
            <v>77690.612785851627</v>
          </cell>
          <cell r="V200">
            <v>81740.336573013337</v>
          </cell>
        </row>
        <row r="201">
          <cell r="Q201">
            <v>10439.295998</v>
          </cell>
          <cell r="R201">
            <v>11593.440861925505</v>
          </cell>
          <cell r="S201">
            <v>12038.261799827771</v>
          </cell>
          <cell r="T201">
            <v>12665.771783578615</v>
          </cell>
          <cell r="U201">
            <v>13325.991537747694</v>
          </cell>
          <cell r="V201">
            <v>14020.626101471466</v>
          </cell>
        </row>
      </sheetData>
      <sheetData sheetId="8">
        <row r="11">
          <cell r="G11">
            <v>1.0167999999999999</v>
          </cell>
          <cell r="H11">
            <v>1.0338822399999998</v>
          </cell>
          <cell r="I11">
            <v>1.0512514616319997</v>
          </cell>
          <cell r="J11">
            <v>1.0689124861874173</v>
          </cell>
          <cell r="K11">
            <v>1.0868702159553658</v>
          </cell>
        </row>
      </sheetData>
      <sheetData sheetId="9"/>
      <sheetData sheetId="10"/>
      <sheetData sheetId="11"/>
      <sheetData sheetId="12"/>
      <sheetData sheetId="13"/>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conomic Assumptions"/>
      <sheetName val="Chapter 2"/>
      <sheetName val="Chapter 5"/>
      <sheetName val="Chapter 6"/>
      <sheetName val="Chapter 8"/>
      <sheetName val="Chapter 9"/>
      <sheetName val="Chapter 12"/>
      <sheetName val="Chapter 13"/>
      <sheetName val="Chapter 14"/>
      <sheetName val="Chapter 15"/>
      <sheetName val="Chapter 16"/>
      <sheetName val="Chapter 17"/>
      <sheetName val="Chapter 20"/>
      <sheetName val="Chapter 21"/>
      <sheetName val="Chapter 22"/>
      <sheetName val="Opex"/>
      <sheetName val="Capex summary"/>
      <sheetName val="Connections"/>
      <sheetName val="Augmentation"/>
      <sheetName val="IT"/>
      <sheetName val="SCADA"/>
      <sheetName val="Mains Replacement"/>
      <sheetName val="Other"/>
      <sheetName val="Metering"/>
      <sheetName val="Digital Meterin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22">
          <cell r="C122">
            <v>1.27</v>
          </cell>
          <cell r="D122">
            <v>1.27</v>
          </cell>
          <cell r="E122">
            <v>1.28</v>
          </cell>
          <cell r="F122">
            <v>1.28</v>
          </cell>
          <cell r="G122">
            <v>1.29</v>
          </cell>
        </row>
        <row r="126">
          <cell r="C126">
            <v>0.02</v>
          </cell>
          <cell r="D126">
            <v>0.02</v>
          </cell>
          <cell r="E126">
            <v>0.02</v>
          </cell>
          <cell r="F126">
            <v>0.02</v>
          </cell>
          <cell r="G126">
            <v>0.02</v>
          </cell>
        </row>
        <row r="130">
          <cell r="C130">
            <v>0.39</v>
          </cell>
          <cell r="D130">
            <v>0.39</v>
          </cell>
          <cell r="E130">
            <v>0.4</v>
          </cell>
          <cell r="F130">
            <v>0.4</v>
          </cell>
          <cell r="G130">
            <v>0.4</v>
          </cell>
        </row>
        <row r="134">
          <cell r="C134">
            <v>0.27</v>
          </cell>
          <cell r="D134">
            <v>0.28000000000000003</v>
          </cell>
          <cell r="E134">
            <v>0.28000000000000003</v>
          </cell>
          <cell r="F134">
            <v>0.28000000000000003</v>
          </cell>
          <cell r="G134">
            <v>0.28000000000000003</v>
          </cell>
        </row>
        <row r="138">
          <cell r="C138">
            <v>0.35</v>
          </cell>
          <cell r="D138">
            <v>0.35</v>
          </cell>
          <cell r="E138">
            <v>0.35</v>
          </cell>
          <cell r="F138">
            <v>0.36</v>
          </cell>
          <cell r="G138">
            <v>0.36</v>
          </cell>
        </row>
      </sheetData>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ER only"/>
      <sheetName val="Contents"/>
      <sheetName val="Instructions"/>
      <sheetName val="Business &amp; other details"/>
      <sheetName val="1. CPI"/>
      <sheetName val="2. Escalators"/>
      <sheetName val="3 - Capex summary"/>
      <sheetName val="4. Connections market expansn"/>
      <sheetName val="5. Mains augmentation"/>
      <sheetName val="6. Mains replacement"/>
      <sheetName val="7. Telemetry"/>
      <sheetName val="8. Meter replacement"/>
      <sheetName val="9. Other capex"/>
      <sheetName val="12. IT"/>
      <sheetName val="14. Overheads"/>
      <sheetName val="15. Related party transactions"/>
      <sheetName val="16. Capex allocation"/>
      <sheetName val="17. Gross Capex "/>
      <sheetName val="20. Changes in provisions"/>
      <sheetName val="21 - Indicative bill impacts"/>
      <sheetName val="22. WACC Inputs"/>
      <sheetName val="23.1 Opex incl. RPM"/>
      <sheetName val="23.2 Opex excl. RPM"/>
      <sheetName val="23.3 Opex base-step-trend"/>
      <sheetName val="23.4 Opex Incentive Mechanism"/>
      <sheetName val="24. Cost category matrix"/>
      <sheetName val="25. ARS"/>
      <sheetName val="26. Allocation of total revenue"/>
      <sheetName val="27.1 Customer numbers Total"/>
      <sheetName val="27.2 Customer numbers Metro"/>
      <sheetName val="27.3 Customer numbers YV"/>
      <sheetName val="27.4 Customer numbers SG"/>
      <sheetName val="28.1 Consumption &amp; demand TOTAL"/>
      <sheetName val="28.2 Consumption &amp; demand METRO"/>
      <sheetName val="28.3 Consumption &amp; demand YV"/>
      <sheetName val="28.4 Consumption &amp; demand SG"/>
      <sheetName val="29.1 Gas extenstions ($)"/>
      <sheetName val="29.2 Gas extenstions cust no"/>
      <sheetName val="29.3 Gas extensions - demand"/>
      <sheetName val="29.4 Gas extensions - tariffs"/>
      <sheetName val="30. Network characteristics"/>
      <sheetName val="31 - Pass throughs"/>
    </sheetNames>
    <sheetDataSet>
      <sheetData sheetId="0">
        <row r="8">
          <cell r="B8" t="str">
            <v>ActewAGL Distribution</v>
          </cell>
        </row>
      </sheetData>
      <sheetData sheetId="1" refreshError="1"/>
      <sheetData sheetId="2" refreshError="1"/>
      <sheetData sheetId="3">
        <row r="1">
          <cell r="B1" t="str">
            <v>REGULATORY REPORTING STATEMENT</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ow r="28">
          <cell r="D28">
            <v>637667.5</v>
          </cell>
          <cell r="E28">
            <v>643353.5</v>
          </cell>
          <cell r="F28">
            <v>649035.5</v>
          </cell>
          <cell r="G28">
            <v>654031.5</v>
          </cell>
          <cell r="H28">
            <v>659128</v>
          </cell>
          <cell r="I28">
            <v>664034</v>
          </cell>
          <cell r="J28">
            <v>668686</v>
          </cell>
          <cell r="K28">
            <v>673033</v>
          </cell>
          <cell r="L28">
            <v>676543.25333423866</v>
          </cell>
          <cell r="M28">
            <v>679744.30684699398</v>
          </cell>
          <cell r="N28">
            <v>683241.90185601055</v>
          </cell>
          <cell r="O28">
            <v>686951.9645023169</v>
          </cell>
          <cell r="P28">
            <v>690717.08039339259</v>
          </cell>
          <cell r="Q28">
            <v>694462.92843544018</v>
          </cell>
          <cell r="R28">
            <v>698120.85244528204</v>
          </cell>
        </row>
        <row r="34">
          <cell r="D34">
            <v>16638</v>
          </cell>
          <cell r="E34">
            <v>16564.5</v>
          </cell>
          <cell r="F34">
            <v>16533.5</v>
          </cell>
          <cell r="G34">
            <v>16517.5</v>
          </cell>
          <cell r="H34">
            <v>16386</v>
          </cell>
          <cell r="I34">
            <v>16249</v>
          </cell>
          <cell r="J34">
            <v>16198.5</v>
          </cell>
          <cell r="K34">
            <v>16050</v>
          </cell>
          <cell r="L34">
            <v>15797</v>
          </cell>
          <cell r="M34">
            <v>15648.991583122286</v>
          </cell>
          <cell r="N34">
            <v>15520.548191589001</v>
          </cell>
          <cell r="O34">
            <v>15456.053696783667</v>
          </cell>
          <cell r="P34">
            <v>15338.819927172142</v>
          </cell>
          <cell r="Q34">
            <v>15131.579974999142</v>
          </cell>
          <cell r="R34">
            <v>14935.855825620465</v>
          </cell>
        </row>
        <row r="43">
          <cell r="D43">
            <v>15.5</v>
          </cell>
          <cell r="E43">
            <v>15</v>
          </cell>
          <cell r="F43">
            <v>15</v>
          </cell>
          <cell r="G43">
            <v>15</v>
          </cell>
          <cell r="H43">
            <v>15.5</v>
          </cell>
          <cell r="I43">
            <v>16</v>
          </cell>
          <cell r="J43">
            <v>15.5</v>
          </cell>
          <cell r="K43">
            <v>14.5</v>
          </cell>
          <cell r="L43">
            <v>14</v>
          </cell>
          <cell r="M43">
            <v>14</v>
          </cell>
          <cell r="N43">
            <v>14</v>
          </cell>
          <cell r="O43">
            <v>14</v>
          </cell>
          <cell r="P43">
            <v>14</v>
          </cell>
          <cell r="Q43">
            <v>14</v>
          </cell>
          <cell r="R43">
            <v>14</v>
          </cell>
        </row>
        <row r="52">
          <cell r="D52">
            <v>264</v>
          </cell>
          <cell r="E52">
            <v>263.5</v>
          </cell>
          <cell r="F52">
            <v>267.5</v>
          </cell>
          <cell r="G52">
            <v>267.5</v>
          </cell>
          <cell r="H52">
            <v>264.92953020134229</v>
          </cell>
          <cell r="I52">
            <v>265.42953020134229</v>
          </cell>
          <cell r="J52">
            <v>265.86937982540246</v>
          </cell>
          <cell r="K52">
            <v>267.40294791088456</v>
          </cell>
          <cell r="L52">
            <v>266.05218411377905</v>
          </cell>
          <cell r="M52">
            <v>263.85298464712457</v>
          </cell>
          <cell r="N52">
            <v>262.62047329451622</v>
          </cell>
          <cell r="O52">
            <v>260.98910497859413</v>
          </cell>
          <cell r="P52">
            <v>257.66904212874783</v>
          </cell>
          <cell r="Q52">
            <v>253.79826798613865</v>
          </cell>
          <cell r="R52">
            <v>250.50932169154817</v>
          </cell>
        </row>
      </sheetData>
      <sheetData sheetId="29">
        <row r="26">
          <cell r="D26">
            <v>632067</v>
          </cell>
          <cell r="I26">
            <v>654432</v>
          </cell>
          <cell r="N26">
            <v>672273</v>
          </cell>
        </row>
        <row r="27">
          <cell r="D27">
            <v>636571</v>
          </cell>
          <cell r="E27">
            <v>641642</v>
          </cell>
          <cell r="F27">
            <v>645501</v>
          </cell>
          <cell r="G27">
            <v>649625</v>
          </cell>
          <cell r="H27">
            <v>654432</v>
          </cell>
          <cell r="I27">
            <v>659185</v>
          </cell>
          <cell r="J27">
            <v>663476</v>
          </cell>
          <cell r="K27">
            <v>666705</v>
          </cell>
          <cell r="L27">
            <v>669282</v>
          </cell>
          <cell r="M27">
            <v>672272.95469718054</v>
          </cell>
          <cell r="N27">
            <v>675488.83333923609</v>
          </cell>
          <cell r="O27">
            <v>678811.53486849694</v>
          </cell>
          <cell r="P27">
            <v>682130.82501872699</v>
          </cell>
          <cell r="Q27">
            <v>685420.19084993168</v>
          </cell>
          <cell r="R27">
            <v>688542.43293575023</v>
          </cell>
        </row>
        <row r="28">
          <cell r="D28">
            <v>634319</v>
          </cell>
          <cell r="E28">
            <v>639106.5</v>
          </cell>
          <cell r="F28">
            <v>643571.5</v>
          </cell>
          <cell r="G28">
            <v>647563</v>
          </cell>
          <cell r="H28">
            <v>652028.5</v>
          </cell>
          <cell r="I28">
            <v>656808.5</v>
          </cell>
          <cell r="J28">
            <v>661330.5</v>
          </cell>
          <cell r="K28">
            <v>665090.5</v>
          </cell>
          <cell r="L28">
            <v>667993.5</v>
          </cell>
          <cell r="M28">
            <v>670777.47734859027</v>
          </cell>
          <cell r="N28">
            <v>673880.91666961811</v>
          </cell>
          <cell r="O28">
            <v>677150.18410386657</v>
          </cell>
          <cell r="P28">
            <v>680471.17994361196</v>
          </cell>
          <cell r="Q28">
            <v>683775.50793432933</v>
          </cell>
          <cell r="R28">
            <v>686981.31189284101</v>
          </cell>
        </row>
        <row r="29">
          <cell r="D29">
            <v>7537</v>
          </cell>
          <cell r="E29">
            <v>7743</v>
          </cell>
          <cell r="F29">
            <v>6890</v>
          </cell>
          <cell r="G29">
            <v>7670</v>
          </cell>
          <cell r="H29">
            <v>7922.3435616085499</v>
          </cell>
        </row>
        <row r="30">
          <cell r="D30">
            <v>3033</v>
          </cell>
          <cell r="E30">
            <v>2672</v>
          </cell>
          <cell r="F30">
            <v>3031</v>
          </cell>
          <cell r="G30">
            <v>3546</v>
          </cell>
          <cell r="H30">
            <v>2883.1800942775753</v>
          </cell>
        </row>
        <row r="32">
          <cell r="D32">
            <v>16654</v>
          </cell>
          <cell r="I32">
            <v>16153</v>
          </cell>
          <cell r="N32">
            <v>15466</v>
          </cell>
        </row>
        <row r="33">
          <cell r="D33">
            <v>16571</v>
          </cell>
          <cell r="E33">
            <v>16475</v>
          </cell>
          <cell r="F33">
            <v>16438</v>
          </cell>
          <cell r="G33">
            <v>16382</v>
          </cell>
          <cell r="H33">
            <v>16153</v>
          </cell>
          <cell r="I33">
            <v>16090</v>
          </cell>
          <cell r="J33">
            <v>16058</v>
          </cell>
          <cell r="K33">
            <v>15781</v>
          </cell>
          <cell r="L33">
            <v>15537</v>
          </cell>
          <cell r="M33">
            <v>15466.287235457956</v>
          </cell>
          <cell r="N33">
            <v>15370.670942251376</v>
          </cell>
          <cell r="O33">
            <v>15232.600429176538</v>
          </cell>
          <cell r="P33">
            <v>15132.931353414238</v>
          </cell>
          <cell r="Q33">
            <v>14815.931339429459</v>
          </cell>
          <cell r="R33">
            <v>14740.178770770712</v>
          </cell>
        </row>
        <row r="34">
          <cell r="D34">
            <v>16612.5</v>
          </cell>
          <cell r="E34">
            <v>16523</v>
          </cell>
          <cell r="F34">
            <v>16456.5</v>
          </cell>
          <cell r="G34">
            <v>16410</v>
          </cell>
          <cell r="H34">
            <v>16267.5</v>
          </cell>
          <cell r="I34">
            <v>16121.5</v>
          </cell>
          <cell r="J34">
            <v>16074</v>
          </cell>
          <cell r="K34">
            <v>15919.5</v>
          </cell>
          <cell r="L34">
            <v>15659</v>
          </cell>
          <cell r="M34">
            <v>15501.643617728978</v>
          </cell>
          <cell r="N34">
            <v>15418.335471125687</v>
          </cell>
          <cell r="O34">
            <v>15301.635685713958</v>
          </cell>
          <cell r="P34">
            <v>15182.765891295388</v>
          </cell>
          <cell r="Q34">
            <v>14974.431346421849</v>
          </cell>
          <cell r="R34">
            <v>14778.055055100085</v>
          </cell>
        </row>
        <row r="35">
          <cell r="D35">
            <v>133</v>
          </cell>
          <cell r="E35">
            <v>147</v>
          </cell>
          <cell r="F35">
            <v>147</v>
          </cell>
          <cell r="G35">
            <v>120</v>
          </cell>
          <cell r="H35">
            <v>195.87502631850799</v>
          </cell>
        </row>
        <row r="36">
          <cell r="D36">
            <v>216</v>
          </cell>
          <cell r="E36">
            <v>243</v>
          </cell>
          <cell r="F36">
            <v>184</v>
          </cell>
          <cell r="G36">
            <v>176</v>
          </cell>
          <cell r="H36">
            <v>212.10728554790836</v>
          </cell>
        </row>
        <row r="41">
          <cell r="D41">
            <v>16</v>
          </cell>
          <cell r="I41">
            <v>16</v>
          </cell>
        </row>
        <row r="42">
          <cell r="D42">
            <v>15</v>
          </cell>
          <cell r="E42">
            <v>15</v>
          </cell>
          <cell r="F42">
            <v>15</v>
          </cell>
          <cell r="G42">
            <v>15</v>
          </cell>
          <cell r="H42">
            <v>16</v>
          </cell>
          <cell r="I42">
            <v>16</v>
          </cell>
          <cell r="J42">
            <v>15</v>
          </cell>
          <cell r="K42">
            <v>14</v>
          </cell>
          <cell r="L42">
            <v>14</v>
          </cell>
          <cell r="M42">
            <v>14</v>
          </cell>
          <cell r="N42">
            <v>14</v>
          </cell>
          <cell r="O42">
            <v>14</v>
          </cell>
          <cell r="P42">
            <v>14</v>
          </cell>
          <cell r="Q42">
            <v>14</v>
          </cell>
          <cell r="R42">
            <v>14</v>
          </cell>
        </row>
        <row r="43">
          <cell r="D43">
            <v>15.5</v>
          </cell>
          <cell r="E43">
            <v>15</v>
          </cell>
          <cell r="F43">
            <v>15</v>
          </cell>
          <cell r="G43">
            <v>15</v>
          </cell>
          <cell r="H43">
            <v>15.5</v>
          </cell>
          <cell r="I43">
            <v>16</v>
          </cell>
          <cell r="J43">
            <v>15.5</v>
          </cell>
          <cell r="K43">
            <v>14.5</v>
          </cell>
          <cell r="L43">
            <v>14</v>
          </cell>
          <cell r="M43">
            <v>14</v>
          </cell>
          <cell r="N43">
            <v>14</v>
          </cell>
          <cell r="O43">
            <v>14</v>
          </cell>
          <cell r="P43">
            <v>14</v>
          </cell>
          <cell r="Q43">
            <v>14</v>
          </cell>
          <cell r="R43">
            <v>14</v>
          </cell>
        </row>
        <row r="44">
          <cell r="D44">
            <v>0</v>
          </cell>
          <cell r="E44">
            <v>0</v>
          </cell>
          <cell r="F44">
            <v>0</v>
          </cell>
          <cell r="G44">
            <v>0</v>
          </cell>
          <cell r="H44">
            <v>1</v>
          </cell>
        </row>
        <row r="45">
          <cell r="D45">
            <v>1</v>
          </cell>
          <cell r="E45">
            <v>0</v>
          </cell>
          <cell r="F45">
            <v>0</v>
          </cell>
          <cell r="G45">
            <v>0</v>
          </cell>
          <cell r="H45">
            <v>0</v>
          </cell>
          <cell r="J45">
            <v>1</v>
          </cell>
          <cell r="K45">
            <v>1</v>
          </cell>
        </row>
        <row r="50">
          <cell r="D50">
            <v>266</v>
          </cell>
          <cell r="I50">
            <v>264</v>
          </cell>
        </row>
        <row r="51">
          <cell r="D51">
            <v>262</v>
          </cell>
          <cell r="E51">
            <v>264</v>
          </cell>
          <cell r="F51">
            <v>269</v>
          </cell>
          <cell r="G51">
            <v>264</v>
          </cell>
          <cell r="H51">
            <v>263.85906040268458</v>
          </cell>
          <cell r="I51">
            <v>264.85906040268458</v>
          </cell>
          <cell r="J51">
            <v>263.87969924812029</v>
          </cell>
          <cell r="K51">
            <v>266.92619657364889</v>
          </cell>
          <cell r="L51">
            <v>261.17198537380381</v>
          </cell>
          <cell r="M51">
            <v>262.50212271463033</v>
          </cell>
          <cell r="N51">
            <v>260.59763271167799</v>
          </cell>
          <cell r="O51">
            <v>257.34999380692375</v>
          </cell>
          <cell r="P51">
            <v>253.97107814913289</v>
          </cell>
          <cell r="Q51">
            <v>249.62788807440262</v>
          </cell>
          <cell r="R51">
            <v>247.41696426956651</v>
          </cell>
        </row>
        <row r="52">
          <cell r="D52">
            <v>264</v>
          </cell>
          <cell r="E52">
            <v>263</v>
          </cell>
          <cell r="F52">
            <v>266.5</v>
          </cell>
          <cell r="G52">
            <v>266.5</v>
          </cell>
          <cell r="H52">
            <v>263.92953020134229</v>
          </cell>
          <cell r="I52">
            <v>264.42953020134229</v>
          </cell>
          <cell r="J52">
            <v>264.36937982540246</v>
          </cell>
          <cell r="K52">
            <v>265.40294791088456</v>
          </cell>
          <cell r="L52">
            <v>264.04909097372638</v>
          </cell>
          <cell r="M52">
            <v>261.8370540442171</v>
          </cell>
          <cell r="N52">
            <v>261.79881635583899</v>
          </cell>
          <cell r="O52">
            <v>258.97381325930087</v>
          </cell>
          <cell r="P52">
            <v>255.66053597802832</v>
          </cell>
          <cell r="Q52">
            <v>251.79948311176776</v>
          </cell>
          <cell r="R52">
            <v>248.52242617198456</v>
          </cell>
        </row>
        <row r="53">
          <cell r="D53">
            <v>130</v>
          </cell>
          <cell r="E53">
            <v>22</v>
          </cell>
          <cell r="F53">
            <v>6</v>
          </cell>
        </row>
        <row r="54">
          <cell r="D54">
            <v>126</v>
          </cell>
          <cell r="E54">
            <v>24</v>
          </cell>
          <cell r="F54">
            <v>11</v>
          </cell>
        </row>
      </sheetData>
      <sheetData sheetId="30">
        <row r="26">
          <cell r="D26">
            <v>3081</v>
          </cell>
          <cell r="I26">
            <v>4380</v>
          </cell>
          <cell r="N26">
            <v>5019</v>
          </cell>
        </row>
        <row r="27">
          <cell r="D27">
            <v>3616</v>
          </cell>
          <cell r="E27">
            <v>3857</v>
          </cell>
          <cell r="F27">
            <v>4070</v>
          </cell>
          <cell r="G27">
            <v>4297</v>
          </cell>
          <cell r="H27">
            <v>4380</v>
          </cell>
          <cell r="I27">
            <v>4236</v>
          </cell>
          <cell r="J27">
            <v>4368</v>
          </cell>
          <cell r="K27">
            <v>4705</v>
          </cell>
          <cell r="L27">
            <v>4850</v>
          </cell>
          <cell r="M27">
            <v>5019.4618706636993</v>
          </cell>
          <cell r="N27">
            <v>5158.418026937562</v>
          </cell>
          <cell r="O27">
            <v>5305.3741832114247</v>
          </cell>
          <cell r="P27">
            <v>5445.3303394852874</v>
          </cell>
          <cell r="Q27">
            <v>5586.2864957591501</v>
          </cell>
          <cell r="R27">
            <v>5716.2426520330137</v>
          </cell>
        </row>
        <row r="28">
          <cell r="D28">
            <v>3348.5</v>
          </cell>
          <cell r="E28">
            <v>3736.5</v>
          </cell>
          <cell r="F28">
            <v>3963.5</v>
          </cell>
          <cell r="G28">
            <v>4183.5</v>
          </cell>
          <cell r="H28">
            <v>4338.5</v>
          </cell>
          <cell r="I28">
            <v>4308</v>
          </cell>
          <cell r="J28">
            <v>4302</v>
          </cell>
          <cell r="K28">
            <v>4536.5</v>
          </cell>
          <cell r="L28">
            <v>4777.5</v>
          </cell>
          <cell r="M28">
            <v>4934.7309353318497</v>
          </cell>
          <cell r="N28">
            <v>5088.7090134687805</v>
          </cell>
          <cell r="O28">
            <v>5231.8961050744929</v>
          </cell>
          <cell r="P28">
            <v>5375.3522613483565</v>
          </cell>
          <cell r="Q28">
            <v>5515.8084176222183</v>
          </cell>
          <cell r="R28">
            <v>5651.2645738960819</v>
          </cell>
        </row>
        <row r="32">
          <cell r="D32">
            <v>23</v>
          </cell>
          <cell r="I32">
            <v>51</v>
          </cell>
          <cell r="N32">
            <v>51</v>
          </cell>
        </row>
        <row r="33">
          <cell r="D33">
            <v>28</v>
          </cell>
          <cell r="E33">
            <v>33</v>
          </cell>
          <cell r="F33">
            <v>37</v>
          </cell>
          <cell r="G33">
            <v>38</v>
          </cell>
          <cell r="H33">
            <v>38</v>
          </cell>
          <cell r="I33">
            <v>38</v>
          </cell>
          <cell r="J33">
            <v>44</v>
          </cell>
          <cell r="K33">
            <v>46</v>
          </cell>
          <cell r="L33">
            <v>49</v>
          </cell>
          <cell r="M33">
            <v>50.978915839033228</v>
          </cell>
          <cell r="N33">
            <v>51.094037127702947</v>
          </cell>
          <cell r="O33">
            <v>51.212765285228677</v>
          </cell>
          <cell r="P33">
            <v>51.712329845811503</v>
          </cell>
          <cell r="Q33">
            <v>51.783622258866423</v>
          </cell>
          <cell r="R33">
            <v>52.244878047223636</v>
          </cell>
        </row>
        <row r="34">
          <cell r="D34">
            <v>25.5</v>
          </cell>
          <cell r="E34">
            <v>30.5</v>
          </cell>
          <cell r="F34">
            <v>35</v>
          </cell>
          <cell r="G34">
            <v>37.5</v>
          </cell>
          <cell r="H34">
            <v>38</v>
          </cell>
          <cell r="I34">
            <v>44.5</v>
          </cell>
          <cell r="J34">
            <v>41</v>
          </cell>
          <cell r="K34">
            <v>45</v>
          </cell>
          <cell r="L34">
            <v>47.5</v>
          </cell>
          <cell r="M34">
            <v>49.98945791951661</v>
          </cell>
          <cell r="N34">
            <v>51.047018563851474</v>
          </cell>
          <cell r="O34">
            <v>51.153401206465816</v>
          </cell>
          <cell r="P34">
            <v>51.46254756552009</v>
          </cell>
          <cell r="Q34">
            <v>51.747976052338963</v>
          </cell>
          <cell r="R34">
            <v>52.014250153045026</v>
          </cell>
        </row>
      </sheetData>
      <sheetData sheetId="31">
        <row r="26">
          <cell r="D26">
            <v>0</v>
          </cell>
          <cell r="I26">
            <v>2932</v>
          </cell>
          <cell r="N26">
            <v>4128</v>
          </cell>
        </row>
        <row r="27">
          <cell r="D27">
            <v>0</v>
          </cell>
          <cell r="E27">
            <v>1021</v>
          </cell>
          <cell r="F27">
            <v>1980</v>
          </cell>
          <cell r="G27">
            <v>2590</v>
          </cell>
          <cell r="H27">
            <v>2932</v>
          </cell>
          <cell r="I27">
            <v>2903</v>
          </cell>
          <cell r="J27">
            <v>3204</v>
          </cell>
          <cell r="K27">
            <v>3608</v>
          </cell>
          <cell r="L27">
            <v>3936.5066684773337</v>
          </cell>
          <cell r="M27">
            <v>4127.6904576664265</v>
          </cell>
          <cell r="N27">
            <v>4416.5523458476509</v>
          </cell>
          <cell r="O27">
            <v>4723.216240904032</v>
          </cell>
          <cell r="P27">
            <v>5017.8801359604122</v>
          </cell>
          <cell r="Q27">
            <v>5325.3440310167925</v>
          </cell>
          <cell r="R27">
            <v>5651.2079260731734</v>
          </cell>
        </row>
        <row r="28">
          <cell r="D28">
            <v>0</v>
          </cell>
          <cell r="E28">
            <v>510.5</v>
          </cell>
          <cell r="F28">
            <v>1500.5</v>
          </cell>
          <cell r="G28">
            <v>2285</v>
          </cell>
          <cell r="H28">
            <v>2761</v>
          </cell>
          <cell r="I28">
            <v>2917.5</v>
          </cell>
          <cell r="J28">
            <v>3053.5</v>
          </cell>
          <cell r="K28">
            <v>3406</v>
          </cell>
          <cell r="L28">
            <v>3772.2533342386669</v>
          </cell>
          <cell r="M28">
            <v>4032.0985630718801</v>
          </cell>
          <cell r="N28">
            <v>4272.2761729238255</v>
          </cell>
          <cell r="O28">
            <v>4569.8842933758415</v>
          </cell>
          <cell r="P28">
            <v>4870.5481884322217</v>
          </cell>
          <cell r="Q28">
            <v>5171.6120834886024</v>
          </cell>
          <cell r="R28">
            <v>5488.2759785449834</v>
          </cell>
        </row>
        <row r="32">
          <cell r="D32">
            <v>0</v>
          </cell>
          <cell r="I32">
            <v>83</v>
          </cell>
        </row>
        <row r="33">
          <cell r="D33">
            <v>0</v>
          </cell>
          <cell r="E33">
            <v>22</v>
          </cell>
          <cell r="F33">
            <v>62</v>
          </cell>
          <cell r="G33">
            <v>78</v>
          </cell>
          <cell r="H33">
            <v>83</v>
          </cell>
          <cell r="I33">
            <v>83</v>
          </cell>
          <cell r="J33">
            <v>84</v>
          </cell>
          <cell r="K33">
            <v>87</v>
          </cell>
          <cell r="L33">
            <v>94</v>
          </cell>
          <cell r="M33">
            <v>100.71701494758302</v>
          </cell>
          <cell r="N33">
            <v>102.33140379892158</v>
          </cell>
          <cell r="O33">
            <v>104.19781592756863</v>
          </cell>
          <cell r="P33">
            <v>104.98516069489777</v>
          </cell>
          <cell r="Q33">
            <v>105.81614435501105</v>
          </cell>
          <cell r="R33">
            <v>105.75689637965759</v>
          </cell>
        </row>
        <row r="34">
          <cell r="D34">
            <v>0</v>
          </cell>
          <cell r="E34">
            <v>11</v>
          </cell>
          <cell r="F34">
            <v>42</v>
          </cell>
          <cell r="G34">
            <v>70</v>
          </cell>
          <cell r="H34">
            <v>80.5</v>
          </cell>
          <cell r="I34">
            <v>83</v>
          </cell>
          <cell r="J34">
            <v>83.5</v>
          </cell>
          <cell r="K34">
            <v>85.5</v>
          </cell>
          <cell r="L34">
            <v>90.5</v>
          </cell>
          <cell r="M34">
            <v>97.358507473791519</v>
          </cell>
          <cell r="N34">
            <v>102.33140379892158</v>
          </cell>
          <cell r="O34">
            <v>103.26460986324511</v>
          </cell>
          <cell r="P34">
            <v>104.59148831123321</v>
          </cell>
          <cell r="Q34">
            <v>105.40065252495441</v>
          </cell>
          <cell r="R34">
            <v>105.78652036733432</v>
          </cell>
        </row>
        <row r="43">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row>
        <row r="50">
          <cell r="I50">
            <v>1</v>
          </cell>
        </row>
        <row r="51">
          <cell r="D51">
            <v>0</v>
          </cell>
          <cell r="E51">
            <v>1</v>
          </cell>
          <cell r="F51">
            <v>1</v>
          </cell>
          <cell r="G51">
            <v>1</v>
          </cell>
          <cell r="H51">
            <v>1</v>
          </cell>
          <cell r="I51">
            <v>1</v>
          </cell>
          <cell r="J51">
            <v>2</v>
          </cell>
          <cell r="K51">
            <v>2</v>
          </cell>
          <cell r="L51">
            <v>2.0061862801054491</v>
          </cell>
          <cell r="M51">
            <v>2.0256749257095499</v>
          </cell>
          <cell r="N51">
            <v>2.0228405828382123</v>
          </cell>
          <cell r="O51">
            <v>2.0077428557483148</v>
          </cell>
          <cell r="P51">
            <v>2.009269445690725</v>
          </cell>
          <cell r="Q51">
            <v>1.9883003030510504</v>
          </cell>
          <cell r="R51">
            <v>1.9854907360761109</v>
          </cell>
        </row>
        <row r="52">
          <cell r="D52">
            <v>0</v>
          </cell>
          <cell r="E52">
            <v>0.5</v>
          </cell>
          <cell r="F52">
            <v>1</v>
          </cell>
          <cell r="G52">
            <v>1</v>
          </cell>
          <cell r="H52">
            <v>1</v>
          </cell>
          <cell r="I52">
            <v>1</v>
          </cell>
          <cell r="J52">
            <v>1.5</v>
          </cell>
          <cell r="K52">
            <v>2</v>
          </cell>
          <cell r="L52">
            <v>2.0030931400527248</v>
          </cell>
          <cell r="M52">
            <v>2.0159306029074995</v>
          </cell>
          <cell r="N52">
            <v>2.0114202914191059</v>
          </cell>
          <cell r="O52">
            <v>2.0152917192932636</v>
          </cell>
          <cell r="P52">
            <v>2.0085061507195201</v>
          </cell>
          <cell r="Q52">
            <v>1.9987848743708878</v>
          </cell>
          <cell r="R52">
            <v>1.9868955195635807</v>
          </cell>
        </row>
      </sheetData>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structions"/>
      <sheetName val="Preliminary Details"/>
      <sheetName val="1 - RAB"/>
      <sheetName val="2(a)-Non-demand capex incl. RPM"/>
      <sheetName val="2(b)-Non-demand capex excl. RPM"/>
      <sheetName val="3(a)-Demand capex incl. RPM"/>
      <sheetName val="3(b)-Demand capex excl. RPM"/>
      <sheetName val="4- IT-related capex"/>
      <sheetName val="5- RAB allocation"/>
      <sheetName val="6- TAB allocation"/>
      <sheetName val="7 - Tax asset base"/>
      <sheetName val="8 - Depreciation &amp; asset lives "/>
      <sheetName val="9 - WACC Inputs"/>
      <sheetName val="10 - Escalators"/>
      <sheetName val="11 - CPI"/>
      <sheetName val="12 - Changes in provisions"/>
      <sheetName val="13 - Opex incl. RPM"/>
      <sheetName val="13(a)-Opex on meters incl. RPM"/>
      <sheetName val="14 - Opex excl. RPM"/>
      <sheetName val="14(a)-Opex on meters excl. RPM"/>
      <sheetName val="15 - ARS"/>
      <sheetName val="16- Total revenue"/>
      <sheetName val="17- Incentive mechanisms"/>
      <sheetName val="18- Revenue equalisation"/>
      <sheetName val="19 - Allocation of total rev"/>
      <sheetName val="20 - Customer numbers Metro"/>
      <sheetName val="21 - Consumption and demand Met"/>
      <sheetName val="22 - Network characteristics"/>
      <sheetName val="23 - Related party transactions"/>
      <sheetName val="24 - Third party transactions"/>
      <sheetName val="25 - Gas extensions - 03-07 "/>
      <sheetName val="26 - Gas extenstions - YV"/>
      <sheetName val="Sheet1"/>
      <sheetName val="Sheet2"/>
      <sheetName val="26a - Gas Extensions SG"/>
      <sheetName val="27 - Gas extensions - demand YV"/>
      <sheetName val="27 - Gas extensions - demand SG"/>
      <sheetName val="28 - Gas extensions - tariff YV"/>
      <sheetName val="28a-Gas extensions - tariff S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ow r="34">
          <cell r="D34">
            <v>632067</v>
          </cell>
        </row>
        <row r="35">
          <cell r="D35">
            <v>636571</v>
          </cell>
          <cell r="E35">
            <v>641642</v>
          </cell>
          <cell r="F35">
            <v>645501</v>
          </cell>
        </row>
        <row r="38">
          <cell r="D38">
            <v>7537</v>
          </cell>
          <cell r="E38">
            <v>7743</v>
          </cell>
          <cell r="F38">
            <v>6890</v>
          </cell>
          <cell r="G38">
            <v>7670</v>
          </cell>
          <cell r="H38">
            <v>7922.3435616085499</v>
          </cell>
        </row>
        <row r="39">
          <cell r="D39">
            <v>3033</v>
          </cell>
          <cell r="E39">
            <v>2672</v>
          </cell>
          <cell r="F39">
            <v>3031</v>
          </cell>
          <cell r="G39">
            <v>3546</v>
          </cell>
          <cell r="H39">
            <v>2883.1800942775753</v>
          </cell>
        </row>
        <row r="42">
          <cell r="D42">
            <v>16654</v>
          </cell>
        </row>
        <row r="43">
          <cell r="D43">
            <v>16571</v>
          </cell>
          <cell r="E43">
            <v>16475</v>
          </cell>
          <cell r="F43">
            <v>16438</v>
          </cell>
        </row>
        <row r="46">
          <cell r="D46">
            <v>133</v>
          </cell>
          <cell r="E46">
            <v>147</v>
          </cell>
          <cell r="F46">
            <v>147</v>
          </cell>
          <cell r="G46">
            <v>120</v>
          </cell>
          <cell r="H46">
            <v>195.87502631850799</v>
          </cell>
        </row>
        <row r="47">
          <cell r="D47">
            <v>216</v>
          </cell>
          <cell r="E47">
            <v>243</v>
          </cell>
          <cell r="F47">
            <v>184</v>
          </cell>
          <cell r="H47">
            <v>212.10728554790836</v>
          </cell>
        </row>
        <row r="60">
          <cell r="D60">
            <v>16</v>
          </cell>
        </row>
        <row r="61">
          <cell r="D61">
            <v>15</v>
          </cell>
          <cell r="E61">
            <v>15</v>
          </cell>
          <cell r="F61">
            <v>15</v>
          </cell>
        </row>
        <row r="64">
          <cell r="D64">
            <v>0</v>
          </cell>
          <cell r="E64">
            <v>0</v>
          </cell>
          <cell r="F64">
            <v>0</v>
          </cell>
        </row>
        <row r="65">
          <cell r="D65">
            <v>1</v>
          </cell>
          <cell r="E65">
            <v>0</v>
          </cell>
          <cell r="F65">
            <v>0</v>
          </cell>
          <cell r="G65">
            <v>0</v>
          </cell>
        </row>
        <row r="69">
          <cell r="D69">
            <v>266</v>
          </cell>
        </row>
        <row r="70">
          <cell r="D70">
            <v>262</v>
          </cell>
          <cell r="E70">
            <v>264</v>
          </cell>
          <cell r="F70">
            <v>269</v>
          </cell>
        </row>
        <row r="73">
          <cell r="D73">
            <v>130</v>
          </cell>
          <cell r="E73">
            <v>22</v>
          </cell>
          <cell r="F73">
            <v>6</v>
          </cell>
        </row>
        <row r="74">
          <cell r="D74">
            <v>126</v>
          </cell>
          <cell r="E74">
            <v>24</v>
          </cell>
          <cell r="F74">
            <v>11</v>
          </cell>
        </row>
      </sheetData>
      <sheetData sheetId="27"/>
      <sheetData sheetId="28"/>
      <sheetData sheetId="29"/>
      <sheetData sheetId="30"/>
      <sheetData sheetId="31"/>
      <sheetData sheetId="32">
        <row r="31">
          <cell r="C31">
            <v>3081</v>
          </cell>
        </row>
        <row r="32">
          <cell r="C32">
            <v>3616</v>
          </cell>
          <cell r="D32">
            <v>3857</v>
          </cell>
          <cell r="E32">
            <v>4070</v>
          </cell>
        </row>
        <row r="38">
          <cell r="C38">
            <v>23</v>
          </cell>
        </row>
        <row r="39">
          <cell r="C39">
            <v>28</v>
          </cell>
          <cell r="D39">
            <v>33</v>
          </cell>
          <cell r="E39">
            <v>37</v>
          </cell>
        </row>
      </sheetData>
      <sheetData sheetId="33"/>
      <sheetData sheetId="34"/>
      <sheetData sheetId="35">
        <row r="31">
          <cell r="C31">
            <v>0</v>
          </cell>
        </row>
        <row r="32">
          <cell r="C32">
            <v>0</v>
          </cell>
          <cell r="D32">
            <v>1021</v>
          </cell>
          <cell r="E32">
            <v>1980</v>
          </cell>
        </row>
        <row r="38">
          <cell r="C38">
            <v>0</v>
          </cell>
        </row>
        <row r="39">
          <cell r="C39">
            <v>0</v>
          </cell>
          <cell r="D39">
            <v>22</v>
          </cell>
          <cell r="E39">
            <v>62</v>
          </cell>
        </row>
      </sheetData>
      <sheetData sheetId="36"/>
      <sheetData sheetId="37"/>
      <sheetData sheetId="38"/>
      <sheetData sheetId="3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ER only"/>
      <sheetName val="Contents"/>
      <sheetName val="Instructions"/>
      <sheetName val="Business &amp; other details"/>
      <sheetName val="1. CPI"/>
      <sheetName val="2. Escalators"/>
      <sheetName val="3 - Capex summary"/>
      <sheetName val="4. Connections market expansn"/>
      <sheetName val="5. Mains augmentation"/>
      <sheetName val="6. Mains replacement"/>
      <sheetName val="7. Telemetry"/>
      <sheetName val="8. Meter replacement"/>
      <sheetName val="9. Other capex"/>
      <sheetName val="12. IT"/>
      <sheetName val="14. Overheads"/>
      <sheetName val="15. Related party transactions"/>
      <sheetName val="16. Capex allocation"/>
      <sheetName val="17. Gross Capex "/>
      <sheetName val="20. Changes in provisions"/>
      <sheetName val="21 - Indicative bill impacts"/>
      <sheetName val="22. WACC Inputs"/>
      <sheetName val="23.1 Opex incl. RPM"/>
      <sheetName val="23.2 Opex excl. RPM"/>
      <sheetName val="23.3 Opex base-step-trend"/>
      <sheetName val="23.4 Opex Incentive Mechanism"/>
      <sheetName val="24. Cost category matrix"/>
      <sheetName val="25. ARS"/>
      <sheetName val="26. Allocation of total revenue"/>
      <sheetName val="28.1 Consumption &amp; demand TOTAL"/>
      <sheetName val="28.2 Consumption &amp; demand METRO"/>
      <sheetName val="28.3 Consumption &amp; demand YV"/>
      <sheetName val="28.4 Consumption &amp; demand SG"/>
      <sheetName val="29.1 Gas extenstions ($)"/>
      <sheetName val="29.2 Gas extenstions cust no"/>
      <sheetName val="29.3 Gas extensions - demand"/>
      <sheetName val="29.4 Gas extensions - tariffs"/>
      <sheetName val="30. Network characteristics"/>
      <sheetName val="31 - Pass throughs"/>
    </sheetNames>
    <sheetDataSet>
      <sheetData sheetId="0">
        <row r="8">
          <cell r="B8" t="str">
            <v>ActewAGL Distribution</v>
          </cell>
          <cell r="C8" t="str">
            <v>ActewAGL Distribution</v>
          </cell>
          <cell r="D8">
            <v>76670568688</v>
          </cell>
          <cell r="E8" t="str">
            <v>ACT</v>
          </cell>
          <cell r="F8" t="str">
            <v>Electricity</v>
          </cell>
          <cell r="G8" t="str">
            <v>Distribution</v>
          </cell>
          <cell r="H8" t="str">
            <v>Revenue cap</v>
          </cell>
          <cell r="I8" t="str">
            <v>Financial</v>
          </cell>
          <cell r="J8" t="str">
            <v>June</v>
          </cell>
          <cell r="K8">
            <v>5</v>
          </cell>
          <cell r="L8">
            <v>5</v>
          </cell>
          <cell r="M8">
            <v>5</v>
          </cell>
          <cell r="N8" t="str">
            <v>2014-19 Distribution Determination</v>
          </cell>
        </row>
        <row r="9">
          <cell r="B9" t="str">
            <v>ActewAGL Distribution (Tx Assets)</v>
          </cell>
          <cell r="C9" t="str">
            <v>ActewAGL Distribution (Tx Assets)</v>
          </cell>
          <cell r="D9">
            <v>76670568688</v>
          </cell>
          <cell r="E9" t="str">
            <v>ACT</v>
          </cell>
          <cell r="F9" t="str">
            <v>Electricity</v>
          </cell>
          <cell r="G9" t="str">
            <v>Distribution</v>
          </cell>
          <cell r="H9" t="str">
            <v>Revenue cap</v>
          </cell>
          <cell r="I9" t="str">
            <v>Financial</v>
          </cell>
          <cell r="J9" t="str">
            <v>June</v>
          </cell>
          <cell r="K9">
            <v>5</v>
          </cell>
          <cell r="L9">
            <v>5</v>
          </cell>
          <cell r="M9">
            <v>5</v>
          </cell>
          <cell r="N9" t="str">
            <v>distribution determination</v>
          </cell>
        </row>
        <row r="10">
          <cell r="B10" t="str">
            <v>ActewAGL Gas</v>
          </cell>
          <cell r="C10" t="str">
            <v>ActewAGL Gas</v>
          </cell>
          <cell r="D10">
            <v>76670568688</v>
          </cell>
          <cell r="E10" t="str">
            <v>ACT</v>
          </cell>
          <cell r="F10" t="str">
            <v>Gas</v>
          </cell>
          <cell r="G10" t="str">
            <v>Distribution</v>
          </cell>
          <cell r="H10" t="str">
            <v>Weighted average price cap</v>
          </cell>
          <cell r="I10" t="str">
            <v>Financial</v>
          </cell>
          <cell r="J10" t="str">
            <v>June</v>
          </cell>
          <cell r="K10">
            <v>5</v>
          </cell>
          <cell r="L10">
            <v>5</v>
          </cell>
          <cell r="M10" t="str">
            <v>x</v>
          </cell>
        </row>
        <row r="11">
          <cell r="B11" t="str">
            <v>AGN (SA)</v>
          </cell>
          <cell r="C11" t="str">
            <v>AGN (SA)</v>
          </cell>
          <cell r="D11">
            <v>78551685</v>
          </cell>
          <cell r="E11" t="str">
            <v>SA</v>
          </cell>
          <cell r="F11" t="str">
            <v>Gas</v>
          </cell>
          <cell r="G11" t="str">
            <v>Distribution</v>
          </cell>
          <cell r="H11" t="str">
            <v>Revenue cap</v>
          </cell>
          <cell r="I11" t="str">
            <v>Financial</v>
          </cell>
          <cell r="J11" t="str">
            <v>June</v>
          </cell>
          <cell r="K11">
            <v>5</v>
          </cell>
          <cell r="L11">
            <v>5</v>
          </cell>
          <cell r="M11">
            <v>5</v>
          </cell>
          <cell r="N11" t="str">
            <v>distribution determination</v>
          </cell>
        </row>
        <row r="12">
          <cell r="B12" t="str">
            <v>AGN (Victoria)</v>
          </cell>
          <cell r="C12" t="str">
            <v>Australian Gas Networks Limited</v>
          </cell>
          <cell r="D12">
            <v>19078551685</v>
          </cell>
          <cell r="E12" t="str">
            <v>Vic</v>
          </cell>
          <cell r="F12" t="str">
            <v>Gas</v>
          </cell>
          <cell r="G12" t="str">
            <v>Distribution</v>
          </cell>
          <cell r="H12" t="str">
            <v>Weighted average price cap</v>
          </cell>
          <cell r="I12" t="str">
            <v>Calendar</v>
          </cell>
          <cell r="J12" t="str">
            <v>December</v>
          </cell>
          <cell r="K12">
            <v>5</v>
          </cell>
          <cell r="L12">
            <v>5</v>
          </cell>
          <cell r="M12" t="str">
            <v>x</v>
          </cell>
        </row>
        <row r="13">
          <cell r="B13" t="str">
            <v>Amadeus</v>
          </cell>
          <cell r="C13" t="str">
            <v>APT Pipelines (NT) Pty Ltd</v>
          </cell>
          <cell r="D13">
            <v>39009737393</v>
          </cell>
          <cell r="E13" t="str">
            <v>NT</v>
          </cell>
          <cell r="F13" t="str">
            <v>Gas</v>
          </cell>
          <cell r="G13" t="str">
            <v>Transmission</v>
          </cell>
          <cell r="H13" t="str">
            <v>Weighted average price cap</v>
          </cell>
          <cell r="I13" t="str">
            <v>Financial</v>
          </cell>
          <cell r="J13" t="str">
            <v>June</v>
          </cell>
          <cell r="K13">
            <v>5</v>
          </cell>
          <cell r="L13">
            <v>5</v>
          </cell>
          <cell r="M13" t="str">
            <v>x</v>
          </cell>
          <cell r="N13" t="str">
            <v>n/a</v>
          </cell>
        </row>
        <row r="14">
          <cell r="B14" t="str">
            <v>APA GasNet</v>
          </cell>
          <cell r="C14" t="str">
            <v>APA VTS Australia Limited</v>
          </cell>
          <cell r="D14">
            <v>79096457868</v>
          </cell>
          <cell r="E14" t="str">
            <v>Vic</v>
          </cell>
          <cell r="F14" t="str">
            <v>Gas</v>
          </cell>
          <cell r="G14" t="str">
            <v>Transmission</v>
          </cell>
          <cell r="H14" t="str">
            <v>Weighted average price cap</v>
          </cell>
          <cell r="I14" t="str">
            <v>Calendar</v>
          </cell>
          <cell r="J14" t="str">
            <v>December</v>
          </cell>
          <cell r="K14">
            <v>5</v>
          </cell>
          <cell r="L14">
            <v>5</v>
          </cell>
          <cell r="M14" t="str">
            <v>x</v>
          </cell>
        </row>
        <row r="15">
          <cell r="B15" t="str">
            <v>Ausgrid</v>
          </cell>
          <cell r="C15" t="str">
            <v>Ausgrid</v>
          </cell>
          <cell r="D15">
            <v>67505337385</v>
          </cell>
          <cell r="E15" t="str">
            <v>NSW</v>
          </cell>
          <cell r="F15" t="str">
            <v>Electricity</v>
          </cell>
          <cell r="G15" t="str">
            <v>Distribution</v>
          </cell>
          <cell r="H15" t="str">
            <v>Revenue cap</v>
          </cell>
          <cell r="I15" t="str">
            <v>Financial</v>
          </cell>
          <cell r="J15" t="str">
            <v>June</v>
          </cell>
          <cell r="K15">
            <v>5</v>
          </cell>
          <cell r="L15">
            <v>5</v>
          </cell>
          <cell r="M15">
            <v>5</v>
          </cell>
          <cell r="N15" t="str">
            <v>2014-19 Distribution Determination</v>
          </cell>
        </row>
        <row r="16">
          <cell r="B16" t="str">
            <v>Ausgrid (Tx Assets)</v>
          </cell>
          <cell r="C16" t="str">
            <v>Ausgrid (Tx Assets)</v>
          </cell>
          <cell r="D16">
            <v>67505337385</v>
          </cell>
          <cell r="E16" t="str">
            <v>NSW</v>
          </cell>
          <cell r="F16" t="str">
            <v>Electricity</v>
          </cell>
          <cell r="G16" t="str">
            <v>Distribution</v>
          </cell>
          <cell r="H16" t="str">
            <v>Revenue cap</v>
          </cell>
          <cell r="I16" t="str">
            <v>Financial</v>
          </cell>
          <cell r="J16" t="str">
            <v>June</v>
          </cell>
          <cell r="K16">
            <v>5</v>
          </cell>
          <cell r="L16">
            <v>5</v>
          </cell>
          <cell r="M16">
            <v>5</v>
          </cell>
          <cell r="N16" t="str">
            <v>distribution determination</v>
          </cell>
        </row>
        <row r="17">
          <cell r="B17" t="str">
            <v>AusNet (D)</v>
          </cell>
          <cell r="C17" t="str">
            <v>AusNet Services (D)</v>
          </cell>
          <cell r="D17">
            <v>91064651118</v>
          </cell>
          <cell r="E17" t="str">
            <v>Vic</v>
          </cell>
          <cell r="F17" t="str">
            <v>Electricity</v>
          </cell>
          <cell r="G17" t="str">
            <v>Distribution</v>
          </cell>
          <cell r="H17" t="str">
            <v>Revenue cap</v>
          </cell>
          <cell r="I17" t="str">
            <v>Calendar</v>
          </cell>
          <cell r="J17" t="str">
            <v>December</v>
          </cell>
          <cell r="K17">
            <v>5</v>
          </cell>
          <cell r="L17">
            <v>5</v>
          </cell>
          <cell r="M17">
            <v>2</v>
          </cell>
          <cell r="N17" t="str">
            <v>2016-20 Distribution Determination</v>
          </cell>
        </row>
        <row r="18">
          <cell r="B18" t="str">
            <v>AusNet (Gas)</v>
          </cell>
          <cell r="C18" t="str">
            <v>AusNet Gas Services</v>
          </cell>
          <cell r="E18" t="str">
            <v>Vic</v>
          </cell>
          <cell r="F18" t="str">
            <v>Gas</v>
          </cell>
          <cell r="G18" t="str">
            <v>Distribution</v>
          </cell>
          <cell r="H18" t="str">
            <v>Weighted average price cap</v>
          </cell>
          <cell r="I18" t="str">
            <v>Calendar</v>
          </cell>
          <cell r="J18" t="str">
            <v>December</v>
          </cell>
          <cell r="K18">
            <v>5</v>
          </cell>
          <cell r="L18">
            <v>5</v>
          </cell>
          <cell r="M18" t="str">
            <v>X</v>
          </cell>
        </row>
        <row r="19">
          <cell r="B19" t="str">
            <v>AusNet (T)</v>
          </cell>
          <cell r="C19" t="str">
            <v>AusNet (T)</v>
          </cell>
          <cell r="D19">
            <v>78079798173</v>
          </cell>
          <cell r="E19" t="str">
            <v>Vic</v>
          </cell>
          <cell r="F19" t="str">
            <v>Electricity</v>
          </cell>
          <cell r="G19" t="str">
            <v>Transmission</v>
          </cell>
          <cell r="H19" t="str">
            <v>Revenue cap</v>
          </cell>
          <cell r="I19" t="str">
            <v>Financial</v>
          </cell>
          <cell r="J19" t="str">
            <v>March</v>
          </cell>
          <cell r="K19">
            <v>5</v>
          </cell>
          <cell r="L19">
            <v>5</v>
          </cell>
          <cell r="M19">
            <v>2</v>
          </cell>
          <cell r="N19" t="str">
            <v>transmission determination</v>
          </cell>
        </row>
        <row r="20">
          <cell r="B20" t="str">
            <v>Australian Distribution Co.</v>
          </cell>
          <cell r="C20" t="str">
            <v>Australian Distribution Co.</v>
          </cell>
          <cell r="D20">
            <v>11222333444</v>
          </cell>
          <cell r="E20" t="str">
            <v>-</v>
          </cell>
          <cell r="F20" t="str">
            <v>Electricity</v>
          </cell>
          <cell r="G20" t="str">
            <v>Distribution</v>
          </cell>
          <cell r="H20" t="str">
            <v>Revenue cap</v>
          </cell>
          <cell r="I20" t="str">
            <v>Financial</v>
          </cell>
          <cell r="J20" t="str">
            <v>June</v>
          </cell>
          <cell r="K20">
            <v>5</v>
          </cell>
          <cell r="L20">
            <v>5</v>
          </cell>
          <cell r="M20">
            <v>2</v>
          </cell>
          <cell r="N20" t="str">
            <v>distribution determination</v>
          </cell>
        </row>
        <row r="21">
          <cell r="B21" t="str">
            <v>Australian Transmission Co.</v>
          </cell>
          <cell r="C21" t="str">
            <v>Australian Transmission Co.</v>
          </cell>
          <cell r="D21">
            <v>11222333444</v>
          </cell>
          <cell r="E21" t="str">
            <v>-</v>
          </cell>
          <cell r="F21" t="str">
            <v>Electricity</v>
          </cell>
          <cell r="G21" t="str">
            <v>Transmission</v>
          </cell>
          <cell r="H21" t="str">
            <v>Revenue cap</v>
          </cell>
          <cell r="I21" t="str">
            <v>Financial</v>
          </cell>
          <cell r="J21" t="str">
            <v>June</v>
          </cell>
          <cell r="K21">
            <v>5</v>
          </cell>
          <cell r="L21">
            <v>5</v>
          </cell>
          <cell r="M21">
            <v>5</v>
          </cell>
          <cell r="N21" t="str">
            <v>transmission determination</v>
          </cell>
        </row>
        <row r="22">
          <cell r="B22" t="str">
            <v>CitiPower</v>
          </cell>
          <cell r="C22" t="str">
            <v>CitiPower</v>
          </cell>
          <cell r="D22">
            <v>76064651056</v>
          </cell>
          <cell r="E22" t="str">
            <v>Vic</v>
          </cell>
          <cell r="F22" t="str">
            <v>Electricity</v>
          </cell>
          <cell r="G22" t="str">
            <v>Distribution</v>
          </cell>
          <cell r="H22" t="str">
            <v>Revenue cap</v>
          </cell>
          <cell r="I22" t="str">
            <v>Calendar</v>
          </cell>
          <cell r="J22" t="str">
            <v>December</v>
          </cell>
          <cell r="K22">
            <v>5</v>
          </cell>
          <cell r="L22">
            <v>5</v>
          </cell>
          <cell r="M22">
            <v>2</v>
          </cell>
          <cell r="N22" t="str">
            <v>2016-20 Distribution Determination</v>
          </cell>
        </row>
        <row r="23">
          <cell r="B23" t="str">
            <v>Directlink</v>
          </cell>
          <cell r="C23" t="str">
            <v>Directlink</v>
          </cell>
          <cell r="D23">
            <v>16779340889</v>
          </cell>
          <cell r="E23" t="str">
            <v>Qld</v>
          </cell>
          <cell r="F23" t="str">
            <v>Electricity</v>
          </cell>
          <cell r="G23" t="str">
            <v>Transmission</v>
          </cell>
          <cell r="H23" t="str">
            <v>Revenue cap</v>
          </cell>
          <cell r="I23" t="str">
            <v>Financial</v>
          </cell>
          <cell r="J23" t="str">
            <v>June</v>
          </cell>
          <cell r="K23">
            <v>9</v>
          </cell>
          <cell r="L23">
            <v>5</v>
          </cell>
          <cell r="M23">
            <v>5</v>
          </cell>
          <cell r="N23" t="str">
            <v>transmission determination</v>
          </cell>
        </row>
        <row r="24">
          <cell r="B24" t="str">
            <v>ElectraNet</v>
          </cell>
          <cell r="C24" t="str">
            <v>ElectraNet</v>
          </cell>
          <cell r="D24">
            <v>41094482416</v>
          </cell>
          <cell r="E24" t="str">
            <v>SA</v>
          </cell>
          <cell r="F24" t="str">
            <v>Electricity</v>
          </cell>
          <cell r="G24" t="str">
            <v>Transmission</v>
          </cell>
          <cell r="H24" t="str">
            <v>Revenue cap</v>
          </cell>
          <cell r="I24" t="str">
            <v>Financial</v>
          </cell>
          <cell r="J24" t="str">
            <v>June</v>
          </cell>
          <cell r="K24">
            <v>5</v>
          </cell>
          <cell r="L24">
            <v>5</v>
          </cell>
          <cell r="M24">
            <v>5</v>
          </cell>
          <cell r="N24" t="str">
            <v>transmission determination</v>
          </cell>
        </row>
        <row r="25">
          <cell r="B25" t="str">
            <v>Endeavour Energy</v>
          </cell>
          <cell r="C25" t="str">
            <v>Endeavour Energy</v>
          </cell>
          <cell r="D25">
            <v>59253130878</v>
          </cell>
          <cell r="E25" t="str">
            <v>NSW</v>
          </cell>
          <cell r="F25" t="str">
            <v>Electricity</v>
          </cell>
          <cell r="G25" t="str">
            <v>Distribution</v>
          </cell>
          <cell r="H25" t="str">
            <v>Revenue cap</v>
          </cell>
          <cell r="I25" t="str">
            <v>Financial</v>
          </cell>
          <cell r="J25" t="str">
            <v>June</v>
          </cell>
          <cell r="K25">
            <v>5</v>
          </cell>
          <cell r="L25">
            <v>5</v>
          </cell>
          <cell r="M25">
            <v>5</v>
          </cell>
          <cell r="N25" t="str">
            <v>2014-19 Distribution Determination</v>
          </cell>
        </row>
        <row r="26">
          <cell r="B26" t="str">
            <v>Energex</v>
          </cell>
          <cell r="C26" t="str">
            <v>Energex</v>
          </cell>
          <cell r="D26">
            <v>40078849055</v>
          </cell>
          <cell r="E26" t="str">
            <v>Qld</v>
          </cell>
          <cell r="F26" t="str">
            <v>Electricity</v>
          </cell>
          <cell r="G26" t="str">
            <v>Distribution</v>
          </cell>
          <cell r="H26" t="str">
            <v>Revenue cap</v>
          </cell>
          <cell r="I26" t="str">
            <v>Financial</v>
          </cell>
          <cell r="J26" t="str">
            <v>June</v>
          </cell>
          <cell r="K26">
            <v>5</v>
          </cell>
          <cell r="L26">
            <v>5</v>
          </cell>
          <cell r="M26">
            <v>5</v>
          </cell>
          <cell r="N26" t="str">
            <v>2015-20 Distribution Determination</v>
          </cell>
        </row>
        <row r="27">
          <cell r="B27" t="str">
            <v>Ergon Energy</v>
          </cell>
          <cell r="C27" t="str">
            <v>Ergon Energy</v>
          </cell>
          <cell r="D27">
            <v>50087646062</v>
          </cell>
          <cell r="E27" t="str">
            <v>Qld</v>
          </cell>
          <cell r="F27" t="str">
            <v>Electricity</v>
          </cell>
          <cell r="G27" t="str">
            <v>Distribution</v>
          </cell>
          <cell r="H27" t="str">
            <v>Revenue cap</v>
          </cell>
          <cell r="I27" t="str">
            <v>Financial</v>
          </cell>
          <cell r="J27" t="str">
            <v>June</v>
          </cell>
          <cell r="K27">
            <v>5</v>
          </cell>
          <cell r="L27">
            <v>5</v>
          </cell>
          <cell r="M27">
            <v>5</v>
          </cell>
          <cell r="N27" t="str">
            <v>2015-20 Distribution Determination</v>
          </cell>
        </row>
        <row r="28">
          <cell r="B28" t="str">
            <v>Essential Energy</v>
          </cell>
          <cell r="C28" t="str">
            <v>Essential Energy</v>
          </cell>
          <cell r="D28">
            <v>37428185226</v>
          </cell>
          <cell r="E28" t="str">
            <v>NSW</v>
          </cell>
          <cell r="F28" t="str">
            <v>Electricity</v>
          </cell>
          <cell r="G28" t="str">
            <v>Distribution</v>
          </cell>
          <cell r="H28" t="str">
            <v>Revenue cap</v>
          </cell>
          <cell r="I28" t="str">
            <v>Financial</v>
          </cell>
          <cell r="J28" t="str">
            <v>June</v>
          </cell>
          <cell r="K28">
            <v>5</v>
          </cell>
          <cell r="L28">
            <v>5</v>
          </cell>
          <cell r="M28">
            <v>5</v>
          </cell>
          <cell r="N28" t="str">
            <v>2014-19 Distribution Determination</v>
          </cell>
        </row>
        <row r="29">
          <cell r="B29" t="str">
            <v>Jemena Electricity</v>
          </cell>
          <cell r="C29" t="str">
            <v>Jemena Electricity</v>
          </cell>
          <cell r="D29">
            <v>82064651083</v>
          </cell>
          <cell r="E29" t="str">
            <v>Vic</v>
          </cell>
          <cell r="F29" t="str">
            <v>Electricity</v>
          </cell>
          <cell r="G29" t="str">
            <v>Distribution</v>
          </cell>
          <cell r="H29" t="str">
            <v>Revenue cap</v>
          </cell>
          <cell r="I29" t="str">
            <v>Calendar</v>
          </cell>
          <cell r="J29" t="str">
            <v>December</v>
          </cell>
          <cell r="K29">
            <v>5</v>
          </cell>
          <cell r="L29">
            <v>5</v>
          </cell>
          <cell r="M29">
            <v>2</v>
          </cell>
          <cell r="N29" t="str">
            <v>2016-20 Distribution Determination</v>
          </cell>
        </row>
        <row r="30">
          <cell r="B30" t="str">
            <v>JGN</v>
          </cell>
          <cell r="C30" t="str">
            <v>Jemena Gas Networks</v>
          </cell>
          <cell r="E30" t="str">
            <v>NSW</v>
          </cell>
          <cell r="F30" t="str">
            <v>Gas</v>
          </cell>
          <cell r="G30" t="str">
            <v>Distribution</v>
          </cell>
          <cell r="H30" t="str">
            <v>Weighted average price cap</v>
          </cell>
          <cell r="I30" t="str">
            <v>Financial</v>
          </cell>
          <cell r="J30" t="str">
            <v>June</v>
          </cell>
          <cell r="K30">
            <v>5</v>
          </cell>
          <cell r="L30">
            <v>5</v>
          </cell>
        </row>
        <row r="31">
          <cell r="B31" t="str">
            <v>Multinet Gas</v>
          </cell>
          <cell r="C31" t="str">
            <v>Multinet Gas (DB No.1) Pty Ltd (ACN 086 026 986), Multinet Gas (DB No.2) Pty Ltd (ACN 086 230 122)</v>
          </cell>
          <cell r="D31">
            <v>86026986</v>
          </cell>
          <cell r="E31" t="str">
            <v>Vic</v>
          </cell>
          <cell r="F31" t="str">
            <v>Gas</v>
          </cell>
          <cell r="G31" t="str">
            <v>Distribution</v>
          </cell>
          <cell r="H31" t="str">
            <v>Weighted average price cap</v>
          </cell>
          <cell r="I31" t="str">
            <v>Calendar</v>
          </cell>
          <cell r="J31" t="str">
            <v>December</v>
          </cell>
          <cell r="K31">
            <v>5</v>
          </cell>
          <cell r="L31">
            <v>5</v>
          </cell>
          <cell r="M31" t="str">
            <v>x</v>
          </cell>
        </row>
        <row r="32">
          <cell r="B32" t="str">
            <v>Murraylink</v>
          </cell>
          <cell r="C32" t="str">
            <v>Murraylink</v>
          </cell>
          <cell r="D32">
            <v>79181207909</v>
          </cell>
          <cell r="E32" t="str">
            <v>SA</v>
          </cell>
          <cell r="F32" t="str">
            <v>Electricity</v>
          </cell>
          <cell r="G32" t="str">
            <v>Transmission</v>
          </cell>
          <cell r="H32" t="str">
            <v>Revenue cap</v>
          </cell>
          <cell r="I32" t="str">
            <v>Financial</v>
          </cell>
          <cell r="J32" t="str">
            <v>June</v>
          </cell>
          <cell r="K32">
            <v>5</v>
          </cell>
          <cell r="L32">
            <v>5</v>
          </cell>
          <cell r="M32">
            <v>5</v>
          </cell>
          <cell r="N32" t="str">
            <v>transmission determination</v>
          </cell>
        </row>
        <row r="33">
          <cell r="B33" t="str">
            <v>Powercor Australia</v>
          </cell>
          <cell r="C33" t="str">
            <v>Powercor Australia</v>
          </cell>
          <cell r="D33">
            <v>89064651109</v>
          </cell>
          <cell r="E33" t="str">
            <v>Vic</v>
          </cell>
          <cell r="F33" t="str">
            <v>Electricity</v>
          </cell>
          <cell r="G33" t="str">
            <v>Distribution</v>
          </cell>
          <cell r="H33" t="str">
            <v>Revenue cap</v>
          </cell>
          <cell r="I33" t="str">
            <v>Calendar</v>
          </cell>
          <cell r="J33" t="str">
            <v>December</v>
          </cell>
          <cell r="K33">
            <v>5</v>
          </cell>
          <cell r="L33">
            <v>5</v>
          </cell>
          <cell r="M33">
            <v>2</v>
          </cell>
          <cell r="N33" t="str">
            <v>2016-20 Distribution Determination</v>
          </cell>
        </row>
        <row r="34">
          <cell r="B34" t="str">
            <v>Powerlink</v>
          </cell>
          <cell r="C34" t="str">
            <v>Queensland Electricity Transmission Corporation Limited trading as Powerlink Queensland</v>
          </cell>
          <cell r="D34">
            <v>82078849233</v>
          </cell>
          <cell r="E34" t="str">
            <v>Qld</v>
          </cell>
          <cell r="F34" t="str">
            <v>Electricity</v>
          </cell>
          <cell r="G34" t="str">
            <v>Transmission</v>
          </cell>
          <cell r="H34" t="str">
            <v>Revenue cap</v>
          </cell>
          <cell r="I34" t="str">
            <v>Financial</v>
          </cell>
          <cell r="J34" t="str">
            <v>June</v>
          </cell>
          <cell r="K34">
            <v>5</v>
          </cell>
          <cell r="L34">
            <v>5</v>
          </cell>
          <cell r="M34">
            <v>5</v>
          </cell>
          <cell r="N34" t="str">
            <v>transmission determination</v>
          </cell>
        </row>
        <row r="35">
          <cell r="B35" t="str">
            <v>Roma to Brisbane Pipeline</v>
          </cell>
          <cell r="C35" t="str">
            <v>APT Petroleum Pipelines Limited t/a Roma to Brisbane Pipeline</v>
          </cell>
          <cell r="D35" t="str">
            <v>009 737 393</v>
          </cell>
          <cell r="E35" t="str">
            <v>Qld</v>
          </cell>
          <cell r="F35" t="str">
            <v>Gas</v>
          </cell>
          <cell r="G35" t="str">
            <v>Transmission</v>
          </cell>
          <cell r="H35" t="str">
            <v>Revenue cap</v>
          </cell>
          <cell r="I35" t="str">
            <v>Financial</v>
          </cell>
          <cell r="J35" t="str">
            <v>June</v>
          </cell>
          <cell r="K35">
            <v>5</v>
          </cell>
          <cell r="L35">
            <v>5</v>
          </cell>
          <cell r="M35" t="str">
            <v>x</v>
          </cell>
          <cell r="N35" t="str">
            <v>n/a</v>
          </cell>
        </row>
        <row r="36">
          <cell r="B36" t="str">
            <v>SA Power Networks</v>
          </cell>
          <cell r="C36" t="str">
            <v>SA Power Networks</v>
          </cell>
          <cell r="D36">
            <v>13332330749</v>
          </cell>
          <cell r="E36" t="str">
            <v>SA</v>
          </cell>
          <cell r="F36" t="str">
            <v>Electricity</v>
          </cell>
          <cell r="G36" t="str">
            <v>Distribution</v>
          </cell>
          <cell r="H36" t="str">
            <v>Revenue cap</v>
          </cell>
          <cell r="I36" t="str">
            <v>Financial</v>
          </cell>
          <cell r="J36" t="str">
            <v>June</v>
          </cell>
          <cell r="K36">
            <v>5</v>
          </cell>
          <cell r="L36">
            <v>5</v>
          </cell>
          <cell r="M36">
            <v>5</v>
          </cell>
          <cell r="N36" t="str">
            <v>2015-20 Distribution Determination</v>
          </cell>
        </row>
        <row r="37">
          <cell r="B37" t="str">
            <v>TasNetworks (D)</v>
          </cell>
          <cell r="C37" t="str">
            <v>TasNetworks (D)</v>
          </cell>
          <cell r="D37">
            <v>24167357299</v>
          </cell>
          <cell r="E37" t="str">
            <v>Tas</v>
          </cell>
          <cell r="F37" t="str">
            <v>Electricity</v>
          </cell>
          <cell r="G37" t="str">
            <v>Distribution</v>
          </cell>
          <cell r="H37" t="str">
            <v>Revenue cap</v>
          </cell>
          <cell r="I37" t="str">
            <v>Financial</v>
          </cell>
          <cell r="J37" t="str">
            <v>June</v>
          </cell>
          <cell r="K37">
            <v>5</v>
          </cell>
          <cell r="L37">
            <v>5</v>
          </cell>
          <cell r="M37">
            <v>5</v>
          </cell>
          <cell r="N37" t="str">
            <v>distribution determination</v>
          </cell>
        </row>
        <row r="38">
          <cell r="B38" t="str">
            <v>TasNetworks (T)</v>
          </cell>
          <cell r="C38" t="str">
            <v>TasNetworks (T)</v>
          </cell>
          <cell r="D38">
            <v>24167357299</v>
          </cell>
          <cell r="E38" t="str">
            <v>Tas</v>
          </cell>
          <cell r="F38" t="str">
            <v>Electricity</v>
          </cell>
          <cell r="G38" t="str">
            <v>Transmission</v>
          </cell>
          <cell r="H38" t="str">
            <v>Revenue cap</v>
          </cell>
          <cell r="I38" t="str">
            <v>Financial</v>
          </cell>
          <cell r="J38" t="str">
            <v>March</v>
          </cell>
          <cell r="K38">
            <v>5</v>
          </cell>
          <cell r="L38">
            <v>5</v>
          </cell>
          <cell r="M38">
            <v>5</v>
          </cell>
          <cell r="N38" t="str">
            <v>transmission determination</v>
          </cell>
        </row>
        <row r="39">
          <cell r="B39" t="str">
            <v>TransGrid</v>
          </cell>
          <cell r="C39" t="str">
            <v>TransGrid</v>
          </cell>
          <cell r="D39">
            <v>19622755774</v>
          </cell>
          <cell r="E39" t="str">
            <v>NSW</v>
          </cell>
          <cell r="F39" t="str">
            <v>Electricity</v>
          </cell>
          <cell r="G39" t="str">
            <v>Transmission</v>
          </cell>
          <cell r="H39" t="str">
            <v>Revenue cap</v>
          </cell>
          <cell r="I39" t="str">
            <v>Financial</v>
          </cell>
          <cell r="J39" t="str">
            <v>June</v>
          </cell>
          <cell r="K39">
            <v>5</v>
          </cell>
          <cell r="L39">
            <v>4</v>
          </cell>
          <cell r="M39">
            <v>5</v>
          </cell>
          <cell r="N39" t="str">
            <v>transmission determination</v>
          </cell>
        </row>
        <row r="40">
          <cell r="B40" t="str">
            <v>United Energy</v>
          </cell>
          <cell r="C40" t="str">
            <v>United Energy</v>
          </cell>
          <cell r="D40">
            <v>70064651029</v>
          </cell>
          <cell r="E40" t="str">
            <v>Vic</v>
          </cell>
          <cell r="F40" t="str">
            <v>Electricity</v>
          </cell>
          <cell r="G40" t="str">
            <v>Distribution</v>
          </cell>
          <cell r="H40" t="str">
            <v>Revenue cap</v>
          </cell>
          <cell r="I40" t="str">
            <v>Calendar</v>
          </cell>
          <cell r="J40" t="str">
            <v>December</v>
          </cell>
          <cell r="K40">
            <v>5</v>
          </cell>
          <cell r="L40">
            <v>5</v>
          </cell>
          <cell r="M40">
            <v>2</v>
          </cell>
          <cell r="N40" t="str">
            <v>2016-20 Distribution Determination</v>
          </cell>
        </row>
        <row r="41">
          <cell r="B41" t="str">
            <v>Western Power (D)</v>
          </cell>
          <cell r="C41" t="str">
            <v>Western Power (D)</v>
          </cell>
          <cell r="D41">
            <v>18540492861</v>
          </cell>
          <cell r="E41" t="str">
            <v>WA</v>
          </cell>
          <cell r="F41" t="str">
            <v>Electricity</v>
          </cell>
          <cell r="G41" t="str">
            <v>Distribution</v>
          </cell>
          <cell r="H41" t="str">
            <v>Revenue cap</v>
          </cell>
          <cell r="I41" t="str">
            <v>Financial</v>
          </cell>
          <cell r="J41" t="str">
            <v>June</v>
          </cell>
          <cell r="K41">
            <v>12</v>
          </cell>
          <cell r="L41">
            <v>4</v>
          </cell>
          <cell r="M41" t="str">
            <v>x</v>
          </cell>
          <cell r="N41" t="str">
            <v>distribution determination</v>
          </cell>
        </row>
        <row r="42">
          <cell r="B42" t="str">
            <v>Western Power (T)</v>
          </cell>
          <cell r="C42" t="str">
            <v>Western Power (T)</v>
          </cell>
          <cell r="D42">
            <v>18540492861</v>
          </cell>
          <cell r="E42" t="str">
            <v>WA</v>
          </cell>
          <cell r="F42" t="str">
            <v>Electricity</v>
          </cell>
          <cell r="G42" t="str">
            <v>Transmission</v>
          </cell>
          <cell r="H42" t="str">
            <v>Revenue cap</v>
          </cell>
          <cell r="I42" t="str">
            <v>Financial</v>
          </cell>
          <cell r="J42" t="str">
            <v>June</v>
          </cell>
          <cell r="K42">
            <v>12</v>
          </cell>
          <cell r="L42">
            <v>4</v>
          </cell>
          <cell r="M42" t="str">
            <v>x</v>
          </cell>
          <cell r="N42" t="str">
            <v>transmission determination</v>
          </cell>
        </row>
        <row r="48">
          <cell r="B48" t="str">
            <v>ARR</v>
          </cell>
          <cell r="C48" t="str">
            <v>ANNUAL REPORTING STATEMENT</v>
          </cell>
          <cell r="E48" t="e">
            <v>#REF!</v>
          </cell>
        </row>
        <row r="49">
          <cell r="B49" t="str">
            <v>CA</v>
          </cell>
          <cell r="C49" t="str">
            <v>CATEGORY ANALYSIS</v>
          </cell>
          <cell r="E49" t="e">
            <v>#REF!</v>
          </cell>
        </row>
        <row r="50">
          <cell r="B50" t="str">
            <v>CPI</v>
          </cell>
          <cell r="C50" t="str">
            <v>CPI</v>
          </cell>
        </row>
        <row r="51">
          <cell r="B51" t="str">
            <v>EB</v>
          </cell>
          <cell r="C51" t="str">
            <v>ECONOMIC BENCHMARKING</v>
          </cell>
          <cell r="E51" t="e">
            <v>#REF!</v>
          </cell>
        </row>
        <row r="52">
          <cell r="B52" t="str">
            <v>PTRM</v>
          </cell>
          <cell r="C52" t="str">
            <v>POST TAX REVENUE MODEL</v>
          </cell>
          <cell r="E52" t="str">
            <v>2022</v>
          </cell>
        </row>
        <row r="53">
          <cell r="B53" t="str">
            <v>Reset</v>
          </cell>
          <cell r="C53" t="str">
            <v>REGULATORY REPORTING STATEMENT</v>
          </cell>
          <cell r="E53" t="str">
            <v>2022</v>
          </cell>
        </row>
        <row r="54">
          <cell r="B54" t="str">
            <v>RFM</v>
          </cell>
          <cell r="C54" t="str">
            <v>ROLL FORWARD MODEL</v>
          </cell>
          <cell r="E54" t="str">
            <v>2017</v>
          </cell>
        </row>
        <row r="55">
          <cell r="B55" t="str">
            <v>WACC</v>
          </cell>
          <cell r="C55" t="str">
            <v>WEIGHTED AVERAGE COST OF CAPITAL</v>
          </cell>
          <cell r="E55" t="str">
            <v>2022</v>
          </cell>
        </row>
        <row r="66">
          <cell r="B66" t="str">
            <v>After appeal</v>
          </cell>
          <cell r="E66">
            <v>1</v>
          </cell>
          <cell r="F66" t="str">
            <v>dms_FRCP_y1</v>
          </cell>
          <cell r="G66">
            <v>1</v>
          </cell>
          <cell r="H66" t="str">
            <v>CRCP_y1</v>
          </cell>
          <cell r="I66" t="str">
            <v>2018</v>
          </cell>
          <cell r="K66">
            <v>2017</v>
          </cell>
          <cell r="M66">
            <v>1</v>
          </cell>
        </row>
        <row r="67">
          <cell r="B67" t="str">
            <v>Draft decision</v>
          </cell>
          <cell r="E67">
            <v>2</v>
          </cell>
          <cell r="F67" t="str">
            <v>dms_FRCP_y2</v>
          </cell>
          <cell r="G67">
            <v>2</v>
          </cell>
          <cell r="H67" t="str">
            <v>CRCP_y2</v>
          </cell>
          <cell r="I67">
            <v>2019</v>
          </cell>
          <cell r="K67">
            <v>2016</v>
          </cell>
          <cell r="M67">
            <v>2</v>
          </cell>
        </row>
        <row r="68">
          <cell r="B68" t="str">
            <v>Final decision</v>
          </cell>
          <cell r="E68">
            <v>3</v>
          </cell>
          <cell r="F68" t="str">
            <v>dms_FRCP_y3</v>
          </cell>
          <cell r="G68">
            <v>3</v>
          </cell>
          <cell r="H68" t="str">
            <v>CRCP_y3</v>
          </cell>
          <cell r="I68">
            <v>2020</v>
          </cell>
          <cell r="K68">
            <v>2015</v>
          </cell>
          <cell r="M68">
            <v>3</v>
          </cell>
        </row>
        <row r="69">
          <cell r="B69" t="str">
            <v>PTRM update 1</v>
          </cell>
          <cell r="E69">
            <v>4</v>
          </cell>
          <cell r="F69" t="str">
            <v>dms_FRCP_y4</v>
          </cell>
          <cell r="G69">
            <v>4</v>
          </cell>
          <cell r="H69" t="str">
            <v>CRCP_y4</v>
          </cell>
          <cell r="I69">
            <v>2021</v>
          </cell>
          <cell r="K69">
            <v>2014</v>
          </cell>
          <cell r="M69">
            <v>4</v>
          </cell>
        </row>
        <row r="70">
          <cell r="B70" t="str">
            <v>PTRM update 2</v>
          </cell>
          <cell r="E70">
            <v>5</v>
          </cell>
          <cell r="F70" t="str">
            <v>dms_FRCP_y5</v>
          </cell>
          <cell r="G70">
            <v>5</v>
          </cell>
          <cell r="H70" t="str">
            <v>CRCP_y5</v>
          </cell>
          <cell r="I70">
            <v>2022</v>
          </cell>
          <cell r="K70">
            <v>2013</v>
          </cell>
          <cell r="M70">
            <v>5</v>
          </cell>
        </row>
        <row r="71">
          <cell r="B71" t="str">
            <v>PTRM update 3</v>
          </cell>
          <cell r="E71">
            <v>6</v>
          </cell>
          <cell r="F71" t="str">
            <v>dms_FRCP_y6</v>
          </cell>
          <cell r="G71">
            <v>6</v>
          </cell>
          <cell r="H71" t="str">
            <v>CRCP_y6</v>
          </cell>
          <cell r="I71">
            <v>2023</v>
          </cell>
          <cell r="K71">
            <v>2012</v>
          </cell>
          <cell r="M71">
            <v>6</v>
          </cell>
        </row>
        <row r="72">
          <cell r="B72" t="str">
            <v>PTRM update 4</v>
          </cell>
          <cell r="E72">
            <v>7</v>
          </cell>
          <cell r="F72" t="str">
            <v>dms_FRCP_y7</v>
          </cell>
          <cell r="G72">
            <v>7</v>
          </cell>
          <cell r="H72" t="str">
            <v>CRCP_y7</v>
          </cell>
          <cell r="I72">
            <v>2024</v>
          </cell>
          <cell r="K72">
            <v>2011</v>
          </cell>
          <cell r="M72">
            <v>7</v>
          </cell>
        </row>
        <row r="73">
          <cell r="B73" t="str">
            <v>PTRM update 5</v>
          </cell>
          <cell r="E73">
            <v>8</v>
          </cell>
          <cell r="F73" t="str">
            <v>dms_FRCP_y8</v>
          </cell>
          <cell r="G73">
            <v>8</v>
          </cell>
          <cell r="H73" t="str">
            <v>CRCP_y8</v>
          </cell>
          <cell r="I73">
            <v>2025</v>
          </cell>
          <cell r="K73">
            <v>2010</v>
          </cell>
          <cell r="M73">
            <v>8</v>
          </cell>
        </row>
        <row r="74">
          <cell r="B74" t="str">
            <v>PTRM update 6</v>
          </cell>
          <cell r="E74">
            <v>9</v>
          </cell>
          <cell r="F74" t="str">
            <v>dms_FRCP_y9</v>
          </cell>
          <cell r="G74">
            <v>9</v>
          </cell>
          <cell r="H74" t="str">
            <v>CRCP_y9</v>
          </cell>
          <cell r="I74">
            <v>2026</v>
          </cell>
          <cell r="K74">
            <v>2009</v>
          </cell>
          <cell r="M74">
            <v>9</v>
          </cell>
        </row>
        <row r="75">
          <cell r="B75" t="str">
            <v>PTRM update 7</v>
          </cell>
          <cell r="E75">
            <v>10</v>
          </cell>
          <cell r="F75" t="str">
            <v>dms_FRCP_y10</v>
          </cell>
          <cell r="G75">
            <v>10</v>
          </cell>
          <cell r="H75" t="str">
            <v>CRCP_y10</v>
          </cell>
          <cell r="I75">
            <v>2027</v>
          </cell>
          <cell r="K75">
            <v>2008</v>
          </cell>
          <cell r="M75">
            <v>10</v>
          </cell>
        </row>
        <row r="76">
          <cell r="B76" t="str">
            <v>Regulatory proposal</v>
          </cell>
          <cell r="E76">
            <v>11</v>
          </cell>
          <cell r="F76" t="str">
            <v>dms_FRCP_y11</v>
          </cell>
          <cell r="G76">
            <v>11</v>
          </cell>
          <cell r="H76" t="str">
            <v>CRCP_y11</v>
          </cell>
          <cell r="I76">
            <v>2028</v>
          </cell>
          <cell r="K76">
            <v>2007</v>
          </cell>
          <cell r="M76">
            <v>11</v>
          </cell>
        </row>
        <row r="77">
          <cell r="B77" t="str">
            <v>Reporting</v>
          </cell>
          <cell r="E77">
            <v>12</v>
          </cell>
          <cell r="F77" t="str">
            <v>dms_FRCP_y12</v>
          </cell>
          <cell r="G77">
            <v>12</v>
          </cell>
          <cell r="H77" t="str">
            <v>CRCP_y12</v>
          </cell>
          <cell r="I77">
            <v>2029</v>
          </cell>
          <cell r="K77">
            <v>2006</v>
          </cell>
          <cell r="M77">
            <v>12</v>
          </cell>
        </row>
        <row r="78">
          <cell r="B78" t="str">
            <v>Revised regulatory proposal</v>
          </cell>
          <cell r="E78">
            <v>13</v>
          </cell>
          <cell r="F78" t="str">
            <v>dms_FRCP_y13</v>
          </cell>
          <cell r="G78">
            <v>13</v>
          </cell>
          <cell r="H78" t="str">
            <v>CRCP_y13</v>
          </cell>
          <cell r="I78">
            <v>2030</v>
          </cell>
          <cell r="K78">
            <v>2005</v>
          </cell>
          <cell r="M78">
            <v>13</v>
          </cell>
        </row>
        <row r="79">
          <cell r="E79">
            <v>14</v>
          </cell>
          <cell r="F79" t="str">
            <v>dms_FRCP_y14</v>
          </cell>
          <cell r="G79">
            <v>14</v>
          </cell>
          <cell r="H79" t="str">
            <v>CRCP_y14</v>
          </cell>
          <cell r="I79">
            <v>2031</v>
          </cell>
          <cell r="K79">
            <v>2004</v>
          </cell>
          <cell r="M79">
            <v>14</v>
          </cell>
        </row>
        <row r="80">
          <cell r="E80">
            <v>15</v>
          </cell>
          <cell r="F80" t="str">
            <v>dms_FRCP_y15</v>
          </cell>
          <cell r="G80">
            <v>15</v>
          </cell>
          <cell r="H80" t="str">
            <v>CRCP_y15</v>
          </cell>
          <cell r="K80">
            <v>2003</v>
          </cell>
          <cell r="M80">
            <v>15</v>
          </cell>
        </row>
        <row r="84">
          <cell r="B84" t="str">
            <v>Actual</v>
          </cell>
          <cell r="F84" t="str">
            <v>2006-07</v>
          </cell>
          <cell r="G84">
            <v>2007</v>
          </cell>
          <cell r="J84" t="str">
            <v>2016-17</v>
          </cell>
          <cell r="K84" t="str">
            <v>2017</v>
          </cell>
        </row>
        <row r="85">
          <cell r="B85" t="str">
            <v>Estimate</v>
          </cell>
          <cell r="F85" t="str">
            <v>2007-08</v>
          </cell>
          <cell r="G85" t="str">
            <v>2008</v>
          </cell>
          <cell r="J85" t="str">
            <v>2017-18</v>
          </cell>
          <cell r="K85" t="str">
            <v>2018</v>
          </cell>
        </row>
        <row r="86">
          <cell r="B86" t="str">
            <v>Consolidated</v>
          </cell>
          <cell r="F86" t="str">
            <v>2008-09</v>
          </cell>
          <cell r="G86" t="str">
            <v>2009</v>
          </cell>
          <cell r="J86" t="str">
            <v>2018-19</v>
          </cell>
          <cell r="K86" t="str">
            <v>2019</v>
          </cell>
        </row>
        <row r="87">
          <cell r="B87" t="str">
            <v>Recast</v>
          </cell>
          <cell r="F87" t="str">
            <v>2009-10</v>
          </cell>
          <cell r="G87" t="str">
            <v>2010</v>
          </cell>
          <cell r="J87" t="str">
            <v>2019-20</v>
          </cell>
          <cell r="K87" t="str">
            <v>2020</v>
          </cell>
        </row>
        <row r="88">
          <cell r="B88" t="str">
            <v>Public</v>
          </cell>
          <cell r="F88" t="str">
            <v>2010-11</v>
          </cell>
          <cell r="G88" t="str">
            <v>2011</v>
          </cell>
          <cell r="J88" t="str">
            <v>2020-21</v>
          </cell>
          <cell r="K88" t="str">
            <v>2021</v>
          </cell>
        </row>
        <row r="89">
          <cell r="F89" t="str">
            <v>2011-12</v>
          </cell>
          <cell r="G89" t="str">
            <v>2012</v>
          </cell>
          <cell r="J89" t="str">
            <v>2021-22</v>
          </cell>
          <cell r="K89" t="str">
            <v>2022</v>
          </cell>
        </row>
        <row r="90">
          <cell r="F90" t="str">
            <v>2012-13</v>
          </cell>
          <cell r="G90" t="str">
            <v>2013</v>
          </cell>
          <cell r="J90" t="str">
            <v>2022-23</v>
          </cell>
          <cell r="K90" t="str">
            <v>2023</v>
          </cell>
        </row>
        <row r="91">
          <cell r="F91" t="str">
            <v>2013-14</v>
          </cell>
          <cell r="G91" t="str">
            <v>2014</v>
          </cell>
          <cell r="J91" t="str">
            <v>2023-24</v>
          </cell>
          <cell r="K91" t="str">
            <v>2024</v>
          </cell>
        </row>
        <row r="92">
          <cell r="F92" t="str">
            <v>2014-15</v>
          </cell>
          <cell r="G92" t="str">
            <v>2015</v>
          </cell>
          <cell r="J92" t="str">
            <v>2024-25</v>
          </cell>
          <cell r="K92" t="str">
            <v>2025</v>
          </cell>
        </row>
        <row r="93">
          <cell r="F93" t="str">
            <v>2015-16</v>
          </cell>
          <cell r="G93" t="str">
            <v>2016</v>
          </cell>
          <cell r="J93" t="str">
            <v>2025-26</v>
          </cell>
          <cell r="K93" t="str">
            <v>2026</v>
          </cell>
        </row>
        <row r="94">
          <cell r="F94" t="str">
            <v>2016-17</v>
          </cell>
          <cell r="G94" t="str">
            <v>2017</v>
          </cell>
          <cell r="J94" t="str">
            <v>2026-27</v>
          </cell>
          <cell r="K94" t="str">
            <v>2027</v>
          </cell>
        </row>
        <row r="95">
          <cell r="F95" t="str">
            <v>2017-18</v>
          </cell>
          <cell r="G95" t="str">
            <v>2018</v>
          </cell>
          <cell r="J95" t="str">
            <v>2027-28</v>
          </cell>
          <cell r="K95" t="str">
            <v>2028</v>
          </cell>
        </row>
        <row r="96">
          <cell r="F96" t="str">
            <v>2018-19</v>
          </cell>
          <cell r="G96">
            <v>2019</v>
          </cell>
          <cell r="J96" t="str">
            <v>2028-29</v>
          </cell>
          <cell r="K96" t="str">
            <v>2029</v>
          </cell>
        </row>
        <row r="97">
          <cell r="F97" t="str">
            <v>2019-20</v>
          </cell>
          <cell r="G97" t="str">
            <v>2020</v>
          </cell>
          <cell r="J97" t="str">
            <v>2029-30</v>
          </cell>
          <cell r="K97" t="str">
            <v>2030</v>
          </cell>
        </row>
        <row r="98">
          <cell r="F98" t="str">
            <v>2020-21</v>
          </cell>
          <cell r="G98" t="str">
            <v>2021</v>
          </cell>
          <cell r="J98" t="str">
            <v>2030-31</v>
          </cell>
          <cell r="K98" t="str">
            <v>2031</v>
          </cell>
        </row>
      </sheetData>
      <sheetData sheetId="1" refreshError="1"/>
      <sheetData sheetId="2" refreshError="1"/>
      <sheetData sheetId="3">
        <row r="1">
          <cell r="B1" t="str">
            <v>REGULATORY REPORTING STATEMENT</v>
          </cell>
        </row>
        <row r="3">
          <cell r="B3" t="str">
            <v>2018 to 2022</v>
          </cell>
        </row>
        <row r="14">
          <cell r="C14" t="str">
            <v>Multinet Gas</v>
          </cell>
        </row>
        <row r="35">
          <cell r="C35" t="str">
            <v>2018</v>
          </cell>
          <cell r="D35">
            <v>2019</v>
          </cell>
          <cell r="E35">
            <v>2020</v>
          </cell>
          <cell r="F35">
            <v>2021</v>
          </cell>
          <cell r="G35">
            <v>2022</v>
          </cell>
        </row>
        <row r="38">
          <cell r="C38">
            <v>2013</v>
          </cell>
          <cell r="D38">
            <v>2014</v>
          </cell>
          <cell r="E38">
            <v>2015</v>
          </cell>
          <cell r="F38">
            <v>2016</v>
          </cell>
          <cell r="G38">
            <v>2017</v>
          </cell>
          <cell r="H38">
            <v>2018</v>
          </cell>
          <cell r="I38">
            <v>2019</v>
          </cell>
          <cell r="J38">
            <v>2020</v>
          </cell>
          <cell r="K38">
            <v>2021</v>
          </cell>
        </row>
        <row r="41">
          <cell r="C41">
            <v>2008</v>
          </cell>
          <cell r="D41">
            <v>2009</v>
          </cell>
          <cell r="E41">
            <v>2010</v>
          </cell>
          <cell r="F41">
            <v>2011</v>
          </cell>
          <cell r="G41">
            <v>2012</v>
          </cell>
        </row>
        <row r="51">
          <cell r="C51" t="str">
            <v>Consolidated</v>
          </cell>
        </row>
        <row r="58">
          <cell r="C58" t="str">
            <v>Calendar</v>
          </cell>
        </row>
        <row r="59">
          <cell r="C59" t="str">
            <v>Reset</v>
          </cell>
        </row>
        <row r="62">
          <cell r="C62" t="str">
            <v>December</v>
          </cell>
        </row>
        <row r="63">
          <cell r="C63" t="str">
            <v>December 2017</v>
          </cell>
        </row>
        <row r="67">
          <cell r="C67">
            <v>0</v>
          </cell>
        </row>
        <row r="68">
          <cell r="C68">
            <v>2013</v>
          </cell>
        </row>
        <row r="69">
          <cell r="C69">
            <v>0</v>
          </cell>
        </row>
        <row r="70">
          <cell r="C70">
            <v>0</v>
          </cell>
        </row>
        <row r="71">
          <cell r="C71">
            <v>0</v>
          </cell>
        </row>
        <row r="72">
          <cell r="C72" t="str">
            <v>CRY</v>
          </cell>
        </row>
        <row r="74">
          <cell r="C74">
            <v>5</v>
          </cell>
        </row>
        <row r="75">
          <cell r="C75" t="str">
            <v>dms_FRCP_y5</v>
          </cell>
        </row>
        <row r="76">
          <cell r="C76">
            <v>2022</v>
          </cell>
        </row>
        <row r="77">
          <cell r="C77">
            <v>5</v>
          </cell>
        </row>
        <row r="79">
          <cell r="C79">
            <v>2013</v>
          </cell>
        </row>
        <row r="80">
          <cell r="C80">
            <v>2017</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44">
          <cell r="CT44">
            <v>2590</v>
          </cell>
          <cell r="CU44">
            <v>2932</v>
          </cell>
          <cell r="CV44">
            <v>2903</v>
          </cell>
          <cell r="CW44">
            <v>3204</v>
          </cell>
          <cell r="CX44">
            <v>3608</v>
          </cell>
          <cell r="CY44">
            <v>3936.5066684773337</v>
          </cell>
        </row>
        <row r="45">
          <cell r="AL45">
            <v>649625</v>
          </cell>
          <cell r="AM45">
            <v>654432</v>
          </cell>
          <cell r="AN45">
            <v>659185</v>
          </cell>
          <cell r="AO45">
            <v>663476</v>
          </cell>
          <cell r="AP45">
            <v>666705</v>
          </cell>
          <cell r="AQ45">
            <v>669282</v>
          </cell>
          <cell r="BP45">
            <v>4297</v>
          </cell>
          <cell r="BQ45">
            <v>4380</v>
          </cell>
          <cell r="BR45">
            <v>4236</v>
          </cell>
          <cell r="BS45">
            <v>4368</v>
          </cell>
          <cell r="BT45">
            <v>4705</v>
          </cell>
          <cell r="BU45">
            <v>4850</v>
          </cell>
        </row>
        <row r="48">
          <cell r="AL48">
            <v>16382</v>
          </cell>
          <cell r="AM48">
            <v>16153</v>
          </cell>
          <cell r="AN48">
            <v>16090</v>
          </cell>
          <cell r="AO48">
            <v>16058</v>
          </cell>
          <cell r="AP48">
            <v>15781</v>
          </cell>
          <cell r="AQ48">
            <v>15537</v>
          </cell>
          <cell r="BP48">
            <v>38</v>
          </cell>
          <cell r="BQ48">
            <v>38</v>
          </cell>
          <cell r="BR48">
            <v>38</v>
          </cell>
          <cell r="BS48">
            <v>44</v>
          </cell>
          <cell r="BT48">
            <v>46</v>
          </cell>
          <cell r="BU48">
            <v>49</v>
          </cell>
          <cell r="CT48">
            <v>78</v>
          </cell>
          <cell r="CU48">
            <v>83</v>
          </cell>
          <cell r="CV48">
            <v>83</v>
          </cell>
          <cell r="CW48">
            <v>84</v>
          </cell>
          <cell r="CX48">
            <v>87</v>
          </cell>
          <cell r="CY48">
            <v>94</v>
          </cell>
        </row>
        <row r="49">
          <cell r="AM49">
            <v>15</v>
          </cell>
          <cell r="AN49">
            <v>16</v>
          </cell>
          <cell r="AO49">
            <v>16</v>
          </cell>
          <cell r="AP49">
            <v>15</v>
          </cell>
          <cell r="AQ49">
            <v>14</v>
          </cell>
          <cell r="AR49">
            <v>14</v>
          </cell>
          <cell r="AS49">
            <v>14</v>
          </cell>
          <cell r="AT49">
            <v>14</v>
          </cell>
          <cell r="AU49">
            <v>14</v>
          </cell>
          <cell r="AV49">
            <v>14</v>
          </cell>
          <cell r="AW49">
            <v>14</v>
          </cell>
          <cell r="AX49">
            <v>14</v>
          </cell>
        </row>
        <row r="50">
          <cell r="AL50">
            <v>264</v>
          </cell>
          <cell r="AM50">
            <v>263.85906040268458</v>
          </cell>
          <cell r="AN50">
            <v>264.85906040268458</v>
          </cell>
          <cell r="AO50">
            <v>263.87969924812029</v>
          </cell>
          <cell r="AP50">
            <v>266.92619657364889</v>
          </cell>
          <cell r="AQ50">
            <v>261.17198537380381</v>
          </cell>
          <cell r="AR50">
            <v>262.50212271463033</v>
          </cell>
          <cell r="AS50">
            <v>260.59763271167799</v>
          </cell>
          <cell r="AT50">
            <v>257.34999380692375</v>
          </cell>
          <cell r="AU50">
            <v>253.97107814913289</v>
          </cell>
          <cell r="AV50">
            <v>249.62788807440262</v>
          </cell>
          <cell r="AW50">
            <v>247.41696426956651</v>
          </cell>
          <cell r="CQ50">
            <v>0</v>
          </cell>
          <cell r="CR50">
            <v>1</v>
          </cell>
          <cell r="CS50">
            <v>1</v>
          </cell>
          <cell r="CT50">
            <v>1</v>
          </cell>
          <cell r="CU50">
            <v>1</v>
          </cell>
          <cell r="CV50">
            <v>1</v>
          </cell>
          <cell r="CW50">
            <v>2</v>
          </cell>
          <cell r="CX50">
            <v>2</v>
          </cell>
          <cell r="CY50">
            <v>2.0061862801054491</v>
          </cell>
        </row>
      </sheetData>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ER only"/>
      <sheetName val="Intro"/>
      <sheetName val="DMS input"/>
      <sheetName val="PTRM input"/>
      <sheetName val="WACC"/>
      <sheetName val="Assets"/>
      <sheetName val="Analysis"/>
      <sheetName val="Forecast revenues"/>
      <sheetName val="X factors"/>
      <sheetName val="Revenue summary"/>
      <sheetName val="Equity raising costs"/>
      <sheetName val="Chart 1-Revenue"/>
      <sheetName val="Chart 2-Price path"/>
      <sheetName val="Chart 3-Building blocks"/>
    </sheetNames>
    <sheetDataSet>
      <sheetData sheetId="0"/>
      <sheetData sheetId="1"/>
      <sheetData sheetId="2"/>
      <sheetData sheetId="3">
        <row r="313">
          <cell r="F313">
            <v>672272.95469718054</v>
          </cell>
          <cell r="G313">
            <v>675488.83333923609</v>
          </cell>
          <cell r="H313">
            <v>678811.53486849694</v>
          </cell>
          <cell r="I313">
            <v>682130.82501872699</v>
          </cell>
          <cell r="J313">
            <v>685420.19084993168</v>
          </cell>
          <cell r="K313">
            <v>688542.43293575023</v>
          </cell>
        </row>
        <row r="320">
          <cell r="F320">
            <v>15466.287235457956</v>
          </cell>
          <cell r="G320">
            <v>15370.670942251376</v>
          </cell>
          <cell r="H320">
            <v>15232.600429176538</v>
          </cell>
          <cell r="I320">
            <v>15132.931353414238</v>
          </cell>
          <cell r="J320">
            <v>14815.931339429459</v>
          </cell>
          <cell r="K320">
            <v>14740.178770770712</v>
          </cell>
        </row>
        <row r="327">
          <cell r="F327">
            <v>5019.4618706636993</v>
          </cell>
          <cell r="G327">
            <v>5158.418026937562</v>
          </cell>
          <cell r="H327">
            <v>5305.3741832114247</v>
          </cell>
          <cell r="I327">
            <v>5445.3303394852874</v>
          </cell>
          <cell r="J327">
            <v>5586.2864957591501</v>
          </cell>
          <cell r="K327">
            <v>5716.2426520330137</v>
          </cell>
        </row>
        <row r="334">
          <cell r="F334">
            <v>50.978915839033228</v>
          </cell>
          <cell r="G334">
            <v>51.094037127702947</v>
          </cell>
          <cell r="H334">
            <v>51.212765285228677</v>
          </cell>
          <cell r="I334">
            <v>51.712329845811503</v>
          </cell>
          <cell r="J334">
            <v>51.783622258866423</v>
          </cell>
          <cell r="K334">
            <v>52.244878047223636</v>
          </cell>
        </row>
        <row r="341">
          <cell r="F341">
            <v>4127.6904576664265</v>
          </cell>
          <cell r="G341">
            <v>4416.5523458476509</v>
          </cell>
          <cell r="H341">
            <v>4723.216240904032</v>
          </cell>
          <cell r="I341">
            <v>5017.8801359604122</v>
          </cell>
          <cell r="J341">
            <v>5325.3440310167925</v>
          </cell>
          <cell r="K341">
            <v>5651.2079260731734</v>
          </cell>
        </row>
        <row r="348">
          <cell r="F348">
            <v>100.71701494758302</v>
          </cell>
          <cell r="G348">
            <v>102.33140379892158</v>
          </cell>
          <cell r="H348">
            <v>104.19781592756863</v>
          </cell>
          <cell r="I348">
            <v>104.98516069489777</v>
          </cell>
          <cell r="J348">
            <v>105.81614435501105</v>
          </cell>
          <cell r="K348">
            <v>105.75689637965759</v>
          </cell>
        </row>
        <row r="363">
          <cell r="F363">
            <v>2.0256749257095499</v>
          </cell>
          <cell r="G363">
            <v>2.0228405828382123</v>
          </cell>
          <cell r="H363">
            <v>2.0077428557483148</v>
          </cell>
          <cell r="I363">
            <v>2.009269445690725</v>
          </cell>
          <cell r="J363">
            <v>1.9883003030510504</v>
          </cell>
          <cell r="K363">
            <v>1.9854907360761109</v>
          </cell>
        </row>
      </sheetData>
      <sheetData sheetId="4"/>
      <sheetData sheetId="5"/>
      <sheetData sheetId="6"/>
      <sheetData sheetId="7"/>
      <sheetData sheetId="8"/>
      <sheetData sheetId="9"/>
      <sheetData sheetId="10"/>
      <sheetData sheetId="11"/>
      <sheetData sheetId="12"/>
      <sheetData sheetId="13"/>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structions"/>
      <sheetName val="Preliminary Details"/>
      <sheetName val="1 - RAB"/>
      <sheetName val="2(a)-Non-demand capex incl. RPM"/>
      <sheetName val="2(b)-Non-demand capex excl. RPM"/>
      <sheetName val="3(a)-Demand capex incl. RPM"/>
      <sheetName val="3(b)-Demand capex excl. RPM"/>
      <sheetName val="4- IT-related capex"/>
      <sheetName val="5- RAB allocation"/>
      <sheetName val="6- TAB allocation"/>
      <sheetName val="7 - Tax asset base"/>
      <sheetName val="8 - Depreciation &amp; asset lives "/>
      <sheetName val="9 - WACC Inputs"/>
      <sheetName val="10 - Escalators"/>
      <sheetName val="11 - CPI"/>
      <sheetName val="12 - Changes in provisions"/>
      <sheetName val="13 - Opex incl. RPM"/>
      <sheetName val="13(a)-Opex on meters incl. RPM"/>
      <sheetName val="14 - Opex excl. RPM"/>
      <sheetName val="14(a)-Opex on meters excl. RPM"/>
      <sheetName val="15 - ARS"/>
      <sheetName val="16- Total revenue"/>
      <sheetName val="17- Incentive mechanisms"/>
      <sheetName val="18- Revenue equalisation"/>
      <sheetName val="19 - Allocation of total rev"/>
      <sheetName val="20 - Customer numbers Metro"/>
      <sheetName val="21 - Consumption and demand Met"/>
      <sheetName val="22 - Network characteristics"/>
      <sheetName val="23 - Related party transactions"/>
      <sheetName val="24 - Third party transactions"/>
      <sheetName val="25 - Gas extensions - 03-07 "/>
      <sheetName val="26 - Gas extenstions - YV"/>
      <sheetName val="Sheet1"/>
      <sheetName val="Sheet2"/>
      <sheetName val="26a - Gas Extensions SG"/>
      <sheetName val="27 - Gas extensions - demand YV"/>
      <sheetName val="27 - Gas extensions - demand SG"/>
      <sheetName val="28 - Gas extensions - tariff YV"/>
      <sheetName val="28a-Gas extensions - tariff S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ow r="37">
          <cell r="E37">
            <v>3527959</v>
          </cell>
          <cell r="F37">
            <v>3550533</v>
          </cell>
          <cell r="G37">
            <v>3571089</v>
          </cell>
        </row>
        <row r="38">
          <cell r="E38">
            <v>3137751</v>
          </cell>
          <cell r="F38">
            <v>3142524</v>
          </cell>
          <cell r="G38">
            <v>3177018</v>
          </cell>
        </row>
        <row r="39">
          <cell r="E39">
            <v>2782309</v>
          </cell>
          <cell r="F39">
            <v>2777846</v>
          </cell>
          <cell r="G39">
            <v>2849816</v>
          </cell>
        </row>
        <row r="40">
          <cell r="E40">
            <v>4523095</v>
          </cell>
          <cell r="F40">
            <v>4455644</v>
          </cell>
          <cell r="G40">
            <v>4733526</v>
          </cell>
        </row>
        <row r="41">
          <cell r="E41">
            <v>8727425</v>
          </cell>
          <cell r="F41">
            <v>7703441</v>
          </cell>
          <cell r="G41">
            <v>9648117</v>
          </cell>
        </row>
        <row r="44">
          <cell r="E44">
            <v>4590875</v>
          </cell>
          <cell r="F44">
            <v>4505905</v>
          </cell>
          <cell r="G44">
            <v>4473270</v>
          </cell>
        </row>
        <row r="45">
          <cell r="E45">
            <v>2365829</v>
          </cell>
          <cell r="F45">
            <v>2136543</v>
          </cell>
          <cell r="G45">
            <v>2007723</v>
          </cell>
        </row>
        <row r="46">
          <cell r="E46">
            <v>1156100</v>
          </cell>
          <cell r="F46">
            <v>1010932</v>
          </cell>
          <cell r="G46">
            <v>893448</v>
          </cell>
        </row>
        <row r="47">
          <cell r="E47">
            <v>1040963</v>
          </cell>
          <cell r="F47">
            <v>929595</v>
          </cell>
          <cell r="G47">
            <v>769903</v>
          </cell>
        </row>
        <row r="48">
          <cell r="E48">
            <v>1165524</v>
          </cell>
          <cell r="F48">
            <v>1098663</v>
          </cell>
          <cell r="G48">
            <v>989010</v>
          </cell>
        </row>
        <row r="51">
          <cell r="E51">
            <v>1748442</v>
          </cell>
          <cell r="F51">
            <v>1764055</v>
          </cell>
          <cell r="G51">
            <v>1769207</v>
          </cell>
        </row>
        <row r="52">
          <cell r="E52">
            <v>1405236</v>
          </cell>
          <cell r="F52">
            <v>1428832</v>
          </cell>
          <cell r="G52">
            <v>1422415</v>
          </cell>
        </row>
        <row r="53">
          <cell r="E53">
            <v>1075089</v>
          </cell>
          <cell r="F53">
            <v>1116950</v>
          </cell>
          <cell r="G53">
            <v>1098626</v>
          </cell>
        </row>
        <row r="54">
          <cell r="E54">
            <v>1404434</v>
          </cell>
          <cell r="F54">
            <v>1499207</v>
          </cell>
          <cell r="G54">
            <v>1448484</v>
          </cell>
        </row>
        <row r="55">
          <cell r="E55">
            <v>1764996</v>
          </cell>
          <cell r="F55">
            <v>1941917</v>
          </cell>
          <cell r="G55">
            <v>1901653</v>
          </cell>
        </row>
        <row r="62">
          <cell r="E62">
            <v>322028</v>
          </cell>
          <cell r="F62">
            <v>314194</v>
          </cell>
          <cell r="G62">
            <v>315107</v>
          </cell>
        </row>
        <row r="63">
          <cell r="E63">
            <v>513820</v>
          </cell>
          <cell r="F63">
            <v>491128</v>
          </cell>
          <cell r="G63">
            <v>508019</v>
          </cell>
        </row>
        <row r="64">
          <cell r="E64">
            <v>200459</v>
          </cell>
          <cell r="F64">
            <v>191386</v>
          </cell>
          <cell r="G64">
            <v>200217</v>
          </cell>
        </row>
        <row r="65">
          <cell r="E65">
            <v>690388</v>
          </cell>
          <cell r="F65">
            <v>643445</v>
          </cell>
          <cell r="G65">
            <v>686670</v>
          </cell>
        </row>
        <row r="66">
          <cell r="E66">
            <v>891171</v>
          </cell>
          <cell r="F66">
            <v>783635</v>
          </cell>
          <cell r="G66">
            <v>885425</v>
          </cell>
        </row>
        <row r="69">
          <cell r="E69">
            <v>349838</v>
          </cell>
          <cell r="F69">
            <v>339592</v>
          </cell>
          <cell r="G69">
            <v>331504</v>
          </cell>
        </row>
        <row r="70">
          <cell r="E70">
            <v>497591</v>
          </cell>
          <cell r="F70">
            <v>480178</v>
          </cell>
          <cell r="G70">
            <v>474111</v>
          </cell>
        </row>
        <row r="71">
          <cell r="E71">
            <v>190296</v>
          </cell>
          <cell r="F71">
            <v>181508</v>
          </cell>
          <cell r="G71">
            <v>178346</v>
          </cell>
        </row>
        <row r="72">
          <cell r="E72">
            <v>585140</v>
          </cell>
          <cell r="F72">
            <v>548326</v>
          </cell>
          <cell r="G72">
            <v>539551</v>
          </cell>
        </row>
        <row r="73">
          <cell r="E73">
            <v>550548</v>
          </cell>
          <cell r="F73">
            <v>466164</v>
          </cell>
          <cell r="G73">
            <v>457511</v>
          </cell>
        </row>
        <row r="76">
          <cell r="E76">
            <v>148315</v>
          </cell>
          <cell r="F76">
            <v>147154</v>
          </cell>
          <cell r="G76">
            <v>144533</v>
          </cell>
        </row>
        <row r="77">
          <cell r="E77">
            <v>220791</v>
          </cell>
          <cell r="F77">
            <v>218650</v>
          </cell>
          <cell r="G77">
            <v>215222</v>
          </cell>
        </row>
        <row r="78">
          <cell r="E78">
            <v>85457</v>
          </cell>
          <cell r="F78">
            <v>84437</v>
          </cell>
          <cell r="G78">
            <v>83753</v>
          </cell>
        </row>
        <row r="79">
          <cell r="E79">
            <v>288382</v>
          </cell>
          <cell r="F79">
            <v>279766</v>
          </cell>
          <cell r="G79">
            <v>283660</v>
          </cell>
        </row>
        <row r="80">
          <cell r="E80">
            <v>332035</v>
          </cell>
          <cell r="F80">
            <v>300527</v>
          </cell>
          <cell r="G80">
            <v>305763</v>
          </cell>
        </row>
        <row r="90">
          <cell r="E90">
            <v>8545</v>
          </cell>
          <cell r="F90">
            <v>8810</v>
          </cell>
          <cell r="G90">
            <v>8551</v>
          </cell>
          <cell r="H90">
            <v>8503.0143034169996</v>
          </cell>
        </row>
        <row r="91">
          <cell r="E91">
            <v>32937</v>
          </cell>
          <cell r="F91">
            <v>32881</v>
          </cell>
          <cell r="G91">
            <v>32568</v>
          </cell>
          <cell r="H91">
            <v>29008.444948237</v>
          </cell>
        </row>
        <row r="96">
          <cell r="E96">
            <v>9989</v>
          </cell>
          <cell r="F96">
            <v>11352</v>
          </cell>
          <cell r="G96">
            <v>11088</v>
          </cell>
          <cell r="H96">
            <v>11464.712964607001</v>
          </cell>
        </row>
        <row r="97">
          <cell r="E97">
            <v>22872</v>
          </cell>
          <cell r="F97">
            <v>20801</v>
          </cell>
          <cell r="G97">
            <v>19116</v>
          </cell>
          <cell r="H97">
            <v>18566.363041306002</v>
          </cell>
        </row>
        <row r="102">
          <cell r="E102">
            <v>4461</v>
          </cell>
          <cell r="F102">
            <v>4498</v>
          </cell>
          <cell r="G102">
            <v>4308</v>
          </cell>
          <cell r="H102">
            <v>4305.6174335730002</v>
          </cell>
        </row>
        <row r="103">
          <cell r="E103">
            <v>21798</v>
          </cell>
          <cell r="F103">
            <v>13736</v>
          </cell>
          <cell r="G103">
            <v>11338</v>
          </cell>
          <cell r="H103">
            <v>11452.635576623001</v>
          </cell>
        </row>
        <row r="113">
          <cell r="E113">
            <v>3056</v>
          </cell>
          <cell r="F113">
            <v>3054</v>
          </cell>
          <cell r="G113">
            <v>3067</v>
          </cell>
          <cell r="H113">
            <v>3101.72</v>
          </cell>
        </row>
        <row r="114">
          <cell r="E114">
            <v>502</v>
          </cell>
          <cell r="F114">
            <v>478</v>
          </cell>
          <cell r="G114">
            <v>406</v>
          </cell>
          <cell r="H114">
            <v>415.47</v>
          </cell>
        </row>
        <row r="123">
          <cell r="E123">
            <v>69.39</v>
          </cell>
          <cell r="F123">
            <v>63.97</v>
          </cell>
          <cell r="G123">
            <v>60.21</v>
          </cell>
          <cell r="H123">
            <v>60.218406423999994</v>
          </cell>
        </row>
        <row r="124">
          <cell r="E124">
            <v>54.23</v>
          </cell>
          <cell r="F124">
            <v>51.47</v>
          </cell>
          <cell r="G124">
            <v>48.66</v>
          </cell>
          <cell r="H124">
            <v>54.904808908</v>
          </cell>
        </row>
      </sheetData>
      <sheetData sheetId="28"/>
      <sheetData sheetId="29"/>
      <sheetData sheetId="30"/>
      <sheetData sheetId="31"/>
      <sheetData sheetId="32"/>
      <sheetData sheetId="33"/>
      <sheetData sheetId="34"/>
      <sheetData sheetId="35"/>
      <sheetData sheetId="36">
        <row r="31">
          <cell r="D31">
            <v>18401</v>
          </cell>
          <cell r="E31">
            <v>20091</v>
          </cell>
          <cell r="F31">
            <v>21316</v>
          </cell>
          <cell r="G31">
            <v>22706.111850097281</v>
          </cell>
          <cell r="H31">
            <v>21464.3666772582</v>
          </cell>
        </row>
        <row r="32">
          <cell r="D32">
            <v>15523</v>
          </cell>
          <cell r="E32">
            <v>17133</v>
          </cell>
          <cell r="F32">
            <v>18467</v>
          </cell>
          <cell r="G32">
            <v>19257.764738546848</v>
          </cell>
          <cell r="H32">
            <v>19062.407175849301</v>
          </cell>
        </row>
        <row r="33">
          <cell r="D33">
            <v>13357</v>
          </cell>
          <cell r="E33">
            <v>14808</v>
          </cell>
          <cell r="F33">
            <v>16304</v>
          </cell>
          <cell r="G33">
            <v>16655.154783073438</v>
          </cell>
          <cell r="H33">
            <v>16855.479296666799</v>
          </cell>
        </row>
        <row r="34">
          <cell r="D34">
            <v>21115</v>
          </cell>
          <cell r="E34">
            <v>22727</v>
          </cell>
          <cell r="F34">
            <v>26586</v>
          </cell>
          <cell r="G34">
            <v>25863.168070913169</v>
          </cell>
          <cell r="H34">
            <v>27192.940956962702</v>
          </cell>
        </row>
        <row r="35">
          <cell r="D35">
            <v>38346</v>
          </cell>
          <cell r="E35">
            <v>36469</v>
          </cell>
          <cell r="F35">
            <v>52976</v>
          </cell>
          <cell r="G35">
            <v>46366.586146999834</v>
          </cell>
          <cell r="H35">
            <v>51005.762198299002</v>
          </cell>
        </row>
        <row r="39">
          <cell r="D39">
            <v>19350</v>
          </cell>
          <cell r="E39">
            <v>19759</v>
          </cell>
          <cell r="F39">
            <v>21278</v>
          </cell>
          <cell r="G39">
            <v>24061.202764510086</v>
          </cell>
          <cell r="H39">
            <v>20594.495241782301</v>
          </cell>
        </row>
        <row r="40">
          <cell r="D40">
            <v>9133</v>
          </cell>
          <cell r="E40">
            <v>8655</v>
          </cell>
          <cell r="F40">
            <v>8436</v>
          </cell>
          <cell r="G40">
            <v>10837.334537183091</v>
          </cell>
          <cell r="H40">
            <v>9856.7861599936805</v>
          </cell>
        </row>
        <row r="41">
          <cell r="D41">
            <v>4788</v>
          </cell>
          <cell r="E41">
            <v>4798</v>
          </cell>
          <cell r="F41">
            <v>3845</v>
          </cell>
          <cell r="G41">
            <v>5846.6950924761468</v>
          </cell>
          <cell r="H41">
            <v>4535.7799699984807</v>
          </cell>
        </row>
        <row r="42">
          <cell r="D42">
            <v>4021</v>
          </cell>
          <cell r="E42">
            <v>4268</v>
          </cell>
          <cell r="F42">
            <v>2894</v>
          </cell>
          <cell r="G42">
            <v>5345.2173976318909</v>
          </cell>
          <cell r="H42">
            <v>4014.6142938641096</v>
          </cell>
        </row>
        <row r="43">
          <cell r="D43">
            <v>7114</v>
          </cell>
          <cell r="E43">
            <v>7002</v>
          </cell>
          <cell r="F43">
            <v>7156</v>
          </cell>
          <cell r="G43">
            <v>10949.675070367721</v>
          </cell>
          <cell r="H43">
            <v>4771.4910121102894</v>
          </cell>
        </row>
        <row r="46">
          <cell r="D46">
            <v>8997</v>
          </cell>
          <cell r="E46">
            <v>9941</v>
          </cell>
          <cell r="F46">
            <v>10431</v>
          </cell>
          <cell r="G46">
            <v>11158.033870313611</v>
          </cell>
          <cell r="H46">
            <v>10403.5000824049</v>
          </cell>
        </row>
        <row r="47">
          <cell r="D47">
            <v>6718</v>
          </cell>
          <cell r="E47">
            <v>7820</v>
          </cell>
          <cell r="F47">
            <v>8054</v>
          </cell>
          <cell r="G47">
            <v>8619.2898095041492</v>
          </cell>
          <cell r="H47">
            <v>8334.4028682230601</v>
          </cell>
        </row>
        <row r="48">
          <cell r="D48">
            <v>4857</v>
          </cell>
          <cell r="E48">
            <v>5970</v>
          </cell>
          <cell r="F48">
            <v>6076</v>
          </cell>
          <cell r="G48">
            <v>6488.4964641718307</v>
          </cell>
          <cell r="H48">
            <v>6359.0419850465305</v>
          </cell>
        </row>
        <row r="49">
          <cell r="D49">
            <v>5699</v>
          </cell>
          <cell r="E49">
            <v>7382</v>
          </cell>
          <cell r="F49">
            <v>7719</v>
          </cell>
          <cell r="G49">
            <v>7994.2426049608803</v>
          </cell>
          <cell r="H49">
            <v>8281.0628790169012</v>
          </cell>
        </row>
        <row r="50">
          <cell r="D50">
            <v>8739</v>
          </cell>
          <cell r="E50">
            <v>9783</v>
          </cell>
          <cell r="F50">
            <v>11686</v>
          </cell>
          <cell r="G50">
            <v>12909.923982475659</v>
          </cell>
          <cell r="H50">
            <v>10673.065218425601</v>
          </cell>
        </row>
        <row r="58">
          <cell r="D58">
            <v>621</v>
          </cell>
          <cell r="E58">
            <v>720</v>
          </cell>
          <cell r="F58">
            <v>771</v>
          </cell>
          <cell r="G58">
            <v>822.09924573344199</v>
          </cell>
          <cell r="H58">
            <v>498.08387111554498</v>
          </cell>
        </row>
        <row r="59">
          <cell r="D59">
            <v>1022</v>
          </cell>
          <cell r="E59">
            <v>1148</v>
          </cell>
          <cell r="F59">
            <v>1287</v>
          </cell>
          <cell r="G59">
            <v>1400.5017858145541</v>
          </cell>
          <cell r="H59">
            <v>790.45970774067803</v>
          </cell>
        </row>
        <row r="60">
          <cell r="D60">
            <v>365</v>
          </cell>
          <cell r="E60">
            <v>388</v>
          </cell>
          <cell r="F60">
            <v>456</v>
          </cell>
          <cell r="G60">
            <v>500.35761288863694</v>
          </cell>
          <cell r="H60">
            <v>309.44687269757895</v>
          </cell>
        </row>
        <row r="61">
          <cell r="D61">
            <v>865</v>
          </cell>
          <cell r="E61">
            <v>1051</v>
          </cell>
          <cell r="F61">
            <v>1212</v>
          </cell>
          <cell r="G61">
            <v>1583.6498970585599</v>
          </cell>
          <cell r="H61">
            <v>1058.4040328547799</v>
          </cell>
        </row>
        <row r="62">
          <cell r="D62">
            <v>71</v>
          </cell>
          <cell r="E62">
            <v>35</v>
          </cell>
          <cell r="F62">
            <v>65</v>
          </cell>
          <cell r="G62">
            <v>1054.3124016393451</v>
          </cell>
          <cell r="H62">
            <v>1322.4205331747401</v>
          </cell>
        </row>
        <row r="65">
          <cell r="D65">
            <v>674</v>
          </cell>
          <cell r="E65">
            <v>761</v>
          </cell>
          <cell r="F65">
            <v>813</v>
          </cell>
          <cell r="G65">
            <v>936.87187345804205</v>
          </cell>
          <cell r="H65">
            <v>476.93166810602099</v>
          </cell>
        </row>
        <row r="66">
          <cell r="D66">
            <v>951</v>
          </cell>
          <cell r="E66">
            <v>1117</v>
          </cell>
          <cell r="F66">
            <v>1170</v>
          </cell>
          <cell r="G66">
            <v>1394.0677425955487</v>
          </cell>
          <cell r="H66">
            <v>679.13869258757893</v>
          </cell>
        </row>
        <row r="67">
          <cell r="D67">
            <v>294</v>
          </cell>
          <cell r="E67">
            <v>298</v>
          </cell>
          <cell r="F67">
            <v>337</v>
          </cell>
          <cell r="G67">
            <v>467.3762136595758</v>
          </cell>
          <cell r="H67">
            <v>257.92801593731201</v>
          </cell>
        </row>
        <row r="68">
          <cell r="D68">
            <v>445</v>
          </cell>
          <cell r="E68">
            <v>482</v>
          </cell>
          <cell r="F68">
            <v>562</v>
          </cell>
          <cell r="G68">
            <v>1094.6502010288368</v>
          </cell>
          <cell r="H68">
            <v>780.94011770592897</v>
          </cell>
        </row>
        <row r="69">
          <cell r="D69">
            <v>0</v>
          </cell>
          <cell r="E69">
            <v>10</v>
          </cell>
          <cell r="F69">
            <v>125</v>
          </cell>
          <cell r="G69">
            <v>418.7617460317465</v>
          </cell>
          <cell r="H69">
            <v>677.25982801019302</v>
          </cell>
        </row>
        <row r="72">
          <cell r="D72">
            <v>277</v>
          </cell>
          <cell r="E72">
            <v>342</v>
          </cell>
          <cell r="F72">
            <v>363</v>
          </cell>
          <cell r="G72">
            <v>403.07653914141099</v>
          </cell>
          <cell r="H72">
            <v>238.263827627827</v>
          </cell>
        </row>
        <row r="73">
          <cell r="D73">
            <v>453</v>
          </cell>
          <cell r="E73">
            <v>528</v>
          </cell>
          <cell r="F73">
            <v>547</v>
          </cell>
          <cell r="G73">
            <v>623.08197018367002</v>
          </cell>
          <cell r="H73">
            <v>353.75523198350203</v>
          </cell>
        </row>
        <row r="74">
          <cell r="D74">
            <v>159</v>
          </cell>
          <cell r="E74">
            <v>168</v>
          </cell>
          <cell r="F74">
            <v>180</v>
          </cell>
          <cell r="G74">
            <v>211.08010995972299</v>
          </cell>
          <cell r="H74">
            <v>137.236994805915</v>
          </cell>
        </row>
        <row r="75">
          <cell r="D75">
            <v>320</v>
          </cell>
          <cell r="E75">
            <v>425</v>
          </cell>
          <cell r="F75">
            <v>488</v>
          </cell>
          <cell r="G75">
            <v>595.06100214276307</v>
          </cell>
          <cell r="H75">
            <v>459.20392383109896</v>
          </cell>
        </row>
        <row r="76">
          <cell r="D76">
            <v>21</v>
          </cell>
          <cell r="E76">
            <v>30</v>
          </cell>
          <cell r="F76">
            <v>162</v>
          </cell>
          <cell r="G76">
            <v>364.98813804319502</v>
          </cell>
          <cell r="H76">
            <v>491.04190826112398</v>
          </cell>
        </row>
      </sheetData>
      <sheetData sheetId="37">
        <row r="31">
          <cell r="D31">
            <v>0</v>
          </cell>
          <cell r="E31">
            <v>3041</v>
          </cell>
          <cell r="F31">
            <v>7722</v>
          </cell>
          <cell r="G31">
            <v>11030.460231408801</v>
          </cell>
          <cell r="H31">
            <v>9756.7077579414508</v>
          </cell>
        </row>
        <row r="32">
          <cell r="D32">
            <v>0</v>
          </cell>
          <cell r="E32">
            <v>2285</v>
          </cell>
          <cell r="F32">
            <v>6021</v>
          </cell>
          <cell r="G32">
            <v>8258.8506742467598</v>
          </cell>
          <cell r="H32">
            <v>7607.9481907931795</v>
          </cell>
        </row>
        <row r="33">
          <cell r="D33">
            <v>0</v>
          </cell>
          <cell r="E33">
            <v>1772</v>
          </cell>
          <cell r="F33">
            <v>4775</v>
          </cell>
          <cell r="G33">
            <v>6294.3987719114793</v>
          </cell>
          <cell r="H33">
            <v>6033.55267029279</v>
          </cell>
        </row>
        <row r="34">
          <cell r="D34">
            <v>0</v>
          </cell>
          <cell r="E34">
            <v>2326</v>
          </cell>
          <cell r="F34">
            <v>6406</v>
          </cell>
          <cell r="G34">
            <v>7748.0852532087301</v>
          </cell>
          <cell r="H34">
            <v>8094.2711864133607</v>
          </cell>
        </row>
        <row r="35">
          <cell r="D35">
            <v>0</v>
          </cell>
          <cell r="E35">
            <v>2970</v>
          </cell>
          <cell r="F35">
            <v>7584</v>
          </cell>
          <cell r="G35">
            <v>7892.2103782289596</v>
          </cell>
          <cell r="H35">
            <v>9582.2390788105586</v>
          </cell>
        </row>
        <row r="39">
          <cell r="D39">
            <v>0</v>
          </cell>
          <cell r="E39">
            <v>650</v>
          </cell>
          <cell r="F39">
            <v>5285</v>
          </cell>
          <cell r="G39">
            <v>9431.6674744101856</v>
          </cell>
          <cell r="H39">
            <v>6674.6547428256408</v>
          </cell>
        </row>
        <row r="40">
          <cell r="D40">
            <v>0</v>
          </cell>
          <cell r="E40">
            <v>477</v>
          </cell>
          <cell r="F40">
            <v>1653</v>
          </cell>
          <cell r="G40">
            <v>3086.2659828516921</v>
          </cell>
          <cell r="H40">
            <v>2087.31816901907</v>
          </cell>
        </row>
        <row r="41">
          <cell r="D41">
            <v>0</v>
          </cell>
          <cell r="E41">
            <v>362</v>
          </cell>
          <cell r="F41">
            <v>780</v>
          </cell>
          <cell r="G41">
            <v>1406.9621049530524</v>
          </cell>
          <cell r="H41">
            <v>985.57130137029901</v>
          </cell>
        </row>
        <row r="42">
          <cell r="D42">
            <v>0</v>
          </cell>
          <cell r="E42">
            <v>452</v>
          </cell>
          <cell r="F42">
            <v>574</v>
          </cell>
          <cell r="G42">
            <v>1116.9342529821731</v>
          </cell>
          <cell r="H42">
            <v>725.50912419381496</v>
          </cell>
        </row>
        <row r="43">
          <cell r="D43">
            <v>0</v>
          </cell>
          <cell r="E43">
            <v>535</v>
          </cell>
          <cell r="F43">
            <v>2285</v>
          </cell>
          <cell r="G43">
            <v>2734.4588809403654</v>
          </cell>
          <cell r="H43">
            <v>2886.0143373941496</v>
          </cell>
        </row>
        <row r="46">
          <cell r="D46">
            <v>0</v>
          </cell>
          <cell r="E46">
            <v>1671</v>
          </cell>
          <cell r="F46">
            <v>3360</v>
          </cell>
          <cell r="G46">
            <v>4953.1955948001996</v>
          </cell>
          <cell r="H46">
            <v>4247.1072889971301</v>
          </cell>
        </row>
        <row r="47">
          <cell r="D47">
            <v>0</v>
          </cell>
          <cell r="E47">
            <v>1140</v>
          </cell>
          <cell r="F47">
            <v>1838</v>
          </cell>
          <cell r="G47">
            <v>2737.3890975294698</v>
          </cell>
          <cell r="H47">
            <v>2322.4834758413899</v>
          </cell>
        </row>
        <row r="48">
          <cell r="D48">
            <v>0</v>
          </cell>
          <cell r="E48">
            <v>829</v>
          </cell>
          <cell r="F48">
            <v>1069</v>
          </cell>
          <cell r="G48">
            <v>1605.582548425803</v>
          </cell>
          <cell r="H48">
            <v>1350.76762666423</v>
          </cell>
        </row>
        <row r="49">
          <cell r="D49">
            <v>0</v>
          </cell>
          <cell r="E49">
            <v>994</v>
          </cell>
          <cell r="F49">
            <v>950</v>
          </cell>
          <cell r="G49">
            <v>1424.540769179559</v>
          </cell>
          <cell r="H49">
            <v>1200.3049143452399</v>
          </cell>
        </row>
        <row r="50">
          <cell r="D50">
            <v>0</v>
          </cell>
          <cell r="E50">
            <v>1254</v>
          </cell>
          <cell r="F50">
            <v>1305</v>
          </cell>
          <cell r="G50">
            <v>1339.3133129233049</v>
          </cell>
          <cell r="H50">
            <v>1649.0146342888402</v>
          </cell>
        </row>
        <row r="58">
          <cell r="D58">
            <v>0</v>
          </cell>
          <cell r="E58">
            <v>6</v>
          </cell>
          <cell r="F58">
            <v>1038</v>
          </cell>
          <cell r="G58">
            <v>1810.582974026699</v>
          </cell>
          <cell r="H58">
            <v>1311.26043162212</v>
          </cell>
        </row>
        <row r="59">
          <cell r="D59">
            <v>0</v>
          </cell>
          <cell r="E59">
            <v>12</v>
          </cell>
          <cell r="F59">
            <v>2261</v>
          </cell>
          <cell r="G59">
            <v>3574.9272961962215</v>
          </cell>
          <cell r="H59">
            <v>2857.0734778564301</v>
          </cell>
        </row>
        <row r="60">
          <cell r="D60">
            <v>0</v>
          </cell>
          <cell r="E60">
            <v>6</v>
          </cell>
          <cell r="F60">
            <v>1103</v>
          </cell>
          <cell r="G60">
            <v>1582.7567924021621</v>
          </cell>
          <cell r="H60">
            <v>1393.14998827778</v>
          </cell>
        </row>
        <row r="61">
          <cell r="D61">
            <v>0</v>
          </cell>
          <cell r="E61">
            <v>33</v>
          </cell>
          <cell r="F61">
            <v>5656</v>
          </cell>
          <cell r="G61">
            <v>6035.9385633859301</v>
          </cell>
          <cell r="H61">
            <v>7146.5368092648296</v>
          </cell>
        </row>
        <row r="62">
          <cell r="D62">
            <v>0</v>
          </cell>
          <cell r="E62">
            <v>83</v>
          </cell>
          <cell r="F62">
            <v>11974</v>
          </cell>
          <cell r="G62">
            <v>11428.87112592007</v>
          </cell>
          <cell r="H62">
            <v>15130.0735934978</v>
          </cell>
        </row>
        <row r="65">
          <cell r="D65">
            <v>0</v>
          </cell>
          <cell r="E65">
            <v>95</v>
          </cell>
          <cell r="F65">
            <v>1189</v>
          </cell>
          <cell r="G65">
            <v>2164.6894376428318</v>
          </cell>
          <cell r="H65">
            <v>1501.82872709606</v>
          </cell>
        </row>
        <row r="66">
          <cell r="D66">
            <v>0</v>
          </cell>
          <cell r="E66">
            <v>215</v>
          </cell>
          <cell r="F66">
            <v>2678</v>
          </cell>
          <cell r="G66">
            <v>4425.7961897282921</v>
          </cell>
          <cell r="H66">
            <v>3382.6534828508297</v>
          </cell>
        </row>
        <row r="67">
          <cell r="D67">
            <v>0</v>
          </cell>
          <cell r="E67">
            <v>111</v>
          </cell>
          <cell r="F67">
            <v>1199</v>
          </cell>
          <cell r="G67">
            <v>1849.6265488305564</v>
          </cell>
          <cell r="H67">
            <v>1514.0013765844699</v>
          </cell>
        </row>
        <row r="68">
          <cell r="D68">
            <v>0</v>
          </cell>
          <cell r="E68">
            <v>648</v>
          </cell>
          <cell r="F68">
            <v>4883</v>
          </cell>
          <cell r="G68">
            <v>7080.9805728321844</v>
          </cell>
          <cell r="H68">
            <v>6167.5854336189796</v>
          </cell>
        </row>
        <row r="69">
          <cell r="D69">
            <v>0</v>
          </cell>
          <cell r="E69">
            <v>2255</v>
          </cell>
          <cell r="F69">
            <v>4100</v>
          </cell>
          <cell r="G69">
            <v>6862.236084471514</v>
          </cell>
          <cell r="H69">
            <v>5178.4834753034702</v>
          </cell>
        </row>
        <row r="72">
          <cell r="D72">
            <v>0</v>
          </cell>
          <cell r="E72">
            <v>74</v>
          </cell>
          <cell r="F72">
            <v>514</v>
          </cell>
          <cell r="G72">
            <v>852.85806411654494</v>
          </cell>
          <cell r="H72">
            <v>649.852512029889</v>
          </cell>
        </row>
        <row r="73">
          <cell r="D73">
            <v>0</v>
          </cell>
          <cell r="E73">
            <v>167</v>
          </cell>
          <cell r="F73">
            <v>1091</v>
          </cell>
          <cell r="G73">
            <v>1678.623641087536</v>
          </cell>
          <cell r="H73">
            <v>1379.54503671609</v>
          </cell>
        </row>
        <row r="74">
          <cell r="D74">
            <v>0</v>
          </cell>
          <cell r="E74">
            <v>86</v>
          </cell>
          <cell r="F74">
            <v>491</v>
          </cell>
          <cell r="G74">
            <v>733.12549968735107</v>
          </cell>
          <cell r="H74">
            <v>620.61487396834798</v>
          </cell>
        </row>
        <row r="75">
          <cell r="D75">
            <v>0</v>
          </cell>
          <cell r="E75">
            <v>505</v>
          </cell>
          <cell r="F75">
            <v>2508</v>
          </cell>
          <cell r="G75">
            <v>2903.7482106505499</v>
          </cell>
          <cell r="H75">
            <v>3170.1189597857601</v>
          </cell>
        </row>
        <row r="76">
          <cell r="D76">
            <v>0</v>
          </cell>
          <cell r="E76">
            <v>1756</v>
          </cell>
          <cell r="F76">
            <v>3041</v>
          </cell>
          <cell r="G76">
            <v>3629.3659982396703</v>
          </cell>
          <cell r="H76">
            <v>3844.90509696145</v>
          </cell>
        </row>
        <row r="118">
          <cell r="D118">
            <v>0</v>
          </cell>
          <cell r="E118">
            <v>0</v>
          </cell>
          <cell r="F118">
            <v>21</v>
          </cell>
          <cell r="G118">
            <v>39</v>
          </cell>
          <cell r="H118">
            <v>50</v>
          </cell>
        </row>
        <row r="119">
          <cell r="D119">
            <v>0</v>
          </cell>
          <cell r="E119">
            <v>0</v>
          </cell>
          <cell r="F119">
            <v>0</v>
          </cell>
          <cell r="G119">
            <v>0</v>
          </cell>
          <cell r="H119">
            <v>12.100000000000001</v>
          </cell>
        </row>
      </sheetData>
      <sheetData sheetId="38"/>
      <sheetData sheetId="3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90">
          <cell r="AM90">
            <v>3450.19</v>
          </cell>
          <cell r="AN90">
            <v>3511.9300000000003</v>
          </cell>
          <cell r="AO90">
            <v>3569.41</v>
          </cell>
          <cell r="AP90">
            <v>3525.79</v>
          </cell>
          <cell r="AQ90">
            <v>3471.0831291401446</v>
          </cell>
          <cell r="AR90">
            <v>3436.291220652708</v>
          </cell>
          <cell r="AS90">
            <v>3418.6947840358148</v>
          </cell>
          <cell r="AT90">
            <v>3385.8844805749841</v>
          </cell>
          <cell r="AU90">
            <v>3347.6657875822384</v>
          </cell>
          <cell r="AV90">
            <v>3327.6778211120554</v>
          </cell>
          <cell r="AW90">
            <v>3295.6180556274367</v>
          </cell>
          <cell r="CV90">
            <v>52.85</v>
          </cell>
          <cell r="CW90">
            <v>158.01</v>
          </cell>
          <cell r="CX90">
            <v>200.82</v>
          </cell>
          <cell r="CY90">
            <v>201.76828437144391</v>
          </cell>
          <cell r="CZ90">
            <v>202.41624500458465</v>
          </cell>
          <cell r="DA90">
            <v>202.48472136324321</v>
          </cell>
          <cell r="DB90">
            <v>202.01563327753055</v>
          </cell>
          <cell r="DC90">
            <v>201.20312294333235</v>
          </cell>
          <cell r="DD90">
            <v>200.89012093364315</v>
          </cell>
          <cell r="DE90">
            <v>200.02940977211458</v>
          </cell>
        </row>
        <row r="162">
          <cell r="AL162">
            <v>3565.3740900000003</v>
          </cell>
          <cell r="AM162">
            <v>3587.3750300000002</v>
          </cell>
          <cell r="AN162">
            <v>3602.1277022596637</v>
          </cell>
          <cell r="AO162">
            <v>3607.51139764345</v>
          </cell>
          <cell r="AP162">
            <v>3629.4527799419793</v>
          </cell>
          <cell r="AQ162">
            <v>3544.8874695509435</v>
          </cell>
          <cell r="AR162">
            <v>3533.8571089612678</v>
          </cell>
          <cell r="BR162">
            <v>22.810625213624309</v>
          </cell>
          <cell r="BS162">
            <v>22.141959142067453</v>
          </cell>
          <cell r="BT162">
            <v>26.490682380444518</v>
          </cell>
          <cell r="BU162">
            <v>27.012052157768736</v>
          </cell>
          <cell r="BV162">
            <v>27.774967446836989</v>
          </cell>
          <cell r="CV162">
            <v>13.84683238244569</v>
          </cell>
          <cell r="CW162">
            <v>14.35549861523344</v>
          </cell>
          <cell r="CX162">
            <v>19.870384425380941</v>
          </cell>
          <cell r="CY162">
            <v>22.72364640591535</v>
          </cell>
          <cell r="CZ162">
            <v>24.110475949678101</v>
          </cell>
        </row>
        <row r="163">
          <cell r="AL163">
            <v>3106.8744999999999</v>
          </cell>
          <cell r="AM163">
            <v>3143.93325</v>
          </cell>
          <cell r="AN163">
            <v>3100.0269179237034</v>
          </cell>
          <cell r="AO163">
            <v>3083.2476066313911</v>
          </cell>
          <cell r="AP163">
            <v>3126.178011531611</v>
          </cell>
          <cell r="AQ163">
            <v>3094.9006609932426</v>
          </cell>
          <cell r="AR163">
            <v>3085.2704906216272</v>
          </cell>
          <cell r="BR163">
            <v>19.35909058134779</v>
          </cell>
          <cell r="BS163">
            <v>18.56693909181697</v>
          </cell>
          <cell r="BT163">
            <v>22.253091890683784</v>
          </cell>
          <cell r="BU163">
            <v>22.859794099653435</v>
          </cell>
          <cell r="BV163">
            <v>23.505435027699772</v>
          </cell>
          <cell r="CV163">
            <v>10.225055602559088</v>
          </cell>
          <cell r="CW163">
            <v>10.631488075669138</v>
          </cell>
          <cell r="CX163">
            <v>14.812061318306631</v>
          </cell>
          <cell r="CY163">
            <v>16.971341685233124</v>
          </cell>
          <cell r="CZ163">
            <v>17.888108644693016</v>
          </cell>
        </row>
        <row r="164">
          <cell r="AL164">
            <v>2709.4409999999998</v>
          </cell>
          <cell r="AM164">
            <v>2782.1327199999996</v>
          </cell>
          <cell r="AN164">
            <v>2682.6667218043044</v>
          </cell>
          <cell r="AO164">
            <v>2659.5235225186038</v>
          </cell>
          <cell r="AP164">
            <v>2745.0119731237364</v>
          </cell>
          <cell r="AQ164">
            <v>2718.7026279898973</v>
          </cell>
          <cell r="AR164">
            <v>2710.243044835167</v>
          </cell>
          <cell r="BR164">
            <v>16.72665564584225</v>
          </cell>
          <cell r="BS164">
            <v>15.866771937037509</v>
          </cell>
          <cell r="BT164">
            <v>19.210953234011122</v>
          </cell>
          <cell r="BU164">
            <v>19.760366293847866</v>
          </cell>
          <cell r="BV164">
            <v>20.318468487458127</v>
          </cell>
          <cell r="CV164">
            <v>7.8014799535481494</v>
          </cell>
          <cell r="CW164">
            <v>8.0507032190711101</v>
          </cell>
          <cell r="CX164">
            <v>11.59924683936319</v>
          </cell>
          <cell r="CY164">
            <v>13.074110624953949</v>
          </cell>
          <cell r="CZ164">
            <v>13.809840924253217</v>
          </cell>
        </row>
        <row r="165">
          <cell r="AL165">
            <v>4291.7220199999992</v>
          </cell>
          <cell r="AM165">
            <v>4534.6458900000007</v>
          </cell>
          <cell r="AN165">
            <v>4199.3949094575064</v>
          </cell>
          <cell r="AO165">
            <v>4165.8625234580013</v>
          </cell>
          <cell r="AP165">
            <v>4482.2484869757527</v>
          </cell>
          <cell r="AQ165">
            <v>4370.8220105743621</v>
          </cell>
          <cell r="AR165">
            <v>4357.2216513911599</v>
          </cell>
          <cell r="BR165">
            <v>25.930040460233101</v>
          </cell>
          <cell r="BS165">
            <v>24.434513576272302</v>
          </cell>
          <cell r="BT165">
            <v>31.034618884912796</v>
          </cell>
          <cell r="BU165">
            <v>31.107120332635919</v>
          </cell>
          <cell r="BV165">
            <v>31.985694739424499</v>
          </cell>
          <cell r="CV165">
            <v>9.7954512317582587</v>
          </cell>
          <cell r="CW165">
            <v>10.109408246542571</v>
          </cell>
          <cell r="CX165">
            <v>15.57164946075901</v>
          </cell>
          <cell r="CY165">
            <v>16.731821114151835</v>
          </cell>
          <cell r="CZ165">
            <v>17.808535242909961</v>
          </cell>
        </row>
        <row r="166">
          <cell r="AL166">
            <v>7601.9580500000002</v>
          </cell>
          <cell r="AM166">
            <v>8837.2047199999979</v>
          </cell>
          <cell r="AN166">
            <v>7275.0452159542492</v>
          </cell>
          <cell r="AO166">
            <v>7248.0735459109492</v>
          </cell>
          <cell r="AP166">
            <v>9131.4274917660914</v>
          </cell>
          <cell r="AQ166">
            <v>8145.3163660677419</v>
          </cell>
          <cell r="AR166">
            <v>8119.9711957607997</v>
          </cell>
          <cell r="BR166">
            <v>42.394026767388539</v>
          </cell>
          <cell r="BS166">
            <v>37.327295468511345</v>
          </cell>
          <cell r="BT166">
            <v>68.675896602343542</v>
          </cell>
          <cell r="BU166">
            <v>56.256446223777125</v>
          </cell>
          <cell r="BV166">
            <v>57.845325983156016</v>
          </cell>
          <cell r="CV166">
            <v>9.3796720677596515</v>
          </cell>
          <cell r="CW166">
            <v>10.825524201249271</v>
          </cell>
          <cell r="CX166">
            <v>20.273428431252611</v>
          </cell>
          <cell r="CY166">
            <v>18.071267360865924</v>
          </cell>
          <cell r="CZ166">
            <v>19.448542824771447</v>
          </cell>
        </row>
        <row r="168">
          <cell r="AL168">
            <v>4613.4381700000004</v>
          </cell>
          <cell r="AM168">
            <v>4588.7679800000005</v>
          </cell>
          <cell r="AN168">
            <v>4562.0989216117614</v>
          </cell>
          <cell r="AO168">
            <v>4492.8964427648471</v>
          </cell>
          <cell r="AP168">
            <v>4565.3487393236464</v>
          </cell>
          <cell r="AQ168">
            <v>4084.0949339950735</v>
          </cell>
          <cell r="AR168">
            <v>4091.2828414294991</v>
          </cell>
          <cell r="BR168">
            <v>25.193835135909389</v>
          </cell>
          <cell r="BS168">
            <v>23.56479186271055</v>
          </cell>
          <cell r="BT168">
            <v>27.785017325810266</v>
          </cell>
          <cell r="BU168">
            <v>29.377169427073163</v>
          </cell>
          <cell r="BV168">
            <v>30.496183338015829</v>
          </cell>
          <cell r="CV168">
            <v>12.208125093967741</v>
          </cell>
          <cell r="CW168">
            <v>12.97919499287767</v>
          </cell>
          <cell r="CX168">
            <v>18.235012794301262</v>
          </cell>
          <cell r="CY168">
            <v>15.285141324495264</v>
          </cell>
          <cell r="CZ168">
            <v>16.251591238402266</v>
          </cell>
        </row>
        <row r="169">
          <cell r="AL169">
            <v>2279.95192</v>
          </cell>
          <cell r="AM169">
            <v>2158.2981100000002</v>
          </cell>
          <cell r="AN169">
            <v>2164.556152761726</v>
          </cell>
          <cell r="AO169">
            <v>1920.8884431118229</v>
          </cell>
          <cell r="AP169">
            <v>2029.0159656397157</v>
          </cell>
          <cell r="AQ169">
            <v>1910.3648595006612</v>
          </cell>
          <cell r="AR169">
            <v>1913.7270550416545</v>
          </cell>
          <cell r="BR169">
            <v>11.383829482531354</v>
          </cell>
          <cell r="BS169">
            <v>10.054374346989924</v>
          </cell>
          <cell r="BT169">
            <v>11.822746169487457</v>
          </cell>
          <cell r="BU169">
            <v>12.838066739363747</v>
          </cell>
          <cell r="BV169">
            <v>13.327085101279826</v>
          </cell>
          <cell r="CV169">
            <v>3.8218884879967181</v>
          </cell>
          <cell r="CW169">
            <v>3.5669816858743397</v>
          </cell>
          <cell r="CX169">
            <v>5.1992258364823556</v>
          </cell>
          <cell r="CY169">
            <v>4.6451793959080696</v>
          </cell>
          <cell r="CZ169">
            <v>4.884763619596197</v>
          </cell>
        </row>
        <row r="170">
          <cell r="AL170">
            <v>1085.4770100000001</v>
          </cell>
          <cell r="AM170">
            <v>1017.0312100000001</v>
          </cell>
          <cell r="AN170">
            <v>1060.4276542346165</v>
          </cell>
          <cell r="AO170">
            <v>828.39869906095544</v>
          </cell>
          <cell r="AP170">
            <v>951.21367099240024</v>
          </cell>
          <cell r="AQ170">
            <v>894.46535961552968</v>
          </cell>
          <cell r="AR170">
            <v>896.0395968240482</v>
          </cell>
          <cell r="BR170">
            <v>5.7319281731240288</v>
          </cell>
          <cell r="BS170">
            <v>5.1054733753632968</v>
          </cell>
          <cell r="BT170">
            <v>6.51113032889391</v>
          </cell>
          <cell r="BU170">
            <v>6.7179210064264518</v>
          </cell>
          <cell r="BV170">
            <v>6.9738151992780368</v>
          </cell>
          <cell r="CV170">
            <v>1.8073650440098401</v>
          </cell>
          <cell r="CW170">
            <v>1.4286913191590809</v>
          </cell>
          <cell r="CX170">
            <v>2.4278858636240028</v>
          </cell>
          <cell r="CY170">
            <v>2.1223699096310238</v>
          </cell>
          <cell r="CZ170">
            <v>2.2264698151515359</v>
          </cell>
        </row>
        <row r="171">
          <cell r="AL171">
            <v>1007.9360000000001</v>
          </cell>
          <cell r="AM171">
            <v>939.84159999999997</v>
          </cell>
          <cell r="AN171">
            <v>964.16608822952367</v>
          </cell>
          <cell r="AO171">
            <v>691.79240373283233</v>
          </cell>
          <cell r="AP171">
            <v>910.56793916621564</v>
          </cell>
          <cell r="AQ171">
            <v>809.79375904385836</v>
          </cell>
          <cell r="AR171">
            <v>811.2189763013057</v>
          </cell>
          <cell r="BR171">
            <v>4.6369855534213817</v>
          </cell>
          <cell r="BS171">
            <v>4.1275352944612678</v>
          </cell>
          <cell r="BT171">
            <v>6.1853946564796098</v>
          </cell>
          <cell r="BU171">
            <v>5.7362574278756338</v>
          </cell>
          <cell r="BV171">
            <v>5.9547588010074346</v>
          </cell>
          <cell r="CV171">
            <v>1.3893400050698206</v>
          </cell>
          <cell r="CW171">
            <v>1.0301177380438751</v>
          </cell>
          <cell r="CX171">
            <v>2.2265209409236308</v>
          </cell>
          <cell r="CY171">
            <v>1.7213591543356481</v>
          </cell>
          <cell r="CZ171">
            <v>1.8117217933028555</v>
          </cell>
        </row>
        <row r="172">
          <cell r="AL172">
            <v>1276.4200499999999</v>
          </cell>
          <cell r="AM172">
            <v>1260.3073300000001</v>
          </cell>
          <cell r="AN172">
            <v>1211.218525783728</v>
          </cell>
          <cell r="AO172">
            <v>1029.5452366235131</v>
          </cell>
          <cell r="AP172">
            <v>1349.6811991907989</v>
          </cell>
          <cell r="AQ172">
            <v>1047.4416828481221</v>
          </cell>
          <cell r="AR172">
            <v>1049.2851546530017</v>
          </cell>
          <cell r="BR172">
            <v>7.0139569699333872</v>
          </cell>
          <cell r="BS172">
            <v>7.097482661011453</v>
          </cell>
          <cell r="BT172">
            <v>13.120441729624389</v>
          </cell>
          <cell r="BU172">
            <v>10.110053775340401</v>
          </cell>
          <cell r="BV172">
            <v>10.495158638593779</v>
          </cell>
          <cell r="CV172">
            <v>3.3581001679750808</v>
          </cell>
          <cell r="CW172">
            <v>3.9127665322104588</v>
          </cell>
          <cell r="CX172">
            <v>7.073055300352074</v>
          </cell>
          <cell r="CY172">
            <v>4.6964948104119335</v>
          </cell>
          <cell r="CZ172">
            <v>5.0305719254410839</v>
          </cell>
        </row>
        <row r="174">
          <cell r="AL174">
            <v>1770.3694900000003</v>
          </cell>
          <cell r="AM174">
            <v>1781.85403</v>
          </cell>
          <cell r="AN174">
            <v>1785.759482035294</v>
          </cell>
          <cell r="AO174">
            <v>1771.835078852137</v>
          </cell>
          <cell r="AP174">
            <v>1777.0604109246974</v>
          </cell>
          <cell r="AQ174">
            <v>1698.2357978625193</v>
          </cell>
          <cell r="AR174">
            <v>1694.940027960103</v>
          </cell>
          <cell r="BR174">
            <v>11.39787620935898</v>
          </cell>
          <cell r="BS174">
            <v>10.8212242117371</v>
          </cell>
          <cell r="BT174">
            <v>12.88287374171561</v>
          </cell>
          <cell r="BU174">
            <v>14.538135525747995</v>
          </cell>
          <cell r="BV174">
            <v>14.909282099137997</v>
          </cell>
          <cell r="CV174">
            <v>6.4447733762115806</v>
          </cell>
          <cell r="CW174">
            <v>6.3582557960742294</v>
          </cell>
          <cell r="CX174">
            <v>8.6440713135083787</v>
          </cell>
          <cell r="CY174">
            <v>9.3922863411475888</v>
          </cell>
          <cell r="CZ174">
            <v>9.9566391735868756</v>
          </cell>
        </row>
        <row r="175">
          <cell r="AL175">
            <v>1401.68623</v>
          </cell>
          <cell r="AM175">
            <v>1425.8083900000001</v>
          </cell>
          <cell r="AN175">
            <v>1415.1001993687419</v>
          </cell>
          <cell r="AO175">
            <v>1315.5162551174908</v>
          </cell>
          <cell r="AP175">
            <v>1330.7818480395417</v>
          </cell>
          <cell r="AQ175">
            <v>1333.6946411742463</v>
          </cell>
          <cell r="AR175">
            <v>1331.1063370865993</v>
          </cell>
          <cell r="BR175">
            <v>8.8414353270487496</v>
          </cell>
          <cell r="BS175">
            <v>7.9610685320385501</v>
          </cell>
          <cell r="BT175">
            <v>9.3601129963887715</v>
          </cell>
          <cell r="BU175">
            <v>10.969880210144273</v>
          </cell>
          <cell r="BV175">
            <v>11.249932177143966</v>
          </cell>
          <cell r="CV175">
            <v>3.7641090495131904</v>
          </cell>
          <cell r="CW175">
            <v>3.1896791852047199</v>
          </cell>
          <cell r="CX175">
            <v>4.7788295573372199</v>
          </cell>
          <cell r="CY175">
            <v>5.2140075512268629</v>
          </cell>
          <cell r="CZ175">
            <v>5.5340343418641638</v>
          </cell>
        </row>
        <row r="176">
          <cell r="AL176">
            <v>1070.51865</v>
          </cell>
          <cell r="AM176">
            <v>1106.24981</v>
          </cell>
          <cell r="AN176">
            <v>1085.307482233165</v>
          </cell>
          <cell r="AO176">
            <v>931.25292890863602</v>
          </cell>
          <cell r="AP176">
            <v>992.150628265416</v>
          </cell>
          <cell r="AQ176">
            <v>1012.5065158269255</v>
          </cell>
          <cell r="AR176">
            <v>1010.5415422319376</v>
          </cell>
          <cell r="BR176">
            <v>6.7378606743495091</v>
          </cell>
          <cell r="BS176">
            <v>5.6518042432917204</v>
          </cell>
          <cell r="BT176">
            <v>6.6281246964313301</v>
          </cell>
          <cell r="BU176">
            <v>8.0678973472200592</v>
          </cell>
          <cell r="BV176">
            <v>8.273864092376602</v>
          </cell>
          <cell r="CV176">
            <v>2.128399896461262</v>
          </cell>
          <cell r="CW176">
            <v>1.6036099025890289</v>
          </cell>
          <cell r="CX176">
            <v>3.017129804822321</v>
          </cell>
          <cell r="CY176">
            <v>2.9998228883639459</v>
          </cell>
          <cell r="CZ176">
            <v>3.1698803904969646</v>
          </cell>
        </row>
        <row r="177">
          <cell r="AL177">
            <v>1417.33978</v>
          </cell>
          <cell r="AM177">
            <v>1478.3188300000002</v>
          </cell>
          <cell r="AN177">
            <v>1395.5399790693161</v>
          </cell>
          <cell r="AO177">
            <v>1097.1326074629221</v>
          </cell>
          <cell r="AP177">
            <v>1326.9794546195862</v>
          </cell>
          <cell r="AQ177">
            <v>1319.2063101470949</v>
          </cell>
          <cell r="AR177">
            <v>1316.6461235949487</v>
          </cell>
          <cell r="BR177">
            <v>8.404950378974771</v>
          </cell>
          <cell r="BS177">
            <v>6.3154676107035499</v>
          </cell>
          <cell r="BT177">
            <v>8.0570226883924896</v>
          </cell>
          <cell r="BU177">
            <v>9.6856762253252722</v>
          </cell>
          <cell r="BV177">
            <v>9.9329435269423083</v>
          </cell>
          <cell r="CV177">
            <v>1.732137687120382</v>
          </cell>
          <cell r="CW177">
            <v>1.20224504305802</v>
          </cell>
          <cell r="CX177">
            <v>3.0638122522214073</v>
          </cell>
          <cell r="CY177">
            <v>2.6331598457880889</v>
          </cell>
          <cell r="CZ177">
            <v>2.7767349510575152</v>
          </cell>
        </row>
        <row r="178">
          <cell r="AL178">
            <v>1932.4648199999999</v>
          </cell>
          <cell r="AM178">
            <v>2024.8940699999998</v>
          </cell>
          <cell r="AN178">
            <v>1757.5360453799408</v>
          </cell>
          <cell r="AO178">
            <v>1237.099107910899</v>
          </cell>
          <cell r="AP178">
            <v>1903.8201509772614</v>
          </cell>
          <cell r="AQ178">
            <v>1718.187489579708</v>
          </cell>
          <cell r="AR178">
            <v>1714.8529993858299</v>
          </cell>
          <cell r="BR178">
            <v>12.282283533254249</v>
          </cell>
          <cell r="BS178">
            <v>7.4498223470074896</v>
          </cell>
          <cell r="BT178">
            <v>15.4362637906231</v>
          </cell>
          <cell r="BU178">
            <v>14.622592779976358</v>
          </cell>
          <cell r="BV178">
            <v>14.995895477200071</v>
          </cell>
          <cell r="CV178">
            <v>1.5076245698489228</v>
          </cell>
          <cell r="CW178">
            <v>1.4713069775220391</v>
          </cell>
          <cell r="CX178">
            <v>3.93550264728988</v>
          </cell>
          <cell r="CY178">
            <v>2.7146366606125105</v>
          </cell>
          <cell r="CZ178">
            <v>2.9155785055786803</v>
          </cell>
        </row>
        <row r="181">
          <cell r="AL181">
            <v>303.55429000000004</v>
          </cell>
          <cell r="AM181">
            <v>303.90469999999999</v>
          </cell>
          <cell r="AN181">
            <v>297.03083574433879</v>
          </cell>
          <cell r="AO181">
            <v>294.47157060079985</v>
          </cell>
          <cell r="AP181">
            <v>300.72192861067919</v>
          </cell>
          <cell r="AQ181">
            <v>272.07435634693161</v>
          </cell>
          <cell r="AR181">
            <v>270.87454259194914</v>
          </cell>
          <cell r="AS181">
            <v>265.49349656264206</v>
          </cell>
          <cell r="AT181">
            <v>257.80930834898464</v>
          </cell>
          <cell r="AU181">
            <v>250.06949782158554</v>
          </cell>
          <cell r="AV181">
            <v>241.45173248135814</v>
          </cell>
          <cell r="AW181">
            <v>234.38139500914957</v>
          </cell>
          <cell r="BR181">
            <v>0.87298957845426417</v>
          </cell>
          <cell r="BS181">
            <v>0.90790298164414596</v>
          </cell>
          <cell r="BT181">
            <v>1.1600565665204829</v>
          </cell>
          <cell r="BU181">
            <v>0.90305225446393611</v>
          </cell>
          <cell r="BV181">
            <v>0.94543218415420505</v>
          </cell>
          <cell r="BW181">
            <v>0.96580636189004687</v>
          </cell>
          <cell r="BX181">
            <v>0.98017985571549648</v>
          </cell>
          <cell r="BY181">
            <v>0.99797639121282722</v>
          </cell>
          <cell r="BZ181">
            <v>1.0023908049824057</v>
          </cell>
          <cell r="CA181">
            <v>1.0178999658748826</v>
          </cell>
          <cell r="CV181">
            <v>2.0189548793315839</v>
          </cell>
          <cell r="CW181">
            <v>2.010387057304508</v>
          </cell>
          <cell r="CX181">
            <v>2.3076544254473936</v>
          </cell>
          <cell r="CY181">
            <v>2.6933673758468815</v>
          </cell>
          <cell r="CZ181">
            <v>2.9094269415176028</v>
          </cell>
          <cell r="DA181">
            <v>3.012670632512279</v>
          </cell>
          <cell r="DB181">
            <v>3.0831156927263463</v>
          </cell>
          <cell r="DC181">
            <v>3.1785703371964993</v>
          </cell>
          <cell r="DD181">
            <v>3.2193938688598807</v>
          </cell>
          <cell r="DE181">
            <v>3.2334748599379837</v>
          </cell>
        </row>
        <row r="182">
          <cell r="AL182">
            <v>478.78190999999998</v>
          </cell>
          <cell r="AM182">
            <v>482.69616000000002</v>
          </cell>
          <cell r="AN182">
            <v>463.16910449618899</v>
          </cell>
          <cell r="AO182">
            <v>457.59050487087598</v>
          </cell>
          <cell r="AP182">
            <v>478.13164331484597</v>
          </cell>
          <cell r="AQ182">
            <v>429.58313238652858</v>
          </cell>
          <cell r="AR182">
            <v>427.68872470303273</v>
          </cell>
          <cell r="AS182">
            <v>419.1924935998037</v>
          </cell>
          <cell r="AT182">
            <v>407.05978955892243</v>
          </cell>
          <cell r="AU182">
            <v>394.83926243876027</v>
          </cell>
          <cell r="AV182">
            <v>381.23251655232934</v>
          </cell>
          <cell r="AW182">
            <v>370.06903257272108</v>
          </cell>
          <cell r="BR182">
            <v>1.5665912964852517</v>
          </cell>
          <cell r="BS182">
            <v>1.4863423620985692</v>
          </cell>
          <cell r="BT182">
            <v>1.90838317665353</v>
          </cell>
          <cell r="BU182">
            <v>1.5388261133200354</v>
          </cell>
          <cell r="BV182">
            <v>1.6110426901190886</v>
          </cell>
          <cell r="BW182">
            <v>1.6457608546354356</v>
          </cell>
          <cell r="BX182">
            <v>1.670253687169668</v>
          </cell>
          <cell r="BY182">
            <v>1.7005794777477292</v>
          </cell>
          <cell r="BZ182">
            <v>1.7081017613697989</v>
          </cell>
          <cell r="CA182">
            <v>1.7345298021161144</v>
          </cell>
          <cell r="CV182">
            <v>3.7249547925292883</v>
          </cell>
          <cell r="CW182">
            <v>3.9584400729442399</v>
          </cell>
          <cell r="CX182">
            <v>4.48903794089171</v>
          </cell>
          <cell r="CY182">
            <v>5.1700175166559239</v>
          </cell>
          <cell r="CZ182">
            <v>5.5548990933695803</v>
          </cell>
          <cell r="DA182">
            <v>5.7722734418869663</v>
          </cell>
          <cell r="DB182">
            <v>5.954423173221989</v>
          </cell>
          <cell r="DC182">
            <v>6.1163060324259755</v>
          </cell>
          <cell r="DD182">
            <v>6.1813097335595888</v>
          </cell>
          <cell r="DE182">
            <v>6.2086593782977388</v>
          </cell>
        </row>
        <row r="183">
          <cell r="AL183">
            <v>186.66301000000001</v>
          </cell>
          <cell r="AM183">
            <v>188.26226</v>
          </cell>
          <cell r="AN183">
            <v>179.80050889129572</v>
          </cell>
          <cell r="AO183">
            <v>176.81825928159961</v>
          </cell>
          <cell r="AP183">
            <v>184.91717846290459</v>
          </cell>
          <cell r="AQ183">
            <v>167.30576519603417</v>
          </cell>
          <cell r="AR183">
            <v>166.56796777526546</v>
          </cell>
          <cell r="AS183">
            <v>163.25901931141127</v>
          </cell>
          <cell r="AT183">
            <v>158.53380740148407</v>
          </cell>
          <cell r="AU183">
            <v>153.77439184999548</v>
          </cell>
          <cell r="AV183">
            <v>148.47509851016997</v>
          </cell>
          <cell r="AW183">
            <v>144.12735976380435</v>
          </cell>
          <cell r="BR183">
            <v>0.62277974323726704</v>
          </cell>
          <cell r="BS183">
            <v>0.54301757824858699</v>
          </cell>
          <cell r="BT183">
            <v>0.58830593720477897</v>
          </cell>
          <cell r="BU183">
            <v>0.54830398760825827</v>
          </cell>
          <cell r="BV183">
            <v>0.57403570393903247</v>
          </cell>
          <cell r="BW183">
            <v>0.58640624267760499</v>
          </cell>
          <cell r="BX183">
            <v>0.59513336111554638</v>
          </cell>
          <cell r="BY183">
            <v>0.60593883923772962</v>
          </cell>
          <cell r="BZ183">
            <v>0.60861912784876859</v>
          </cell>
          <cell r="CA183">
            <v>0.61803578643055901</v>
          </cell>
          <cell r="CV183">
            <v>1.7198082423339169</v>
          </cell>
          <cell r="CW183">
            <v>1.8620926063993979</v>
          </cell>
          <cell r="CX183">
            <v>2.0261578491355112</v>
          </cell>
          <cell r="CY183">
            <v>2.3307612052625117</v>
          </cell>
          <cell r="CZ183">
            <v>2.5129486224678947</v>
          </cell>
          <cell r="DA183">
            <v>2.6393058934054605</v>
          </cell>
          <cell r="DB183">
            <v>2.7171239901474213</v>
          </cell>
          <cell r="DC183">
            <v>2.7744564409331645</v>
          </cell>
          <cell r="DD183">
            <v>2.8067726141566771</v>
          </cell>
          <cell r="DE183">
            <v>2.823220326141505</v>
          </cell>
        </row>
        <row r="184">
          <cell r="AL184">
            <v>640.52926000000002</v>
          </cell>
          <cell r="AM184">
            <v>644.33080999999993</v>
          </cell>
          <cell r="AN184">
            <v>614.38527401981605</v>
          </cell>
          <cell r="AO184">
            <v>601.750172139916</v>
          </cell>
          <cell r="AP184">
            <v>620.77030322721009</v>
          </cell>
          <cell r="AQ184">
            <v>570.42424532733435</v>
          </cell>
          <cell r="AR184">
            <v>567.90874601711437</v>
          </cell>
          <cell r="AS184">
            <v>556.62698039409804</v>
          </cell>
          <cell r="AT184">
            <v>540.51650485505274</v>
          </cell>
          <cell r="AU184">
            <v>524.28941297345511</v>
          </cell>
          <cell r="AV184">
            <v>506.22162313611011</v>
          </cell>
          <cell r="AW184">
            <v>491.39813160627477</v>
          </cell>
          <cell r="BR184">
            <v>1.5646103829652551</v>
          </cell>
          <cell r="BS184">
            <v>1.5267557218220942</v>
          </cell>
          <cell r="BT184">
            <v>1.5085480649618239</v>
          </cell>
          <cell r="BU184">
            <v>1.5269138214408533</v>
          </cell>
          <cell r="BV184">
            <v>1.5985713585057226</v>
          </cell>
          <cell r="BW184">
            <v>1.633020764319804</v>
          </cell>
          <cell r="BX184">
            <v>1.657323994034348</v>
          </cell>
          <cell r="BY184">
            <v>1.6874150279588109</v>
          </cell>
          <cell r="BZ184">
            <v>1.6948790804153651</v>
          </cell>
          <cell r="CA184">
            <v>1.7211025375947395</v>
          </cell>
          <cell r="CV184">
            <v>6.57079053648427</v>
          </cell>
          <cell r="CW184">
            <v>7.4537188669459002</v>
          </cell>
          <cell r="CX184">
            <v>7.57451705386854</v>
          </cell>
          <cell r="CY184">
            <v>9.0571415243665925</v>
          </cell>
          <cell r="CZ184">
            <v>9.7994880530813919</v>
          </cell>
          <cell r="DA184">
            <v>10.210861120621932</v>
          </cell>
          <cell r="DB184">
            <v>10.539151937538458</v>
          </cell>
          <cell r="DC184">
            <v>10.693023596978863</v>
          </cell>
          <cell r="DD184">
            <v>10.882984460695306</v>
          </cell>
          <cell r="DE184">
            <v>10.942002564663488</v>
          </cell>
        </row>
        <row r="185">
          <cell r="AL185">
            <v>808.13909999999998</v>
          </cell>
          <cell r="AM185">
            <v>777.30223999999998</v>
          </cell>
          <cell r="AN185">
            <v>703.41989091305311</v>
          </cell>
          <cell r="AO185">
            <v>695.57508613626999</v>
          </cell>
          <cell r="AP185">
            <v>761.59226268481302</v>
          </cell>
          <cell r="AQ185">
            <v>697.80475205708399</v>
          </cell>
          <cell r="AR185">
            <v>694.72752070367176</v>
          </cell>
          <cell r="AS185">
            <v>680.92644242233473</v>
          </cell>
          <cell r="AT185">
            <v>661.21836289883197</v>
          </cell>
          <cell r="AU185">
            <v>641.36762562775414</v>
          </cell>
          <cell r="AV185">
            <v>619.2651471462633</v>
          </cell>
          <cell r="AW185">
            <v>601.13144592944138</v>
          </cell>
          <cell r="BR185">
            <v>1.092611830508474</v>
          </cell>
          <cell r="BS185">
            <v>1.2070844939185619</v>
          </cell>
          <cell r="BT185">
            <v>1.2839214624272879</v>
          </cell>
          <cell r="BU185">
            <v>1.1361503129385047</v>
          </cell>
          <cell r="BV185">
            <v>1.1894694538208819</v>
          </cell>
          <cell r="BW185">
            <v>1.2151026641871883</v>
          </cell>
          <cell r="BX185">
            <v>1.2331862794232724</v>
          </cell>
          <cell r="BY185">
            <v>1.2555765002267365</v>
          </cell>
          <cell r="BZ185">
            <v>1.261130373284419</v>
          </cell>
          <cell r="CA185">
            <v>1.280642796750834</v>
          </cell>
          <cell r="CV185">
            <v>10.062525875259521</v>
          </cell>
          <cell r="CW185">
            <v>12.00128383522242</v>
          </cell>
          <cell r="CX185">
            <v>12.977196342352171</v>
          </cell>
          <cell r="CY185">
            <v>15.075591543469489</v>
          </cell>
          <cell r="CZ185">
            <v>15.8963385477879</v>
          </cell>
          <cell r="DA185">
            <v>16.614325009163679</v>
          </cell>
          <cell r="DB185">
            <v>17.355471879963083</v>
          </cell>
          <cell r="DC185">
            <v>17.689871783660468</v>
          </cell>
          <cell r="DD185">
            <v>17.879611731018478</v>
          </cell>
          <cell r="DE185">
            <v>17.929679311000964</v>
          </cell>
        </row>
        <row r="187">
          <cell r="AL187">
            <v>336.04831000000001</v>
          </cell>
          <cell r="AM187">
            <v>331.37895000000003</v>
          </cell>
          <cell r="AN187">
            <v>326.81808117178127</v>
          </cell>
          <cell r="AO187">
            <v>320.71002537976267</v>
          </cell>
          <cell r="AP187">
            <v>330.95525186564282</v>
          </cell>
          <cell r="AQ187">
            <v>299.99859814290136</v>
          </cell>
          <cell r="AR187">
            <v>300.16032414799849</v>
          </cell>
          <cell r="AS187">
            <v>296.01709233839625</v>
          </cell>
          <cell r="AT187">
            <v>289.39622662480059</v>
          </cell>
          <cell r="AU187">
            <v>282.59789260894661</v>
          </cell>
          <cell r="AV187">
            <v>274.80447231677294</v>
          </cell>
          <cell r="AW187">
            <v>268.61227262050613</v>
          </cell>
          <cell r="BR187">
            <v>0.97470347740878605</v>
          </cell>
          <cell r="BS187">
            <v>1.0059084916043659</v>
          </cell>
          <cell r="BT187">
            <v>1.3466606452675309</v>
          </cell>
          <cell r="BU187">
            <v>1.0214697128924262</v>
          </cell>
          <cell r="BV187">
            <v>1.0796489288209081</v>
          </cell>
          <cell r="BW187">
            <v>1.1134784099571038</v>
          </cell>
          <cell r="BX187">
            <v>1.1408724018615068</v>
          </cell>
          <cell r="BY187">
            <v>1.1727113597552556</v>
          </cell>
          <cell r="BZ187">
            <v>1.1891797405072939</v>
          </cell>
          <cell r="CA187">
            <v>1.2191442376082995</v>
          </cell>
          <cell r="CV187">
            <v>2.4862232259351482</v>
          </cell>
          <cell r="CW187">
            <v>2.5349310255828623</v>
          </cell>
          <cell r="CX187">
            <v>2.8588791540623721</v>
          </cell>
          <cell r="CY187">
            <v>2.4326826467890332</v>
          </cell>
          <cell r="CZ187">
            <v>2.6584086214111138</v>
          </cell>
          <cell r="DA187">
            <v>2.7658330938536748</v>
          </cell>
          <cell r="DB187">
            <v>2.8831238119539551</v>
          </cell>
          <cell r="DC187">
            <v>2.9250600169095673</v>
          </cell>
          <cell r="DD187">
            <v>2.9546450504112585</v>
          </cell>
          <cell r="DE187">
            <v>2.9769558488010111</v>
          </cell>
        </row>
        <row r="188">
          <cell r="AL188">
            <v>483.11773999999997</v>
          </cell>
          <cell r="AM188">
            <v>471.36746999999997</v>
          </cell>
          <cell r="AN188">
            <v>461.32232656544431</v>
          </cell>
          <cell r="AO188">
            <v>456.07657521820732</v>
          </cell>
          <cell r="AP188">
            <v>474.65985407403133</v>
          </cell>
          <cell r="AQ188">
            <v>427.31362300687755</v>
          </cell>
          <cell r="AR188">
            <v>427.54398316722592</v>
          </cell>
          <cell r="AS188">
            <v>421.64242427169029</v>
          </cell>
          <cell r="AT188">
            <v>412.21175981848194</v>
          </cell>
          <cell r="AU188">
            <v>402.52831210669734</v>
          </cell>
          <cell r="AV188">
            <v>391.4274780318737</v>
          </cell>
          <cell r="AW188">
            <v>382.6073991949271</v>
          </cell>
          <cell r="BR188">
            <v>1.4365793639232149</v>
          </cell>
          <cell r="BS188">
            <v>1.4870990125202179</v>
          </cell>
          <cell r="BT188">
            <v>1.8549297548485211</v>
          </cell>
          <cell r="BU188">
            <v>1.4833577544384355</v>
          </cell>
          <cell r="BV188">
            <v>1.5678444406371781</v>
          </cell>
          <cell r="BW188">
            <v>1.6169709321411794</v>
          </cell>
          <cell r="BX188">
            <v>1.6567519357319334</v>
          </cell>
          <cell r="BY188">
            <v>1.7029878294533412</v>
          </cell>
          <cell r="BZ188">
            <v>1.7269028804658748</v>
          </cell>
          <cell r="CA188">
            <v>1.7704167199577616</v>
          </cell>
          <cell r="CV188">
            <v>4.63029671797179</v>
          </cell>
          <cell r="CW188">
            <v>4.6533738985965609</v>
          </cell>
          <cell r="CX188">
            <v>5.2870102096721929</v>
          </cell>
          <cell r="CY188">
            <v>4.6289203230529488</v>
          </cell>
          <cell r="CZ188">
            <v>4.9863109914964827</v>
          </cell>
          <cell r="DA188">
            <v>5.1577537515678253</v>
          </cell>
          <cell r="DB188">
            <v>5.3778313418219188</v>
          </cell>
          <cell r="DC188">
            <v>5.4739316872878803</v>
          </cell>
          <cell r="DD188">
            <v>5.5425339601426398</v>
          </cell>
          <cell r="DE188">
            <v>5.5686915897401787</v>
          </cell>
        </row>
        <row r="189">
          <cell r="AL189">
            <v>182.50892000000002</v>
          </cell>
          <cell r="AM189">
            <v>179.23676999999998</v>
          </cell>
          <cell r="AN189">
            <v>174.9907613741523</v>
          </cell>
          <cell r="AO189">
            <v>171.58578317337512</v>
          </cell>
          <cell r="AP189">
            <v>175.29594983627894</v>
          </cell>
          <cell r="AQ189">
            <v>161.32316357922079</v>
          </cell>
          <cell r="AR189">
            <v>161.41013115485882</v>
          </cell>
          <cell r="AS189">
            <v>159.18212320047263</v>
          </cell>
          <cell r="AT189">
            <v>155.62177655498041</v>
          </cell>
          <cell r="AU189">
            <v>151.96599697035921</v>
          </cell>
          <cell r="AV189">
            <v>147.77511333150613</v>
          </cell>
          <cell r="AW189">
            <v>144.44528028995234</v>
          </cell>
          <cell r="BR189">
            <v>0.43767645976645209</v>
          </cell>
          <cell r="BS189">
            <v>0.40732032130419121</v>
          </cell>
          <cell r="BT189">
            <v>0.36866812998362369</v>
          </cell>
          <cell r="BU189">
            <v>0.39397505704332864</v>
          </cell>
          <cell r="BV189">
            <v>0.41641444964093743</v>
          </cell>
          <cell r="BW189">
            <v>0.42946228805666387</v>
          </cell>
          <cell r="BX189">
            <v>0.44002799488767813</v>
          </cell>
          <cell r="BY189">
            <v>0.45230809981303172</v>
          </cell>
          <cell r="BZ189">
            <v>0.45865986057921593</v>
          </cell>
          <cell r="CA189">
            <v>0.47021699664075917</v>
          </cell>
          <cell r="CV189">
            <v>1.9766574020467649</v>
          </cell>
          <cell r="CW189">
            <v>1.9404178387024957</v>
          </cell>
          <cell r="CX189">
            <v>2.1484149787718354</v>
          </cell>
          <cell r="CY189">
            <v>1.9302515077902151</v>
          </cell>
          <cell r="CZ189">
            <v>2.0786109593346014</v>
          </cell>
          <cell r="DA189">
            <v>2.1495069562931115</v>
          </cell>
          <cell r="DB189">
            <v>2.2307019837047992</v>
          </cell>
          <cell r="DC189">
            <v>2.2681277841542258</v>
          </cell>
          <cell r="DD189">
            <v>2.305422895721156</v>
          </cell>
          <cell r="DE189">
            <v>2.3151421165941297</v>
          </cell>
        </row>
        <row r="190">
          <cell r="AL190">
            <v>569.20174999999995</v>
          </cell>
          <cell r="AM190">
            <v>551.88607000000002</v>
          </cell>
          <cell r="AN190">
            <v>543.68995854262607</v>
          </cell>
          <cell r="AO190">
            <v>521.24113946323689</v>
          </cell>
          <cell r="AP190">
            <v>522.93367064055928</v>
          </cell>
          <cell r="AQ190">
            <v>493.12235285406626</v>
          </cell>
          <cell r="AR190">
            <v>493.38818979012154</v>
          </cell>
          <cell r="AS190">
            <v>486.57775723804127</v>
          </cell>
          <cell r="AT190">
            <v>475.6947167877525</v>
          </cell>
          <cell r="AU190">
            <v>464.51996301844036</v>
          </cell>
          <cell r="AV190">
            <v>451.70953731962868</v>
          </cell>
          <cell r="AW190">
            <v>441.53111614543769</v>
          </cell>
          <cell r="BR190">
            <v>0.94810757226244691</v>
          </cell>
          <cell r="BS190">
            <v>0.88197461175758995</v>
          </cell>
          <cell r="BT190">
            <v>0.79776502221873402</v>
          </cell>
          <cell r="BU190">
            <v>0.88936167589543003</v>
          </cell>
          <cell r="BV190">
            <v>0.94001649642253271</v>
          </cell>
          <cell r="BW190">
            <v>0.96947076575447932</v>
          </cell>
          <cell r="BX190">
            <v>0.99332185623916758</v>
          </cell>
          <cell r="BY190">
            <v>1.0210430393479324</v>
          </cell>
          <cell r="BZ190">
            <v>1.035381542506723</v>
          </cell>
          <cell r="CA190">
            <v>1.0614706913309724</v>
          </cell>
          <cell r="CV190">
            <v>6.5083646831324113</v>
          </cell>
          <cell r="CW190">
            <v>6.4077873685290143</v>
          </cell>
          <cell r="CX190">
            <v>7.4513369165470804</v>
          </cell>
          <cell r="CY190">
            <v>6.5938086696295342</v>
          </cell>
          <cell r="CZ190">
            <v>6.9817292843159375</v>
          </cell>
          <cell r="DA190">
            <v>7.2374926252166798</v>
          </cell>
          <cell r="DB190">
            <v>7.5438437734764285</v>
          </cell>
          <cell r="DC190">
            <v>7.7072167734119095</v>
          </cell>
          <cell r="DD190">
            <v>7.8022750861409609</v>
          </cell>
          <cell r="DE190">
            <v>7.8205008643185563</v>
          </cell>
        </row>
        <row r="191">
          <cell r="AL191">
            <v>509.37596000000002</v>
          </cell>
          <cell r="AM191">
            <v>467.09468000000004</v>
          </cell>
          <cell r="AN191">
            <v>464.98499421416409</v>
          </cell>
          <cell r="AO191">
            <v>423.08984741024295</v>
          </cell>
          <cell r="AP191">
            <v>425.15618260130447</v>
          </cell>
          <cell r="AQ191">
            <v>422.77041421279017</v>
          </cell>
          <cell r="AR191">
            <v>422.99832517833187</v>
          </cell>
          <cell r="AS191">
            <v>417.15951179997478</v>
          </cell>
          <cell r="AT191">
            <v>407.82911439974833</v>
          </cell>
          <cell r="AU191">
            <v>398.248621338676</v>
          </cell>
          <cell r="AV191">
            <v>387.26581160072129</v>
          </cell>
          <cell r="AW191">
            <v>378.53950805568928</v>
          </cell>
          <cell r="BR191">
            <v>0.49488277303930472</v>
          </cell>
          <cell r="BS191">
            <v>0.57021379557637242</v>
          </cell>
          <cell r="BT191">
            <v>0.54906737394005045</v>
          </cell>
          <cell r="BU191">
            <v>0.49321216854591188</v>
          </cell>
          <cell r="BV191">
            <v>0.52130374766002452</v>
          </cell>
          <cell r="BW191">
            <v>0.53763816417906152</v>
          </cell>
          <cell r="BX191">
            <v>0.55086523296217937</v>
          </cell>
          <cell r="BY191">
            <v>0.56623853406824121</v>
          </cell>
          <cell r="BZ191">
            <v>0.57419021944925264</v>
          </cell>
          <cell r="CA191">
            <v>0.5886584453868835</v>
          </cell>
          <cell r="CV191">
            <v>6.9445808881887405</v>
          </cell>
          <cell r="CW191">
            <v>6.0754271551517478</v>
          </cell>
          <cell r="CX191">
            <v>7.1185024549864044</v>
          </cell>
          <cell r="CY191">
            <v>6.2863067027333539</v>
          </cell>
          <cell r="CZ191">
            <v>6.6595332296438174</v>
          </cell>
          <cell r="DA191">
            <v>7.055884191575009</v>
          </cell>
          <cell r="DB191">
            <v>7.2202320227217021</v>
          </cell>
          <cell r="DC191">
            <v>7.3903022466988624</v>
          </cell>
          <cell r="DD191">
            <v>7.4870012642102779</v>
          </cell>
          <cell r="DE191">
            <v>7.5143258693579353</v>
          </cell>
        </row>
        <row r="193">
          <cell r="AL193">
            <v>141.86722999999998</v>
          </cell>
          <cell r="AM193">
            <v>141.38690000000003</v>
          </cell>
          <cell r="AN193">
            <v>139.22529612224119</v>
          </cell>
          <cell r="AO193">
            <v>134.34483530151502</v>
          </cell>
          <cell r="AP193">
            <v>137.91966274003033</v>
          </cell>
          <cell r="AQ193">
            <v>128.11500723289024</v>
          </cell>
          <cell r="AR193">
            <v>127.72351890328594</v>
          </cell>
          <cell r="AS193">
            <v>125.42623704523847</v>
          </cell>
          <cell r="AT193">
            <v>122.06289985188695</v>
          </cell>
          <cell r="AU193">
            <v>118.65626968791572</v>
          </cell>
          <cell r="AV193">
            <v>114.83844101260465</v>
          </cell>
          <cell r="AW193">
            <v>111.73120245063224</v>
          </cell>
          <cell r="BR193">
            <v>0.41944378270882898</v>
          </cell>
          <cell r="BS193">
            <v>0.43798408374354503</v>
          </cell>
          <cell r="BT193">
            <v>0.548911709801019</v>
          </cell>
          <cell r="BU193">
            <v>0.46980284628944818</v>
          </cell>
          <cell r="BV193">
            <v>0.49055215156799514</v>
          </cell>
          <cell r="BW193">
            <v>0.49980075107314526</v>
          </cell>
          <cell r="BX193">
            <v>0.50589997213934401</v>
          </cell>
          <cell r="BY193">
            <v>0.51372557890112835</v>
          </cell>
          <cell r="BZ193">
            <v>0.51463585088594943</v>
          </cell>
          <cell r="CA193">
            <v>0.52121883684712611</v>
          </cell>
          <cell r="CV193">
            <v>0.95618340753535613</v>
          </cell>
          <cell r="CW193">
            <v>0.93437370812839893</v>
          </cell>
          <cell r="CX193">
            <v>1.0731466139975141</v>
          </cell>
          <cell r="CY193">
            <v>1.1102406745668387</v>
          </cell>
          <cell r="CZ193">
            <v>1.2016618757146631</v>
          </cell>
          <cell r="DA193">
            <v>1.2517086143459355</v>
          </cell>
          <cell r="DB193">
            <v>1.298518563324851</v>
          </cell>
          <cell r="DC193">
            <v>1.3224559256391564</v>
          </cell>
          <cell r="DD193">
            <v>1.3375753332014213</v>
          </cell>
          <cell r="DE193">
            <v>1.3455297854453225</v>
          </cell>
        </row>
        <row r="194">
          <cell r="AL194">
            <v>212.30896999999999</v>
          </cell>
          <cell r="AM194">
            <v>211.01504</v>
          </cell>
          <cell r="AN194">
            <v>204.4927326648496</v>
          </cell>
          <cell r="AO194">
            <v>196.03228585749349</v>
          </cell>
          <cell r="AP194">
            <v>206.36684508465299</v>
          </cell>
          <cell r="AQ194">
            <v>190.12700850960982</v>
          </cell>
          <cell r="AR194">
            <v>189.54602657328766</v>
          </cell>
          <cell r="AS194">
            <v>186.13678251353451</v>
          </cell>
          <cell r="AT194">
            <v>181.14547624120527</v>
          </cell>
          <cell r="AU194">
            <v>176.08992173464335</v>
          </cell>
          <cell r="AV194">
            <v>170.42413471470749</v>
          </cell>
          <cell r="AW194">
            <v>165.81288748244842</v>
          </cell>
          <cell r="BR194">
            <v>0.65736145595926099</v>
          </cell>
          <cell r="BS194">
            <v>0.62697853873378695</v>
          </cell>
          <cell r="BT194">
            <v>0.81013250503294099</v>
          </cell>
          <cell r="BU194">
            <v>0.71536325541056123</v>
          </cell>
          <cell r="BV194">
            <v>0.7469579779389639</v>
          </cell>
          <cell r="BW194">
            <v>0.76104071137118423</v>
          </cell>
          <cell r="BX194">
            <v>0.77032792338329792</v>
          </cell>
          <cell r="BY194">
            <v>0.78224388254124622</v>
          </cell>
          <cell r="BZ194">
            <v>0.78362994296108768</v>
          </cell>
          <cell r="CA194">
            <v>0.79365377807554771</v>
          </cell>
          <cell r="CV194">
            <v>1.7573975398614989</v>
          </cell>
          <cell r="CW194">
            <v>1.735218985998324</v>
          </cell>
          <cell r="CX194">
            <v>2.018868958556912</v>
          </cell>
          <cell r="CY194">
            <v>2.0820023312783587</v>
          </cell>
          <cell r="CZ194">
            <v>2.2328430940389401</v>
          </cell>
          <cell r="DA194">
            <v>2.3306025244058159</v>
          </cell>
          <cell r="DB194">
            <v>2.4239627953044036</v>
          </cell>
          <cell r="DC194">
            <v>2.4712176696571082</v>
          </cell>
          <cell r="DD194">
            <v>2.4960733524206735</v>
          </cell>
          <cell r="DE194">
            <v>2.5084827807366996</v>
          </cell>
        </row>
        <row r="195">
          <cell r="AL195">
            <v>81.892589999999998</v>
          </cell>
          <cell r="AM195">
            <v>81.681850000000011</v>
          </cell>
          <cell r="AN195">
            <v>78.690497064282511</v>
          </cell>
          <cell r="AO195">
            <v>75.004592050112095</v>
          </cell>
          <cell r="AP195">
            <v>77.970902196408048</v>
          </cell>
          <cell r="AQ195">
            <v>73.229007623310693</v>
          </cell>
          <cell r="AR195">
            <v>73.005237570978593</v>
          </cell>
          <cell r="AS195">
            <v>71.692138705128755</v>
          </cell>
          <cell r="AT195">
            <v>69.769695345125001</v>
          </cell>
          <cell r="AU195">
            <v>67.822506240309465</v>
          </cell>
          <cell r="AV195">
            <v>65.640280978747171</v>
          </cell>
          <cell r="AW195">
            <v>63.864220536987247</v>
          </cell>
          <cell r="BR195">
            <v>0.24183758828926302</v>
          </cell>
          <cell r="BS195">
            <v>0.218423148727973</v>
          </cell>
          <cell r="BT195">
            <v>0.23206164709731161</v>
          </cell>
          <cell r="BU195">
            <v>0.23284671818643154</v>
          </cell>
          <cell r="BV195">
            <v>0.24313062275814076</v>
          </cell>
          <cell r="BW195">
            <v>0.24771447332355023</v>
          </cell>
          <cell r="BX195">
            <v>0.2507374086249744</v>
          </cell>
          <cell r="BY195">
            <v>0.25461598634473637</v>
          </cell>
          <cell r="BZ195">
            <v>0.25506714121958801</v>
          </cell>
          <cell r="CA195">
            <v>0.25832984319986285</v>
          </cell>
          <cell r="CV195">
            <v>0.74719366915682195</v>
          </cell>
          <cell r="CW195">
            <v>0.75184479586384101</v>
          </cell>
          <cell r="CX195">
            <v>0.86736565243373698</v>
          </cell>
          <cell r="CY195">
            <v>0.8955987780079262</v>
          </cell>
          <cell r="CZ195">
            <v>0.95761479759081969</v>
          </cell>
          <cell r="DA195">
            <v>1.0008648370904638</v>
          </cell>
          <cell r="DB195">
            <v>1.042987626879788</v>
          </cell>
          <cell r="DC195">
            <v>1.0618303256373622</v>
          </cell>
          <cell r="DD195">
            <v>1.0725353923412695</v>
          </cell>
          <cell r="DE195">
            <v>1.0776315761119133</v>
          </cell>
        </row>
        <row r="196">
          <cell r="AL196">
            <v>277.13528000000002</v>
          </cell>
          <cell r="AM196">
            <v>274.60298</v>
          </cell>
          <cell r="AN196">
            <v>264.60318766274798</v>
          </cell>
          <cell r="AO196">
            <v>248.088907291651</v>
          </cell>
          <cell r="AP196">
            <v>251.781099714231</v>
          </cell>
          <cell r="AQ196">
            <v>244.61088926644513</v>
          </cell>
          <cell r="AR196">
            <v>243.86341783034814</v>
          </cell>
          <cell r="AS196">
            <v>239.47720133370342</v>
          </cell>
          <cell r="AT196">
            <v>233.0555578468238</v>
          </cell>
          <cell r="AU196">
            <v>226.55125478499664</v>
          </cell>
          <cell r="AV196">
            <v>219.26184749770559</v>
          </cell>
          <cell r="AW196">
            <v>213.32917493870241</v>
          </cell>
          <cell r="BR196">
            <v>0.58465734511781398</v>
          </cell>
          <cell r="BS196">
            <v>0.44864490387721695</v>
          </cell>
          <cell r="BT196">
            <v>0.51976658469444192</v>
          </cell>
          <cell r="BU196">
            <v>0.5473637282223528</v>
          </cell>
          <cell r="BV196">
            <v>0.57153858621861919</v>
          </cell>
          <cell r="BW196">
            <v>0.58231405926216784</v>
          </cell>
          <cell r="BX196">
            <v>0.58942021540492984</v>
          </cell>
          <cell r="BY196">
            <v>0.59853777041031875</v>
          </cell>
          <cell r="BZ196">
            <v>0.59959832138663416</v>
          </cell>
          <cell r="CA196">
            <v>0.60726810833450873</v>
          </cell>
          <cell r="CV196">
            <v>2.8543308512500998</v>
          </cell>
          <cell r="CW196">
            <v>2.8967207733447005</v>
          </cell>
          <cell r="CX196">
            <v>3.1628150632896399</v>
          </cell>
          <cell r="CY196">
            <v>3.4318851448778913</v>
          </cell>
          <cell r="CZ196">
            <v>3.6449923138844089</v>
          </cell>
          <cell r="DA196">
            <v>3.7943349929970522</v>
          </cell>
          <cell r="DB196">
            <v>3.9481671429651368</v>
          </cell>
          <cell r="DC196">
            <v>4.0050089254031125</v>
          </cell>
          <cell r="DD196">
            <v>4.0726933472464735</v>
          </cell>
          <cell r="DE196">
            <v>4.0846026270653049</v>
          </cell>
        </row>
        <row r="197">
          <cell r="AL197">
            <v>313.37624</v>
          </cell>
          <cell r="AM197">
            <v>300.37387999999999</v>
          </cell>
          <cell r="AN197">
            <v>262.663636260918</v>
          </cell>
          <cell r="AO197">
            <v>232.57775835058698</v>
          </cell>
          <cell r="AP197">
            <v>262.71554763070469</v>
          </cell>
          <cell r="AQ197">
            <v>259.76412306148461</v>
          </cell>
          <cell r="AR197">
            <v>258.9703470252112</v>
          </cell>
          <cell r="AS197">
            <v>254.31241178273041</v>
          </cell>
          <cell r="AT197">
            <v>247.49295826622827</v>
          </cell>
          <cell r="AU197">
            <v>240.58572455292753</v>
          </cell>
          <cell r="AV197">
            <v>232.84475072588498</v>
          </cell>
          <cell r="AW197">
            <v>226.54455906507243</v>
          </cell>
          <cell r="BR197">
            <v>0.32661767960634303</v>
          </cell>
          <cell r="BS197">
            <v>0.36976939939395498</v>
          </cell>
          <cell r="BT197">
            <v>0.40450628426758301</v>
          </cell>
          <cell r="BU197">
            <v>0.39088478119767966</v>
          </cell>
          <cell r="BV197">
            <v>0.40814859242800094</v>
          </cell>
          <cell r="BW197">
            <v>0.41584360071181253</v>
          </cell>
          <cell r="BX197">
            <v>0.4209182670548694</v>
          </cell>
          <cell r="BY197">
            <v>0.42742931868211842</v>
          </cell>
          <cell r="BZ197">
            <v>0.42818668204938493</v>
          </cell>
          <cell r="CA197">
            <v>0.43366384986006401</v>
          </cell>
          <cell r="CV197">
            <v>3.8677649549200499</v>
          </cell>
          <cell r="CW197">
            <v>3.49822896843293</v>
          </cell>
          <cell r="CX197">
            <v>4.1954320457219003</v>
          </cell>
          <cell r="CY197">
            <v>4.3943593466065041</v>
          </cell>
          <cell r="CZ197">
            <v>4.6902870242861026</v>
          </cell>
          <cell r="DA197">
            <v>4.8959038784917697</v>
          </cell>
          <cell r="DB197">
            <v>5.0444687406237483</v>
          </cell>
          <cell r="DC197">
            <v>5.1750971282045963</v>
          </cell>
          <cell r="DD197">
            <v>5.2352819415375613</v>
          </cell>
          <cell r="DE197">
            <v>5.2547088700916706</v>
          </cell>
        </row>
        <row r="208">
          <cell r="AM208">
            <v>55.889917743250003</v>
          </cell>
          <cell r="AN208">
            <v>57.587318879333331</v>
          </cell>
          <cell r="AO208">
            <v>57.457949961166662</v>
          </cell>
          <cell r="AP208">
            <v>57.139113932166673</v>
          </cell>
          <cell r="AQ208">
            <v>50.415929272415056</v>
          </cell>
          <cell r="AR208">
            <v>51.062048231818764</v>
          </cell>
          <cell r="AS208">
            <v>51.075270979134245</v>
          </cell>
          <cell r="AT208">
            <v>50.036054426841702</v>
          </cell>
          <cell r="AU208">
            <v>49.911805845550383</v>
          </cell>
          <cell r="AV208">
            <v>49.53462680332138</v>
          </cell>
          <cell r="AW208">
            <v>49.028760659808512</v>
          </cell>
        </row>
        <row r="209">
          <cell r="AM209">
            <v>47.302226428250002</v>
          </cell>
          <cell r="AN209">
            <v>46.986925232749996</v>
          </cell>
          <cell r="AO209">
            <v>54.157248573999993</v>
          </cell>
          <cell r="AP209">
            <v>53.151263849000003</v>
          </cell>
          <cell r="AQ209">
            <v>44.563256583280562</v>
          </cell>
          <cell r="AR209">
            <v>45.615983837854778</v>
          </cell>
          <cell r="AS209">
            <v>46.681654791473143</v>
          </cell>
          <cell r="AT209">
            <v>45.340033480704399</v>
          </cell>
          <cell r="AU209">
            <v>44.88873423810621</v>
          </cell>
          <cell r="AV209">
            <v>44.740427988444253</v>
          </cell>
          <cell r="AW209">
            <v>44.406739281146059</v>
          </cell>
        </row>
        <row r="218">
          <cell r="AM218">
            <v>8.5419999999999998</v>
          </cell>
          <cell r="AN218">
            <v>7.8849999999999998</v>
          </cell>
          <cell r="AO218">
            <v>8.23</v>
          </cell>
          <cell r="AP218">
            <v>7.5609999999999999</v>
          </cell>
          <cell r="AQ218">
            <v>6.911419058921231</v>
          </cell>
          <cell r="AR218">
            <v>6.9217631147734897</v>
          </cell>
          <cell r="AS218">
            <v>6.8262596766181769</v>
          </cell>
          <cell r="AT218">
            <v>6.7487510044355457</v>
          </cell>
          <cell r="AU218">
            <v>6.6956127733035551</v>
          </cell>
          <cell r="AV218">
            <v>6.6217369950900435</v>
          </cell>
          <cell r="AW218">
            <v>6.5549262524575198</v>
          </cell>
        </row>
        <row r="219">
          <cell r="AM219">
            <v>28.452000000000002</v>
          </cell>
          <cell r="AN219">
            <v>23.648</v>
          </cell>
          <cell r="AO219">
            <v>28.216999999999999</v>
          </cell>
          <cell r="AP219">
            <v>29.681999999999999</v>
          </cell>
          <cell r="AQ219">
            <v>23.804928619608447</v>
          </cell>
          <cell r="AR219">
            <v>24.910792016635639</v>
          </cell>
          <cell r="AS219">
            <v>25.014426575089239</v>
          </cell>
          <cell r="AT219">
            <v>24.08518142236889</v>
          </cell>
          <cell r="AU219">
            <v>24.176730671270633</v>
          </cell>
          <cell r="AV219">
            <v>23.936937298451394</v>
          </cell>
          <cell r="AW219">
            <v>23.584957468083029</v>
          </cell>
        </row>
        <row r="222">
          <cell r="AM222">
            <v>10.397</v>
          </cell>
          <cell r="AN222">
            <v>10.723000000000001</v>
          </cell>
          <cell r="AO222">
            <v>10.856999999999999</v>
          </cell>
          <cell r="AP222">
            <v>10.686999999999999</v>
          </cell>
          <cell r="AQ222">
            <v>9.4192523635890737</v>
          </cell>
          <cell r="AR222">
            <v>9.4403612985926504</v>
          </cell>
          <cell r="AS222">
            <v>9.4273885172907637</v>
          </cell>
          <cell r="AT222">
            <v>9.2404207119610149</v>
          </cell>
          <cell r="AU222">
            <v>9.1820023724291797</v>
          </cell>
          <cell r="AV222">
            <v>9.0976051232157804</v>
          </cell>
          <cell r="AW222">
            <v>8.9898758811512831</v>
          </cell>
        </row>
        <row r="223">
          <cell r="AM223">
            <v>16.887</v>
          </cell>
          <cell r="AN223">
            <v>16.151</v>
          </cell>
          <cell r="AO223">
            <v>17.478999999999999</v>
          </cell>
          <cell r="AP223">
            <v>17.308</v>
          </cell>
          <cell r="AQ223">
            <v>14.86961530035331</v>
          </cell>
          <cell r="AR223">
            <v>15.139765803537228</v>
          </cell>
          <cell r="AS223">
            <v>15.097477510867831</v>
          </cell>
          <cell r="AT223">
            <v>14.734907147487736</v>
          </cell>
          <cell r="AU223">
            <v>14.690902484218315</v>
          </cell>
          <cell r="AV223">
            <v>14.544273799907463</v>
          </cell>
          <cell r="AW223">
            <v>14.363560587660411</v>
          </cell>
        </row>
        <row r="226">
          <cell r="AM226">
            <v>4.1859999999999999</v>
          </cell>
          <cell r="AN226">
            <v>4.2050000000000001</v>
          </cell>
          <cell r="AO226">
            <v>3.9559999999999995</v>
          </cell>
          <cell r="AP226">
            <v>3.6970000000000001</v>
          </cell>
          <cell r="AQ226">
            <v>3.4615749945438927</v>
          </cell>
          <cell r="AR226">
            <v>3.3887323787782351</v>
          </cell>
          <cell r="AS226">
            <v>3.3653760175463301</v>
          </cell>
          <cell r="AT226">
            <v>3.3371232410170242</v>
          </cell>
          <cell r="AU226">
            <v>3.2964690015315852</v>
          </cell>
          <cell r="AV226">
            <v>3.2663296316310135</v>
          </cell>
          <cell r="AW226">
            <v>3.2339744788986744</v>
          </cell>
        </row>
        <row r="227">
          <cell r="AM227">
            <v>11.363</v>
          </cell>
          <cell r="AN227">
            <v>10.931000000000001</v>
          </cell>
          <cell r="AO227">
            <v>9.5120000000000005</v>
          </cell>
          <cell r="AP227">
            <v>9.7370000000000001</v>
          </cell>
          <cell r="AQ227">
            <v>8.8101141284647202</v>
          </cell>
          <cell r="AR227">
            <v>8.5549675640894112</v>
          </cell>
          <cell r="AS227">
            <v>8.6475810863730214</v>
          </cell>
          <cell r="AT227">
            <v>8.4974698411161889</v>
          </cell>
          <cell r="AU227">
            <v>8.3953393739156805</v>
          </cell>
          <cell r="AV227">
            <v>8.343194165125599</v>
          </cell>
          <cell r="AW227">
            <v>8.2437611041847703</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ER only"/>
      <sheetName val="Contents"/>
      <sheetName val="4. Connections market expansn"/>
      <sheetName val="5. Mains augmentation"/>
      <sheetName val="6. Mains replacement"/>
      <sheetName val="7. Telemetry"/>
      <sheetName val="8. Meter replacement"/>
      <sheetName val="8. Meter replacement $$ JB"/>
      <sheetName val="9. Other capex"/>
      <sheetName val="24. Cost category matrix"/>
      <sheetName val="30. Network characteristics"/>
      <sheetName val="14. Overheads"/>
      <sheetName val="16. Capex allocation"/>
      <sheetName val="17. Gross Capex "/>
      <sheetName val="Instructions"/>
      <sheetName val="Business &amp; other details"/>
      <sheetName val="1. CPI"/>
      <sheetName val="2. Escalators"/>
      <sheetName val="3 - Capex summary"/>
      <sheetName val="12. IT"/>
      <sheetName val="15. Related party transactions"/>
      <sheetName val="20. Changes in provisions"/>
      <sheetName val="21 - Indicative bill impacts"/>
      <sheetName val="22. WACC Inputs"/>
      <sheetName val="23.1 Opex incl. RPM"/>
      <sheetName val="23.2 Opex excl. RPM"/>
      <sheetName val="23.3 Opex base-step-trend"/>
      <sheetName val="23.4 Opex Incentive Mechanism"/>
      <sheetName val="25. ARS"/>
      <sheetName val="26. Allocation of total revenue"/>
      <sheetName val="27. Customer numbers"/>
      <sheetName val="28. Consumption and demand"/>
      <sheetName val="29.1 Gas extenstions ($)"/>
      <sheetName val="29.2 Gas extenstions cust no"/>
      <sheetName val="29.3 Gas extensions - demand"/>
      <sheetName val="29.4 Gas extensions - tariffs"/>
      <sheetName val="31 - Pass throughs"/>
    </sheetNames>
    <sheetDataSet>
      <sheetData sheetId="0"/>
      <sheetData sheetId="1"/>
      <sheetData sheetId="2">
        <row r="64">
          <cell r="H64">
            <v>286.16337089890902</v>
          </cell>
          <cell r="I64">
            <v>108.94327953126745</v>
          </cell>
          <cell r="J64">
            <v>96.786846382755257</v>
          </cell>
        </row>
        <row r="66">
          <cell r="H66">
            <v>100.00851537710074</v>
          </cell>
          <cell r="I66">
            <v>196.88396989350628</v>
          </cell>
          <cell r="J66">
            <v>596.06635738115085</v>
          </cell>
        </row>
        <row r="70">
          <cell r="H70">
            <v>1139.4701213083154</v>
          </cell>
          <cell r="I70">
            <v>1507.718030475324</v>
          </cell>
          <cell r="J70">
            <v>1461.9102967032968</v>
          </cell>
        </row>
        <row r="72">
          <cell r="H72">
            <v>4592.0363936660788</v>
          </cell>
          <cell r="I72">
            <v>4158.1892446043166</v>
          </cell>
          <cell r="J72">
            <v>3998.7294832826747</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ER only"/>
      <sheetName val="Contents"/>
      <sheetName val="Instructions"/>
      <sheetName val="Business &amp; other details"/>
      <sheetName val="1. CPI"/>
      <sheetName val="2. Escalators"/>
      <sheetName val="3 - Capex summary"/>
      <sheetName val="4. Connections market expansion"/>
      <sheetName val="5. Mains augmentation"/>
      <sheetName val="6. Mains replacement"/>
      <sheetName val="7. Telemetry"/>
      <sheetName val="8. Meter replacement"/>
      <sheetName val="9. Other capex"/>
      <sheetName val="12. IT"/>
      <sheetName val="14. Overheads"/>
      <sheetName val="15. Related party transactions"/>
      <sheetName val="16. Capex allocation"/>
      <sheetName val="17. Gross Capex "/>
      <sheetName val="20. Changes in provisions"/>
      <sheetName val="21 - Indicative bill impacts"/>
      <sheetName val="22. WACC Inputs"/>
      <sheetName val="23.1 Opex incl. RPM"/>
      <sheetName val="23.2 Opex excl. RPM"/>
      <sheetName val="23.3 Opex base-step-trend"/>
      <sheetName val="23.4 Opex Incentive Mechanism"/>
      <sheetName val="24. Cost category matrix"/>
      <sheetName val="25. ARS"/>
      <sheetName val="26. Allocation of total revenue"/>
      <sheetName val="27. Customer numbers"/>
      <sheetName val="27.1 Customer numbers Total"/>
      <sheetName val="27.2 Customer numbers Metro"/>
      <sheetName val="27.3 Customer numbers YV"/>
      <sheetName val="27.4 Customer numbers SG"/>
      <sheetName val="28.1 Consumption &amp; demand TOTAL"/>
      <sheetName val="28.2 Consumption &amp; demand METRO"/>
      <sheetName val="28.3 Consumption &amp; demand YV"/>
      <sheetName val="28.4 Consumption &amp; demand SG"/>
      <sheetName val="29.1 Gas extenstions ($)"/>
      <sheetName val="29.2 Gas extenstions cust no"/>
      <sheetName val="29.3 Gas extensions - demand"/>
      <sheetName val="29.4 Gas extensions - tariffs"/>
      <sheetName val="30. Network characteristics"/>
      <sheetName val="31 - Pass throughs"/>
    </sheetNames>
    <sheetDataSet>
      <sheetData sheetId="0"/>
      <sheetData sheetId="1"/>
      <sheetData sheetId="2"/>
      <sheetData sheetId="3"/>
      <sheetData sheetId="4"/>
      <sheetData sheetId="5"/>
      <sheetData sheetId="6"/>
      <sheetData sheetId="7">
        <row r="114">
          <cell r="K114">
            <v>1671984.0381801322</v>
          </cell>
        </row>
        <row r="115">
          <cell r="K115">
            <v>13401437.851983679</v>
          </cell>
        </row>
        <row r="116">
          <cell r="K116">
            <v>1781484.6593096603</v>
          </cell>
        </row>
        <row r="117">
          <cell r="K117">
            <v>16854906.549473472</v>
          </cell>
        </row>
        <row r="172">
          <cell r="K172">
            <v>789225.00743194437</v>
          </cell>
        </row>
        <row r="173">
          <cell r="K173">
            <v>1185019.1522143208</v>
          </cell>
        </row>
        <row r="174">
          <cell r="K174">
            <v>1215021.8618222736</v>
          </cell>
        </row>
        <row r="175">
          <cell r="K175">
            <v>3189266.0214685388</v>
          </cell>
        </row>
      </sheetData>
      <sheetData sheetId="8"/>
      <sheetData sheetId="9"/>
      <sheetData sheetId="10"/>
      <sheetData sheetId="11"/>
      <sheetData sheetId="12"/>
      <sheetData sheetId="13">
        <row r="23">
          <cell r="O23">
            <v>690004</v>
          </cell>
        </row>
        <row r="33">
          <cell r="O33">
            <v>641893</v>
          </cell>
        </row>
        <row r="43">
          <cell r="O43">
            <v>3624314</v>
          </cell>
        </row>
        <row r="63">
          <cell r="O63">
            <v>669186</v>
          </cell>
        </row>
        <row r="73">
          <cell r="O73">
            <v>1088441</v>
          </cell>
        </row>
        <row r="83">
          <cell r="O83">
            <v>196172</v>
          </cell>
        </row>
        <row r="101">
          <cell r="O101">
            <v>6910010</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Contents"/>
      <sheetName val="1. Income"/>
      <sheetName val="2. Capex"/>
      <sheetName val="2.1 Mains"/>
      <sheetName val="2.2 Connections"/>
      <sheetName val="2.3 Meters"/>
      <sheetName val="2.4 Capex overheads"/>
      <sheetName val="3. Opex"/>
      <sheetName val="3.1 ARS"/>
      <sheetName val="4. Provisions"/>
      <sheetName val="5. Cost categories"/>
      <sheetName val="6. Related parties"/>
      <sheetName val="7. Incentives"/>
      <sheetName val="8. Demand "/>
    </sheetNames>
    <sheetDataSet>
      <sheetData sheetId="0"/>
      <sheetData sheetId="1"/>
      <sheetData sheetId="2"/>
      <sheetData sheetId="3">
        <row r="39">
          <cell r="C39">
            <v>1485.2765200000003</v>
          </cell>
        </row>
        <row r="40">
          <cell r="C40">
            <v>5317.757410000002</v>
          </cell>
        </row>
      </sheetData>
      <sheetData sheetId="4">
        <row r="21">
          <cell r="D21">
            <v>30675.668669999992</v>
          </cell>
        </row>
        <row r="31">
          <cell r="C31">
            <v>112.90899999999999</v>
          </cell>
        </row>
      </sheetData>
      <sheetData sheetId="5">
        <row r="36">
          <cell r="C36">
            <v>19185980.074641556</v>
          </cell>
        </row>
        <row r="41">
          <cell r="C41">
            <v>2656254.4228865979</v>
          </cell>
        </row>
        <row r="46">
          <cell r="C46">
            <v>871141</v>
          </cell>
        </row>
      </sheetData>
      <sheetData sheetId="6"/>
      <sheetData sheetId="7">
        <row r="25">
          <cell r="C25">
            <v>1791.5102400000005</v>
          </cell>
        </row>
        <row r="26">
          <cell r="C26">
            <v>1078.8847700000001</v>
          </cell>
        </row>
        <row r="27">
          <cell r="C27">
            <v>259.10820000000001</v>
          </cell>
        </row>
        <row r="28">
          <cell r="C28">
            <v>81.06134999999999</v>
          </cell>
        </row>
        <row r="29">
          <cell r="C29">
            <v>63.632249999999999</v>
          </cell>
        </row>
        <row r="30">
          <cell r="C30">
            <v>77.960480000000004</v>
          </cell>
        </row>
        <row r="31">
          <cell r="C31">
            <v>820.47859000000005</v>
          </cell>
        </row>
        <row r="32">
          <cell r="C32">
            <v>0.85265000000000013</v>
          </cell>
        </row>
        <row r="33">
          <cell r="C33">
            <v>587.80968000000018</v>
          </cell>
        </row>
        <row r="34">
          <cell r="C34">
            <v>244.31736999999998</v>
          </cell>
        </row>
      </sheetData>
      <sheetData sheetId="8"/>
      <sheetData sheetId="9"/>
      <sheetData sheetId="10"/>
      <sheetData sheetId="11"/>
      <sheetData sheetId="12"/>
      <sheetData sheetId="13"/>
      <sheetData sheetId="14"/>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tailed Capex Inputs"/>
      <sheetName val="Inputs - Summary"/>
      <sheetName val="Depreciation"/>
      <sheetName val="AAR Model_inputs"/>
      <sheetName val="PTRM_inputs"/>
    </sheetNames>
    <sheetDataSet>
      <sheetData sheetId="0">
        <row r="20">
          <cell r="N20">
            <v>42.6</v>
          </cell>
        </row>
        <row r="21">
          <cell r="N21">
            <v>17.48</v>
          </cell>
        </row>
        <row r="22">
          <cell r="N22">
            <v>3.33</v>
          </cell>
        </row>
        <row r="23">
          <cell r="N23">
            <v>3.41</v>
          </cell>
        </row>
        <row r="26">
          <cell r="N26">
            <v>0.06</v>
          </cell>
        </row>
      </sheetData>
      <sheetData sheetId="1"/>
      <sheetData sheetId="2"/>
      <sheetData sheetId="3"/>
      <sheetData sheetId="4"/>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EX Build-up"/>
      <sheetName val="Customer Model - ACIF"/>
      <sheetName val="Regulatory Export"/>
    </sheetNames>
    <sheetDataSet>
      <sheetData sheetId="0">
        <row r="135">
          <cell r="G135">
            <v>2734.2921256768004</v>
          </cell>
          <cell r="H135">
            <v>2734.2921256768004</v>
          </cell>
          <cell r="I135">
            <v>2550.4446263296004</v>
          </cell>
        </row>
        <row r="136">
          <cell r="G136">
            <v>2550.0102000000002</v>
          </cell>
        </row>
      </sheetData>
      <sheetData sheetId="1" refreshError="1"/>
      <sheetData sheetId="2">
        <row r="3">
          <cell r="G3">
            <v>1.0052700000000001</v>
          </cell>
          <cell r="H3">
            <v>1.0074399999999999</v>
          </cell>
          <cell r="I3">
            <v>1.01085</v>
          </cell>
        </row>
        <row r="15">
          <cell r="F15">
            <v>6291.6120417480543</v>
          </cell>
          <cell r="G15">
            <v>6287.7340834565084</v>
          </cell>
          <cell r="H15">
            <v>6301.3069374769202</v>
          </cell>
          <cell r="I15">
            <v>6322.6357080804273</v>
          </cell>
          <cell r="J15">
            <v>6332.3306038092933</v>
          </cell>
        </row>
        <row r="16">
          <cell r="F16">
            <v>360.11750004071985</v>
          </cell>
          <cell r="G16">
            <v>131.06750001017997</v>
          </cell>
          <cell r="H16">
            <v>131.06750001017997</v>
          </cell>
          <cell r="I16">
            <v>131.06750001017997</v>
          </cell>
          <cell r="J16">
            <v>131.06750001017997</v>
          </cell>
        </row>
        <row r="18">
          <cell r="F18">
            <v>296.48923599459994</v>
          </cell>
          <cell r="G18">
            <v>358.60492064460004</v>
          </cell>
          <cell r="H18">
            <v>270.32262752319997</v>
          </cell>
          <cell r="I18">
            <v>172.59416657700004</v>
          </cell>
          <cell r="J18">
            <v>188.067412856</v>
          </cell>
        </row>
        <row r="19">
          <cell r="F19">
            <v>118.62810819719999</v>
          </cell>
          <cell r="G19">
            <v>118.55498943960002</v>
          </cell>
          <cell r="H19">
            <v>118.81090509119998</v>
          </cell>
          <cell r="I19">
            <v>119.213058258</v>
          </cell>
          <cell r="J19">
            <v>119.395855152</v>
          </cell>
        </row>
        <row r="20">
          <cell r="F20">
            <v>2574.3491005791898</v>
          </cell>
          <cell r="G20">
            <v>2263.348873736958</v>
          </cell>
          <cell r="H20">
            <v>1549.9468731991997</v>
          </cell>
          <cell r="I20">
            <v>1749.4469367617701</v>
          </cell>
          <cell r="J20">
            <v>1599.5857889260001</v>
          </cell>
        </row>
        <row r="21">
          <cell r="F21">
            <v>31.987302</v>
          </cell>
          <cell r="G21">
            <v>0</v>
          </cell>
          <cell r="H21">
            <v>0</v>
          </cell>
          <cell r="I21">
            <v>0</v>
          </cell>
          <cell r="J21">
            <v>0</v>
          </cell>
        </row>
        <row r="22">
          <cell r="F22">
            <v>1136.10545512506</v>
          </cell>
          <cell r="G22">
            <v>40.492275600000006</v>
          </cell>
          <cell r="H22">
            <v>1637.8808068018757</v>
          </cell>
          <cell r="I22">
            <v>40.717038000000002</v>
          </cell>
          <cell r="J22">
            <v>1659.9026587428639</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conomic Assumptions"/>
      <sheetName val="Intro"/>
      <sheetName val="Chapter 1"/>
      <sheetName val="Chapter 2"/>
      <sheetName val="Chapter 3 &amp; 4"/>
      <sheetName val="Chapter 5"/>
      <sheetName val="Chapter 6"/>
      <sheetName val="Chapter 6a"/>
      <sheetName val="Chapter 7"/>
      <sheetName val="Chapter 8"/>
      <sheetName val="Chapter 13"/>
      <sheetName val="Chapter 15"/>
      <sheetName val="Part B"/>
    </sheetNames>
    <sheetDataSet>
      <sheetData sheetId="0"/>
      <sheetData sheetId="1"/>
      <sheetData sheetId="2"/>
      <sheetData sheetId="3"/>
      <sheetData sheetId="4"/>
      <sheetData sheetId="5"/>
      <sheetData sheetId="6">
        <row r="10">
          <cell r="F10">
            <v>4.42</v>
          </cell>
        </row>
        <row r="14">
          <cell r="F14">
            <v>12.77</v>
          </cell>
        </row>
      </sheetData>
      <sheetData sheetId="7"/>
      <sheetData sheetId="8"/>
      <sheetData sheetId="9"/>
      <sheetData sheetId="10"/>
      <sheetData sheetId="11"/>
      <sheetData sheetId="12"/>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CM"/>
      <sheetName val="Calc|Opex Forecast"/>
      <sheetName val="Summary"/>
      <sheetName val="Rate of change"/>
      <sheetName val="Base Year - establishing"/>
      <sheetName val="Diff. between 2016 &amp; 2017"/>
      <sheetName val="BIS labour Real Cost Escalators"/>
      <sheetName val="Outout Growth - scenarios"/>
      <sheetName val="Economic Assumptions"/>
    </sheetNames>
    <sheetDataSet>
      <sheetData sheetId="0"/>
      <sheetData sheetId="1">
        <row r="22">
          <cell r="K22">
            <v>6.4591397568010134E-3</v>
          </cell>
        </row>
        <row r="23">
          <cell r="K23">
            <v>1.2959999999999999E-2</v>
          </cell>
        </row>
        <row r="32">
          <cell r="M32">
            <v>1.2430844906456073E-2</v>
          </cell>
          <cell r="N32">
            <v>1.1852418295358991E-2</v>
          </cell>
          <cell r="O32">
            <v>1.4034261117094493E-2</v>
          </cell>
          <cell r="P32">
            <v>1.7304390813793979E-2</v>
          </cell>
          <cell r="Q32">
            <v>1.890677416326203E-2</v>
          </cell>
        </row>
      </sheetData>
      <sheetData sheetId="2"/>
      <sheetData sheetId="3"/>
      <sheetData sheetId="4"/>
      <sheetData sheetId="5"/>
      <sheetData sheetId="6"/>
      <sheetData sheetId="7"/>
      <sheetData sheetId="8"/>
    </sheetDataSet>
  </externalBook>
</externalLink>
</file>

<file path=xl/tables/table1.xml><?xml version="1.0" encoding="utf-8"?>
<table xmlns="http://schemas.openxmlformats.org/spreadsheetml/2006/main" id="1" name="Table1" displayName="Table1" ref="B7:AA42" totalsRowShown="0" headerRowDxfId="30" tableBorderDxfId="29" headerRowCellStyle="Normal 10">
  <autoFilter ref="B7:AA42"/>
  <tableColumns count="26">
    <tableColumn id="1" name="dms_TradingName_List" dataDxfId="28" dataCellStyle="Normal 2 2 2"/>
    <tableColumn id="2" name="dms_TradingNameFull_List" dataDxfId="27" dataCellStyle="Normal 10"/>
    <tableColumn id="3" name="dms_ABN_List" dataDxfId="26" dataCellStyle="Normal 2 2 2"/>
    <tableColumn id="4" name="dms_JurisdictionList" dataDxfId="25" dataCellStyle="Normal 13 2"/>
    <tableColumn id="5" name="dms_Sector_List" dataDxfId="24" dataCellStyle="Normal 2 2 2"/>
    <tableColumn id="6" name="dms_Segment_List" dataDxfId="23" dataCellStyle="Normal 2 2 2"/>
    <tableColumn id="7" name="dms_FormControl_List" dataDxfId="22" dataCellStyle="Normal 2 2 2"/>
    <tableColumn id="8" name="dms_RPT_List" dataDxfId="21" dataCellStyle="Normal 2 2 2"/>
    <tableColumn id="9" name="dms_RPTMonth_List" dataDxfId="20" dataCellStyle="Normal 2 2 2"/>
    <tableColumn id="10" name="dms_CRCPlength_List" dataDxfId="19" dataCellStyle="Normal 2 2 2"/>
    <tableColumn id="11" name="dms_FRCPlength_List" dataDxfId="18" dataCellStyle="Normal 2 2 2"/>
    <tableColumn id="12" name="dms_663_List" dataDxfId="17" dataCellStyle="Normal 13 2"/>
    <tableColumn id="13" name="dms_DeterminationRef_List" dataDxfId="16" dataCellStyle="Normal 2 2 2"/>
    <tableColumn id="14" name="dms_Addr1_List" dataDxfId="15" dataCellStyle="Normal 2 2 2"/>
    <tableColumn id="15" name="dms_Addr2_List" dataDxfId="14" dataCellStyle="Normal 2 2 2"/>
    <tableColumn id="16" name="dms_Suburb_List" dataDxfId="13" dataCellStyle="Normal 2 2 2"/>
    <tableColumn id="17" name="dms_State_List" dataDxfId="12" dataCellStyle="Normal 13 2"/>
    <tableColumn id="18" name="dms_PostCode_List" dataDxfId="11" dataCellStyle="Normal 2 2 2"/>
    <tableColumn id="19" name="dms_PAddr1_List" dataDxfId="10" dataCellStyle="Normal 2 2 2"/>
    <tableColumn id="20" name="dms_PAddr2_List" dataDxfId="9" dataCellStyle="Normal 2 2 2"/>
    <tableColumn id="21" name="dms_PSuburb_List" dataDxfId="8" dataCellStyle="Normal 2 2 2"/>
    <tableColumn id="22" name="dms_PState_List" dataDxfId="7" dataCellStyle="Normal 2 2 2"/>
    <tableColumn id="23" name="dms_PPostCode_List" dataDxfId="6" dataCellStyle="Normal 2 2 2"/>
    <tableColumn id="24" name="dms_ContactName1_List" dataDxfId="5" dataCellStyle="Normal 2 2 2"/>
    <tableColumn id="25" name="dms_ContactPh1_List" dataDxfId="4" dataCellStyle="Normal 2 2 2"/>
    <tableColumn id="26" name="dms_ContactEmail_List"/>
  </tableColumns>
  <tableStyleInfo name="TableStyleLight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vertOverflow="clip" horzOverflow="clip" rtlCol="0" anchor="t"/>
      <a:lstStyle>
        <a:defPPr algn="l">
          <a:defRPr sz="1200" b="1">
            <a:solidFill>
              <a:schemeClr val="tx1"/>
            </a:solidFill>
          </a:defRPr>
        </a:defPPr>
      </a:lstStyle>
      <a:style>
        <a:lnRef idx="1">
          <a:schemeClr val="accent6"/>
        </a:lnRef>
        <a:fillRef idx="2">
          <a:schemeClr val="accent6"/>
        </a:fillRef>
        <a:effectRef idx="1">
          <a:schemeClr val="accent6"/>
        </a:effectRef>
        <a:fontRef idx="minor">
          <a:schemeClr val="dk1"/>
        </a:fontRef>
      </a:style>
    </a:sp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1.bin"/><Relationship Id="rId1" Type="http://schemas.openxmlformats.org/officeDocument/2006/relationships/printerSettings" Target="../printerSettings/printerSettings1.bin"/><Relationship Id="rId6" Type="http://schemas.openxmlformats.org/officeDocument/2006/relationships/comments" Target="../comments1.xml"/><Relationship Id="rId5" Type="http://schemas.openxmlformats.org/officeDocument/2006/relationships/table" Target="../tables/table1.xml"/><Relationship Id="rId4"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customProperty" Target="../customProperty14.bin"/><Relationship Id="rId2" Type="http://schemas.openxmlformats.org/officeDocument/2006/relationships/customProperty" Target="../customProperty13.bin"/><Relationship Id="rId1" Type="http://schemas.openxmlformats.org/officeDocument/2006/relationships/printerSettings" Target="../printerSettings/printerSettings10.bin"/><Relationship Id="rId4"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3" Type="http://schemas.openxmlformats.org/officeDocument/2006/relationships/customProperty" Target="../customProperty16.bin"/><Relationship Id="rId2" Type="http://schemas.openxmlformats.org/officeDocument/2006/relationships/customProperty" Target="../customProperty15.bin"/><Relationship Id="rId1" Type="http://schemas.openxmlformats.org/officeDocument/2006/relationships/printerSettings" Target="../printerSettings/printerSettings11.bin"/><Relationship Id="rId4"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3" Type="http://schemas.openxmlformats.org/officeDocument/2006/relationships/customProperty" Target="../customProperty18.bin"/><Relationship Id="rId2" Type="http://schemas.openxmlformats.org/officeDocument/2006/relationships/customProperty" Target="../customProperty17.bin"/><Relationship Id="rId1" Type="http://schemas.openxmlformats.org/officeDocument/2006/relationships/printerSettings" Target="../printerSettings/printerSettings12.bin"/><Relationship Id="rId4"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3" Type="http://schemas.openxmlformats.org/officeDocument/2006/relationships/customProperty" Target="../customProperty20.bin"/><Relationship Id="rId2" Type="http://schemas.openxmlformats.org/officeDocument/2006/relationships/customProperty" Target="../customProperty19.bin"/><Relationship Id="rId1" Type="http://schemas.openxmlformats.org/officeDocument/2006/relationships/printerSettings" Target="../printerSettings/printerSettings13.bin"/><Relationship Id="rId4"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3" Type="http://schemas.openxmlformats.org/officeDocument/2006/relationships/customProperty" Target="../customProperty22.bin"/><Relationship Id="rId2" Type="http://schemas.openxmlformats.org/officeDocument/2006/relationships/customProperty" Target="../customProperty21.bin"/><Relationship Id="rId1" Type="http://schemas.openxmlformats.org/officeDocument/2006/relationships/printerSettings" Target="../printerSettings/printerSettings14.bin"/><Relationship Id="rId5" Type="http://schemas.openxmlformats.org/officeDocument/2006/relationships/drawing" Target="../drawings/drawing14.xml"/><Relationship Id="rId4" Type="http://schemas.openxmlformats.org/officeDocument/2006/relationships/customProperty" Target="../customProperty23.bin"/></Relationships>
</file>

<file path=xl/worksheets/_rels/sheet15.xml.rels><?xml version="1.0" encoding="UTF-8" standalone="yes"?>
<Relationships xmlns="http://schemas.openxmlformats.org/package/2006/relationships"><Relationship Id="rId3" Type="http://schemas.openxmlformats.org/officeDocument/2006/relationships/customProperty" Target="../customProperty25.bin"/><Relationship Id="rId2" Type="http://schemas.openxmlformats.org/officeDocument/2006/relationships/customProperty" Target="../customProperty24.bin"/><Relationship Id="rId1" Type="http://schemas.openxmlformats.org/officeDocument/2006/relationships/printerSettings" Target="../printerSettings/printerSettings15.bin"/><Relationship Id="rId4"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3" Type="http://schemas.openxmlformats.org/officeDocument/2006/relationships/customProperty" Target="../customProperty27.bin"/><Relationship Id="rId2" Type="http://schemas.openxmlformats.org/officeDocument/2006/relationships/customProperty" Target="../customProperty26.bin"/><Relationship Id="rId1" Type="http://schemas.openxmlformats.org/officeDocument/2006/relationships/printerSettings" Target="../printerSettings/printerSettings16.bin"/><Relationship Id="rId4"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3" Type="http://schemas.openxmlformats.org/officeDocument/2006/relationships/customProperty" Target="../customProperty29.bin"/><Relationship Id="rId2" Type="http://schemas.openxmlformats.org/officeDocument/2006/relationships/customProperty" Target="../customProperty28.bin"/><Relationship Id="rId1" Type="http://schemas.openxmlformats.org/officeDocument/2006/relationships/printerSettings" Target="../printerSettings/printerSettings17.bin"/><Relationship Id="rId4"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3" Type="http://schemas.openxmlformats.org/officeDocument/2006/relationships/customProperty" Target="../customProperty31.bin"/><Relationship Id="rId2" Type="http://schemas.openxmlformats.org/officeDocument/2006/relationships/customProperty" Target="../customProperty30.bin"/><Relationship Id="rId1" Type="http://schemas.openxmlformats.org/officeDocument/2006/relationships/printerSettings" Target="../printerSettings/printerSettings18.bin"/><Relationship Id="rId4"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3" Type="http://schemas.openxmlformats.org/officeDocument/2006/relationships/customProperty" Target="../customProperty33.bin"/><Relationship Id="rId2" Type="http://schemas.openxmlformats.org/officeDocument/2006/relationships/customProperty" Target="../customProperty32.bin"/><Relationship Id="rId1" Type="http://schemas.openxmlformats.org/officeDocument/2006/relationships/printerSettings" Target="../printerSettings/printerSettings19.bin"/><Relationship Id="rId4"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customProperty" Target="../customProperty2.bin"/><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ustomProperty" Target="../customProperty35.bin"/><Relationship Id="rId2" Type="http://schemas.openxmlformats.org/officeDocument/2006/relationships/customProperty" Target="../customProperty34.bin"/><Relationship Id="rId1" Type="http://schemas.openxmlformats.org/officeDocument/2006/relationships/printerSettings" Target="../printerSettings/printerSettings20.bin"/><Relationship Id="rId4"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3" Type="http://schemas.openxmlformats.org/officeDocument/2006/relationships/customProperty" Target="../customProperty37.bin"/><Relationship Id="rId2" Type="http://schemas.openxmlformats.org/officeDocument/2006/relationships/customProperty" Target="../customProperty36.bin"/><Relationship Id="rId1" Type="http://schemas.openxmlformats.org/officeDocument/2006/relationships/printerSettings" Target="../printerSettings/printerSettings21.bin"/><Relationship Id="rId4"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3" Type="http://schemas.openxmlformats.org/officeDocument/2006/relationships/customProperty" Target="../customProperty39.bin"/><Relationship Id="rId2" Type="http://schemas.openxmlformats.org/officeDocument/2006/relationships/customProperty" Target="../customProperty38.bin"/><Relationship Id="rId1" Type="http://schemas.openxmlformats.org/officeDocument/2006/relationships/printerSettings" Target="../printerSettings/printerSettings22.bin"/><Relationship Id="rId4"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3" Type="http://schemas.openxmlformats.org/officeDocument/2006/relationships/customProperty" Target="../customProperty41.bin"/><Relationship Id="rId2" Type="http://schemas.openxmlformats.org/officeDocument/2006/relationships/customProperty" Target="../customProperty40.bin"/><Relationship Id="rId1" Type="http://schemas.openxmlformats.org/officeDocument/2006/relationships/printerSettings" Target="../printerSettings/printerSettings23.bin"/><Relationship Id="rId4"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3" Type="http://schemas.openxmlformats.org/officeDocument/2006/relationships/drawing" Target="../drawings/drawing24.xml"/><Relationship Id="rId2" Type="http://schemas.openxmlformats.org/officeDocument/2006/relationships/customProperty" Target="../customProperty42.bin"/><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ustomProperty" Target="../customProperty44.bin"/><Relationship Id="rId2" Type="http://schemas.openxmlformats.org/officeDocument/2006/relationships/customProperty" Target="../customProperty43.bin"/><Relationship Id="rId1" Type="http://schemas.openxmlformats.org/officeDocument/2006/relationships/printerSettings" Target="../printerSettings/printerSettings25.bin"/><Relationship Id="rId4"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3" Type="http://schemas.openxmlformats.org/officeDocument/2006/relationships/customProperty" Target="../customProperty46.bin"/><Relationship Id="rId2" Type="http://schemas.openxmlformats.org/officeDocument/2006/relationships/customProperty" Target="../customProperty45.bin"/><Relationship Id="rId1" Type="http://schemas.openxmlformats.org/officeDocument/2006/relationships/printerSettings" Target="../printerSettings/printerSettings26.bin"/><Relationship Id="rId4"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3" Type="http://schemas.openxmlformats.org/officeDocument/2006/relationships/customProperty" Target="../customProperty48.bin"/><Relationship Id="rId2" Type="http://schemas.openxmlformats.org/officeDocument/2006/relationships/customProperty" Target="../customProperty47.bin"/><Relationship Id="rId1" Type="http://schemas.openxmlformats.org/officeDocument/2006/relationships/printerSettings" Target="../printerSettings/printerSettings27.bin"/><Relationship Id="rId4"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3" Type="http://schemas.openxmlformats.org/officeDocument/2006/relationships/drawing" Target="../drawings/drawing28.xml"/><Relationship Id="rId2" Type="http://schemas.openxmlformats.org/officeDocument/2006/relationships/customProperty" Target="../customProperty49.bin"/><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customProperty" Target="../customProperty51.bin"/><Relationship Id="rId2" Type="http://schemas.openxmlformats.org/officeDocument/2006/relationships/customProperty" Target="../customProperty50.bin"/><Relationship Id="rId1" Type="http://schemas.openxmlformats.org/officeDocument/2006/relationships/printerSettings" Target="../printerSettings/printerSettings29.bin"/><Relationship Id="rId5" Type="http://schemas.openxmlformats.org/officeDocument/2006/relationships/drawing" Target="../drawings/drawing29.xml"/><Relationship Id="rId4" Type="http://schemas.openxmlformats.org/officeDocument/2006/relationships/customProperty" Target="../customProperty52.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customProperty" Target="../customProperty3.bin"/><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ustomProperty" Target="../customProperty54.bin"/><Relationship Id="rId2" Type="http://schemas.openxmlformats.org/officeDocument/2006/relationships/customProperty" Target="../customProperty53.bin"/><Relationship Id="rId1" Type="http://schemas.openxmlformats.org/officeDocument/2006/relationships/printerSettings" Target="../printerSettings/printerSettings30.bin"/><Relationship Id="rId4"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customProperty" Target="../customProperty55.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customProperty" Target="../customProperty56.bin"/></Relationships>
</file>

<file path=xl/worksheets/_rels/sheet33.xml.rels><?xml version="1.0" encoding="UTF-8" standalone="yes"?>
<Relationships xmlns="http://schemas.openxmlformats.org/package/2006/relationships"><Relationship Id="rId3" Type="http://schemas.openxmlformats.org/officeDocument/2006/relationships/drawing" Target="../drawings/drawing33.xml"/><Relationship Id="rId2" Type="http://schemas.openxmlformats.org/officeDocument/2006/relationships/customProperty" Target="../customProperty58.bin"/><Relationship Id="rId1" Type="http://schemas.openxmlformats.org/officeDocument/2006/relationships/customProperty" Target="../customProperty57.bin"/></Relationships>
</file>

<file path=xl/worksheets/_rels/sheet34.xml.rels><?xml version="1.0" encoding="UTF-8" standalone="yes"?>
<Relationships xmlns="http://schemas.openxmlformats.org/package/2006/relationships"><Relationship Id="rId3" Type="http://schemas.openxmlformats.org/officeDocument/2006/relationships/drawing" Target="../drawings/drawing34.xml"/><Relationship Id="rId2" Type="http://schemas.openxmlformats.org/officeDocument/2006/relationships/customProperty" Target="../customProperty60.bin"/><Relationship Id="rId1" Type="http://schemas.openxmlformats.org/officeDocument/2006/relationships/customProperty" Target="../customProperty59.bin"/></Relationships>
</file>

<file path=xl/worksheets/_rels/sheet35.xml.rels><?xml version="1.0" encoding="UTF-8" standalone="yes"?>
<Relationships xmlns="http://schemas.openxmlformats.org/package/2006/relationships"><Relationship Id="rId3" Type="http://schemas.openxmlformats.org/officeDocument/2006/relationships/drawing" Target="../drawings/drawing35.xml"/><Relationship Id="rId2" Type="http://schemas.openxmlformats.org/officeDocument/2006/relationships/customProperty" Target="../customProperty61.bin"/><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customProperty" Target="../customProperty62.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customProperty" Target="../customProperty63.bin"/></Relationships>
</file>

<file path=xl/worksheets/_rels/sheet38.xml.rels><?xml version="1.0" encoding="UTF-8" standalone="yes"?>
<Relationships xmlns="http://schemas.openxmlformats.org/package/2006/relationships"><Relationship Id="rId3" Type="http://schemas.openxmlformats.org/officeDocument/2006/relationships/drawing" Target="../drawings/drawing38.xml"/><Relationship Id="rId2" Type="http://schemas.openxmlformats.org/officeDocument/2006/relationships/customProperty" Target="../customProperty64.bin"/><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drawing" Target="../drawings/drawing39.xml"/><Relationship Id="rId2" Type="http://schemas.openxmlformats.org/officeDocument/2006/relationships/customProperty" Target="../customProperty65.bin"/><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customProperty" Target="../customProperty4.bin"/><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drawing" Target="../drawings/drawing40.xml"/><Relationship Id="rId2" Type="http://schemas.openxmlformats.org/officeDocument/2006/relationships/customProperty" Target="../customProperty66.bin"/><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3" Type="http://schemas.openxmlformats.org/officeDocument/2006/relationships/drawing" Target="../drawings/drawing41.xml"/><Relationship Id="rId2" Type="http://schemas.openxmlformats.org/officeDocument/2006/relationships/customProperty" Target="../customProperty67.bin"/><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3" Type="http://schemas.openxmlformats.org/officeDocument/2006/relationships/customProperty" Target="../customProperty69.bin"/><Relationship Id="rId2" Type="http://schemas.openxmlformats.org/officeDocument/2006/relationships/customProperty" Target="../customProperty68.bin"/><Relationship Id="rId1" Type="http://schemas.openxmlformats.org/officeDocument/2006/relationships/printerSettings" Target="../printerSettings/printerSettings36.bin"/><Relationship Id="rId4"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3" Type="http://schemas.openxmlformats.org/officeDocument/2006/relationships/customProperty" Target="../customProperty71.bin"/><Relationship Id="rId2" Type="http://schemas.openxmlformats.org/officeDocument/2006/relationships/customProperty" Target="../customProperty70.bin"/><Relationship Id="rId1" Type="http://schemas.openxmlformats.org/officeDocument/2006/relationships/printerSettings" Target="../printerSettings/printerSettings37.bin"/><Relationship Id="rId4" Type="http://schemas.openxmlformats.org/officeDocument/2006/relationships/drawing" Target="../drawings/drawing43.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customProperty" Target="../customProperty5.bin"/><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customProperty" Target="../customProperty6.bin"/><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ustomProperty" Target="../customProperty8.bin"/><Relationship Id="rId2" Type="http://schemas.openxmlformats.org/officeDocument/2006/relationships/customProperty" Target="../customProperty7.bin"/><Relationship Id="rId1" Type="http://schemas.openxmlformats.org/officeDocument/2006/relationships/printerSettings" Target="../printerSettings/printerSettings7.bin"/><Relationship Id="rId4"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3" Type="http://schemas.openxmlformats.org/officeDocument/2006/relationships/customProperty" Target="../customProperty10.bin"/><Relationship Id="rId2" Type="http://schemas.openxmlformats.org/officeDocument/2006/relationships/customProperty" Target="../customProperty9.bin"/><Relationship Id="rId1" Type="http://schemas.openxmlformats.org/officeDocument/2006/relationships/printerSettings" Target="../printerSettings/printerSettings8.bin"/><Relationship Id="rId4"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3" Type="http://schemas.openxmlformats.org/officeDocument/2006/relationships/customProperty" Target="../customProperty12.bin"/><Relationship Id="rId2" Type="http://schemas.openxmlformats.org/officeDocument/2006/relationships/customProperty" Target="../customProperty11.bin"/><Relationship Id="rId1" Type="http://schemas.openxmlformats.org/officeDocument/2006/relationships/printerSettings" Target="../printerSettings/printerSettings9.bin"/><Relationship Id="rId4"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theme="9" tint="-0.249977111117893"/>
  </sheetPr>
  <dimension ref="A1:AN132"/>
  <sheetViews>
    <sheetView showGridLines="0" zoomScale="70" zoomScaleNormal="70" workbookViewId="0">
      <selection activeCell="A11" sqref="A11"/>
    </sheetView>
  </sheetViews>
  <sheetFormatPr defaultColWidth="9.140625" defaultRowHeight="15"/>
  <cols>
    <col min="1" max="1" width="23.140625" style="2480" customWidth="1"/>
    <col min="2" max="2" width="33.85546875" style="2492" bestFit="1" customWidth="1"/>
    <col min="3" max="3" width="53.85546875" style="2492" customWidth="1"/>
    <col min="4" max="4" width="19.85546875" style="2480" customWidth="1"/>
    <col min="5" max="5" width="25.140625" style="1958" customWidth="1"/>
    <col min="6" max="6" width="21" style="2480" customWidth="1"/>
    <col min="7" max="7" width="23" style="2480" customWidth="1"/>
    <col min="8" max="8" width="27.5703125" style="2492" customWidth="1"/>
    <col min="9" max="9" width="19" style="2493" customWidth="1"/>
    <col min="10" max="10" width="25.5703125" style="2492" customWidth="1"/>
    <col min="11" max="11" width="27" style="2492" customWidth="1"/>
    <col min="12" max="12" width="26.7109375" style="2494" customWidth="1"/>
    <col min="13" max="13" width="18.140625" style="2480" customWidth="1"/>
    <col min="14" max="14" width="36.28515625" style="2480" customWidth="1"/>
    <col min="15" max="15" width="19.85546875" style="2481" customWidth="1"/>
    <col min="16" max="16" width="20.140625" style="2481" customWidth="1"/>
    <col min="17" max="17" width="21.28515625" style="2481" customWidth="1"/>
    <col min="18" max="18" width="19.5703125" style="2481" customWidth="1"/>
    <col min="19" max="19" width="24.7109375" style="2481" customWidth="1"/>
    <col min="20" max="20" width="21.42578125" style="2481" customWidth="1"/>
    <col min="21" max="21" width="21.85546875" style="2481" customWidth="1"/>
    <col min="22" max="22" width="22.85546875" style="2481" customWidth="1"/>
    <col min="23" max="23" width="21.28515625" style="2481" customWidth="1"/>
    <col min="24" max="24" width="26.28515625" style="2480" customWidth="1"/>
    <col min="25" max="25" width="29.140625" style="2480" customWidth="1"/>
    <col min="26" max="26" width="26.140625" style="2480" customWidth="1"/>
    <col min="27" max="27" width="47.140625" style="2480" customWidth="1"/>
    <col min="28" max="28" width="3.42578125" style="2275" customWidth="1"/>
    <col min="29" max="29" width="12.140625" style="2275" bestFit="1" customWidth="1"/>
    <col min="30" max="30" width="13.140625" style="2480" bestFit="1" customWidth="1"/>
    <col min="31" max="31" width="13.5703125" style="2480" bestFit="1" customWidth="1"/>
    <col min="32" max="32" width="12.42578125" style="2480" bestFit="1" customWidth="1"/>
    <col min="33" max="33" width="16.7109375" style="2480" bestFit="1" customWidth="1"/>
    <col min="34" max="34" width="16.7109375" style="2480" customWidth="1"/>
    <col min="35" max="35" width="18" style="2480" customWidth="1"/>
    <col min="36" max="36" width="28.85546875" style="2480" customWidth="1"/>
    <col min="37" max="37" width="28.5703125" style="2480" customWidth="1"/>
    <col min="38" max="38" width="14.28515625" style="2480" bestFit="1" customWidth="1"/>
    <col min="39" max="39" width="12.42578125" style="2480" bestFit="1" customWidth="1"/>
    <col min="40" max="40" width="37" style="2480" customWidth="1"/>
    <col min="41" max="16384" width="9.140625" style="2480"/>
  </cols>
  <sheetData>
    <row r="1" spans="2:40" ht="18">
      <c r="B1" s="4024" t="s">
        <v>870</v>
      </c>
      <c r="C1" s="4024"/>
      <c r="D1" s="4024"/>
      <c r="E1" s="4024"/>
      <c r="F1" s="4024"/>
      <c r="G1" s="4024"/>
      <c r="H1" s="4024"/>
      <c r="I1" s="4024"/>
      <c r="J1" s="4024"/>
      <c r="K1" s="4024"/>
      <c r="L1" s="4024"/>
    </row>
    <row r="2" spans="2:40" ht="18">
      <c r="B2" s="2482" t="s">
        <v>677</v>
      </c>
      <c r="C2" s="2483">
        <v>42590</v>
      </c>
      <c r="D2" s="2484" t="s">
        <v>871</v>
      </c>
      <c r="E2" s="2484"/>
      <c r="F2" s="2485"/>
      <c r="G2" s="2485"/>
      <c r="H2" s="2486"/>
      <c r="I2" s="2487"/>
      <c r="J2" s="2486"/>
      <c r="K2" s="2486"/>
      <c r="L2" s="2488"/>
    </row>
    <row r="3" spans="2:40">
      <c r="B3" s="2489"/>
      <c r="C3" s="2490"/>
      <c r="D3" s="2484"/>
      <c r="E3" s="2484"/>
      <c r="F3" s="2485"/>
      <c r="G3" s="2485"/>
      <c r="H3" s="2486"/>
      <c r="I3" s="2487"/>
      <c r="J3" s="2486"/>
      <c r="K3" s="2486"/>
      <c r="L3" s="2488"/>
    </row>
    <row r="4" spans="2:40" ht="16.5" thickBot="1">
      <c r="B4" s="2486"/>
      <c r="C4" s="2491"/>
      <c r="D4" s="2485"/>
      <c r="E4" s="2484"/>
      <c r="F4" s="2485"/>
      <c r="G4" s="2485"/>
      <c r="H4" s="2486"/>
      <c r="I4" s="2487"/>
      <c r="J4" s="2486"/>
      <c r="K4" s="2486"/>
      <c r="L4" s="2488"/>
      <c r="AC4" s="4025" t="s">
        <v>872</v>
      </c>
      <c r="AD4" s="4025"/>
      <c r="AE4" s="4025"/>
      <c r="AF4" s="4025"/>
      <c r="AG4" s="4025"/>
      <c r="AH4" s="4025"/>
      <c r="AI4" s="4025"/>
      <c r="AJ4" s="4025"/>
      <c r="AK4" s="4025"/>
      <c r="AL4" s="4025"/>
      <c r="AM4" s="4025"/>
    </row>
    <row r="5" spans="2:40">
      <c r="AC5" s="4026" t="s">
        <v>873</v>
      </c>
      <c r="AD5" s="4027"/>
      <c r="AE5" s="4027"/>
      <c r="AF5" s="4027"/>
      <c r="AG5" s="2495" t="s">
        <v>323</v>
      </c>
      <c r="AH5" s="2496" t="s">
        <v>874</v>
      </c>
      <c r="AI5" s="4028" t="s">
        <v>875</v>
      </c>
      <c r="AJ5" s="4029"/>
      <c r="AK5" s="4029"/>
      <c r="AL5" s="4029"/>
      <c r="AM5" s="4030"/>
    </row>
    <row r="6" spans="2:40" ht="15.75" thickBot="1">
      <c r="C6" s="2497"/>
      <c r="AC6" s="2498" t="s">
        <v>876</v>
      </c>
      <c r="AD6" s="2499" t="s">
        <v>877</v>
      </c>
      <c r="AE6" s="2499" t="s">
        <v>878</v>
      </c>
      <c r="AF6" s="2499" t="s">
        <v>879</v>
      </c>
      <c r="AG6" s="2500" t="s">
        <v>880</v>
      </c>
      <c r="AH6" s="2501"/>
      <c r="AI6" s="2502"/>
      <c r="AJ6" s="2503"/>
      <c r="AK6" s="2503"/>
      <c r="AL6" s="2503"/>
      <c r="AM6" s="2504"/>
    </row>
    <row r="7" spans="2:40" ht="26.25" thickBot="1">
      <c r="B7" s="2505" t="s">
        <v>881</v>
      </c>
      <c r="C7" s="2506" t="s">
        <v>882</v>
      </c>
      <c r="D7" s="2507" t="s">
        <v>678</v>
      </c>
      <c r="E7" s="2508" t="s">
        <v>883</v>
      </c>
      <c r="F7" s="2509" t="s">
        <v>680</v>
      </c>
      <c r="G7" s="2509" t="s">
        <v>681</v>
      </c>
      <c r="H7" s="2509" t="s">
        <v>884</v>
      </c>
      <c r="I7" s="2509" t="s">
        <v>885</v>
      </c>
      <c r="J7" s="2509" t="s">
        <v>886</v>
      </c>
      <c r="K7" s="2509" t="s">
        <v>887</v>
      </c>
      <c r="L7" s="2510" t="s">
        <v>888</v>
      </c>
      <c r="M7" s="2511" t="s">
        <v>889</v>
      </c>
      <c r="N7" s="2512" t="s">
        <v>890</v>
      </c>
      <c r="O7" s="2513" t="s">
        <v>891</v>
      </c>
      <c r="P7" s="2514" t="s">
        <v>892</v>
      </c>
      <c r="Q7" s="2514" t="s">
        <v>893</v>
      </c>
      <c r="R7" s="2514" t="s">
        <v>679</v>
      </c>
      <c r="S7" s="2514" t="s">
        <v>894</v>
      </c>
      <c r="T7" s="2515" t="s">
        <v>895</v>
      </c>
      <c r="U7" s="2515" t="s">
        <v>896</v>
      </c>
      <c r="V7" s="2515" t="s">
        <v>897</v>
      </c>
      <c r="W7" s="2515" t="s">
        <v>898</v>
      </c>
      <c r="X7" s="2516" t="s">
        <v>899</v>
      </c>
      <c r="Y7" s="2517" t="s">
        <v>900</v>
      </c>
      <c r="Z7" s="2517" t="s">
        <v>901</v>
      </c>
      <c r="AA7" s="2518" t="s">
        <v>902</v>
      </c>
      <c r="AC7" s="2519" t="s">
        <v>903</v>
      </c>
      <c r="AD7" s="2520" t="s">
        <v>904</v>
      </c>
      <c r="AE7" s="2521" t="s">
        <v>905</v>
      </c>
      <c r="AF7" s="2522" t="s">
        <v>906</v>
      </c>
      <c r="AG7" s="2521" t="s">
        <v>907</v>
      </c>
      <c r="AH7" s="2523" t="s">
        <v>908</v>
      </c>
      <c r="AI7" s="2524" t="s">
        <v>909</v>
      </c>
      <c r="AJ7" s="2525" t="s">
        <v>910</v>
      </c>
      <c r="AK7" s="2525" t="s">
        <v>911</v>
      </c>
      <c r="AL7" s="2525" t="s">
        <v>912</v>
      </c>
      <c r="AM7" s="2526" t="s">
        <v>913</v>
      </c>
    </row>
    <row r="8" spans="2:40">
      <c r="B8" s="2527" t="s">
        <v>291</v>
      </c>
      <c r="C8" s="2528" t="s">
        <v>291</v>
      </c>
      <c r="D8" s="2529">
        <v>76670568688</v>
      </c>
      <c r="E8" s="2530" t="s">
        <v>683</v>
      </c>
      <c r="F8" s="2531" t="s">
        <v>684</v>
      </c>
      <c r="G8" s="2531" t="s">
        <v>329</v>
      </c>
      <c r="H8" s="2532" t="s">
        <v>687</v>
      </c>
      <c r="I8" s="2533" t="s">
        <v>914</v>
      </c>
      <c r="J8" s="2532" t="s">
        <v>915</v>
      </c>
      <c r="K8" s="2534">
        <v>5</v>
      </c>
      <c r="L8" s="2535">
        <v>5</v>
      </c>
      <c r="M8" s="2536">
        <v>5</v>
      </c>
      <c r="N8" s="2537" t="s">
        <v>916</v>
      </c>
      <c r="O8" s="2538" t="s">
        <v>917</v>
      </c>
      <c r="P8" s="2539"/>
      <c r="Q8" s="2540" t="s">
        <v>918</v>
      </c>
      <c r="R8" s="2541" t="s">
        <v>683</v>
      </c>
      <c r="S8" s="2542" t="s">
        <v>919</v>
      </c>
      <c r="T8" s="2543" t="s">
        <v>920</v>
      </c>
      <c r="U8" s="2539"/>
      <c r="V8" s="2539" t="s">
        <v>918</v>
      </c>
      <c r="W8" s="2539" t="s">
        <v>683</v>
      </c>
      <c r="X8" s="2544">
        <v>2601</v>
      </c>
      <c r="Y8" s="2543" t="s">
        <v>921</v>
      </c>
      <c r="Z8" s="2539" t="s">
        <v>922</v>
      </c>
      <c r="AA8" s="2545" t="s">
        <v>923</v>
      </c>
      <c r="AC8" s="2546" t="s">
        <v>864</v>
      </c>
      <c r="AD8" s="2547" t="s">
        <v>924</v>
      </c>
      <c r="AE8" s="2547" t="s">
        <v>924</v>
      </c>
      <c r="AF8" s="2548" t="s">
        <v>864</v>
      </c>
      <c r="AG8" s="2549" t="s">
        <v>864</v>
      </c>
      <c r="AH8" s="2550"/>
      <c r="AI8" s="2551" t="s">
        <v>876</v>
      </c>
      <c r="AJ8" s="2552" t="s">
        <v>877</v>
      </c>
      <c r="AK8" s="2552" t="s">
        <v>878</v>
      </c>
      <c r="AL8" s="2553" t="s">
        <v>925</v>
      </c>
      <c r="AM8" s="2554"/>
      <c r="AN8" s="2555" t="s">
        <v>291</v>
      </c>
    </row>
    <row r="9" spans="2:40">
      <c r="B9" s="2527" t="s">
        <v>686</v>
      </c>
      <c r="C9" s="2528" t="s">
        <v>686</v>
      </c>
      <c r="D9" s="2529">
        <v>76670568688</v>
      </c>
      <c r="E9" s="2556" t="s">
        <v>683</v>
      </c>
      <c r="F9" s="2557" t="s">
        <v>684</v>
      </c>
      <c r="G9" s="2557" t="s">
        <v>329</v>
      </c>
      <c r="H9" s="2558" t="s">
        <v>687</v>
      </c>
      <c r="I9" s="2559" t="s">
        <v>914</v>
      </c>
      <c r="J9" s="2558" t="s">
        <v>915</v>
      </c>
      <c r="K9" s="2560">
        <v>5</v>
      </c>
      <c r="L9" s="2561">
        <v>5</v>
      </c>
      <c r="M9" s="2562">
        <v>5</v>
      </c>
      <c r="N9" s="2563" t="s">
        <v>926</v>
      </c>
      <c r="O9" s="2564" t="s">
        <v>917</v>
      </c>
      <c r="P9" s="2565"/>
      <c r="Q9" s="2566" t="s">
        <v>918</v>
      </c>
      <c r="R9" s="2567" t="s">
        <v>683</v>
      </c>
      <c r="S9" s="2568" t="s">
        <v>919</v>
      </c>
      <c r="T9" s="2569" t="s">
        <v>920</v>
      </c>
      <c r="U9" s="2565"/>
      <c r="V9" s="2565" t="s">
        <v>918</v>
      </c>
      <c r="W9" s="2565" t="s">
        <v>683</v>
      </c>
      <c r="X9" s="2570">
        <v>2601</v>
      </c>
      <c r="Y9" s="2569" t="s">
        <v>921</v>
      </c>
      <c r="Z9" s="2565" t="s">
        <v>922</v>
      </c>
      <c r="AA9" s="2571" t="s">
        <v>923</v>
      </c>
      <c r="AC9" s="2572"/>
      <c r="AD9" s="2573"/>
      <c r="AE9" s="2573"/>
      <c r="AF9" s="2573"/>
      <c r="AG9" s="2574"/>
      <c r="AH9" s="2575"/>
      <c r="AI9" s="2572" t="s">
        <v>876</v>
      </c>
      <c r="AJ9" s="2573" t="s">
        <v>877</v>
      </c>
      <c r="AK9" s="2573" t="s">
        <v>878</v>
      </c>
      <c r="AL9" s="2576" t="s">
        <v>925</v>
      </c>
      <c r="AM9" s="2574"/>
      <c r="AN9" s="2577" t="s">
        <v>686</v>
      </c>
    </row>
    <row r="10" spans="2:40">
      <c r="B10" s="2578" t="s">
        <v>927</v>
      </c>
      <c r="C10" s="2579" t="s">
        <v>927</v>
      </c>
      <c r="D10" s="2529">
        <v>76670568688</v>
      </c>
      <c r="E10" s="2556" t="s">
        <v>683</v>
      </c>
      <c r="F10" s="2557" t="s">
        <v>326</v>
      </c>
      <c r="G10" s="2557" t="s">
        <v>329</v>
      </c>
      <c r="H10" s="2558" t="s">
        <v>696</v>
      </c>
      <c r="I10" s="2559" t="s">
        <v>914</v>
      </c>
      <c r="J10" s="2558" t="s">
        <v>915</v>
      </c>
      <c r="K10" s="2560">
        <v>5</v>
      </c>
      <c r="L10" s="2561">
        <v>5</v>
      </c>
      <c r="M10" s="2562" t="s">
        <v>928</v>
      </c>
      <c r="N10" s="2563"/>
      <c r="O10" s="2564" t="s">
        <v>917</v>
      </c>
      <c r="P10" s="2565"/>
      <c r="Q10" s="2566" t="s">
        <v>918</v>
      </c>
      <c r="R10" s="2567" t="s">
        <v>683</v>
      </c>
      <c r="S10" s="2568" t="s">
        <v>919</v>
      </c>
      <c r="T10" s="2569" t="s">
        <v>920</v>
      </c>
      <c r="U10" s="2565"/>
      <c r="V10" s="2565" t="s">
        <v>918</v>
      </c>
      <c r="W10" s="2565" t="s">
        <v>683</v>
      </c>
      <c r="X10" s="2570">
        <v>2601</v>
      </c>
      <c r="Y10" s="2569" t="s">
        <v>929</v>
      </c>
      <c r="Z10" s="2565" t="s">
        <v>930</v>
      </c>
      <c r="AA10" s="2571" t="s">
        <v>931</v>
      </c>
      <c r="AC10" s="2572"/>
      <c r="AD10" s="2573"/>
      <c r="AE10" s="2573"/>
      <c r="AF10" s="2573"/>
      <c r="AG10" s="2574"/>
      <c r="AH10" s="2575"/>
      <c r="AI10" s="2572"/>
      <c r="AJ10" s="2573"/>
      <c r="AK10" s="2573"/>
      <c r="AL10" s="2576"/>
      <c r="AM10" s="2574"/>
      <c r="AN10" s="2580" t="s">
        <v>927</v>
      </c>
    </row>
    <row r="11" spans="2:40">
      <c r="B11" s="2581" t="s">
        <v>932</v>
      </c>
      <c r="C11" s="2582" t="s">
        <v>932</v>
      </c>
      <c r="D11" s="2583">
        <v>78551685</v>
      </c>
      <c r="E11" s="2556" t="s">
        <v>688</v>
      </c>
      <c r="F11" s="2557" t="s">
        <v>326</v>
      </c>
      <c r="G11" s="2557" t="s">
        <v>329</v>
      </c>
      <c r="H11" s="2558" t="s">
        <v>687</v>
      </c>
      <c r="I11" s="2559" t="s">
        <v>914</v>
      </c>
      <c r="J11" s="2558" t="s">
        <v>915</v>
      </c>
      <c r="K11" s="2560">
        <v>5</v>
      </c>
      <c r="L11" s="2561">
        <v>5</v>
      </c>
      <c r="M11" s="2562">
        <v>5</v>
      </c>
      <c r="N11" s="2563" t="s">
        <v>926</v>
      </c>
      <c r="O11" s="2569"/>
      <c r="P11" s="2565"/>
      <c r="Q11" s="2565"/>
      <c r="R11" s="2584" t="s">
        <v>688</v>
      </c>
      <c r="S11" s="2568"/>
      <c r="T11" s="2569"/>
      <c r="U11" s="2565"/>
      <c r="V11" s="2565"/>
      <c r="W11" s="2565"/>
      <c r="X11" s="2568"/>
      <c r="Y11" s="2569"/>
      <c r="Z11" s="2565"/>
      <c r="AA11" s="2571"/>
      <c r="AC11" s="2572"/>
      <c r="AD11" s="2573"/>
      <c r="AE11" s="2573"/>
      <c r="AF11" s="2573"/>
      <c r="AG11" s="2574"/>
      <c r="AH11" s="2575"/>
      <c r="AI11" s="2572" t="s">
        <v>876</v>
      </c>
      <c r="AJ11" s="2573" t="s">
        <v>877</v>
      </c>
      <c r="AK11" s="2573" t="s">
        <v>878</v>
      </c>
      <c r="AL11" s="2576" t="s">
        <v>925</v>
      </c>
      <c r="AM11" s="2574"/>
      <c r="AN11" s="2585" t="s">
        <v>932</v>
      </c>
    </row>
    <row r="12" spans="2:40">
      <c r="B12" s="2581" t="s">
        <v>933</v>
      </c>
      <c r="C12" s="2582" t="s">
        <v>934</v>
      </c>
      <c r="D12" s="2583">
        <v>19078551685</v>
      </c>
      <c r="E12" s="2556" t="s">
        <v>691</v>
      </c>
      <c r="F12" s="2557" t="s">
        <v>326</v>
      </c>
      <c r="G12" s="2557" t="s">
        <v>329</v>
      </c>
      <c r="H12" s="2586" t="s">
        <v>696</v>
      </c>
      <c r="I12" s="2587" t="s">
        <v>772</v>
      </c>
      <c r="J12" s="2557" t="s">
        <v>935</v>
      </c>
      <c r="K12" s="2560">
        <v>5</v>
      </c>
      <c r="L12" s="2561">
        <v>5</v>
      </c>
      <c r="M12" s="2562" t="s">
        <v>928</v>
      </c>
      <c r="N12" s="2588"/>
      <c r="O12" s="2569" t="s">
        <v>936</v>
      </c>
      <c r="P12" s="2565" t="s">
        <v>937</v>
      </c>
      <c r="Q12" s="2565" t="s">
        <v>938</v>
      </c>
      <c r="R12" s="2565" t="s">
        <v>688</v>
      </c>
      <c r="S12" s="2568" t="s">
        <v>939</v>
      </c>
      <c r="T12" s="2569"/>
      <c r="U12" s="2565"/>
      <c r="V12" s="2565"/>
      <c r="W12" s="2565"/>
      <c r="X12" s="2570"/>
      <c r="Y12" s="2572"/>
      <c r="Z12" s="2573" t="s">
        <v>940</v>
      </c>
      <c r="AA12" s="2574"/>
      <c r="AC12" s="2589"/>
      <c r="AD12" s="2590"/>
      <c r="AE12" s="2590"/>
      <c r="AF12" s="2590"/>
      <c r="AG12" s="2591"/>
      <c r="AH12" s="2592"/>
      <c r="AI12" s="2572"/>
      <c r="AJ12" s="2573"/>
      <c r="AK12" s="2573"/>
      <c r="AL12" s="2576"/>
      <c r="AM12" s="2574"/>
      <c r="AN12" s="2585" t="s">
        <v>933</v>
      </c>
    </row>
    <row r="13" spans="2:40">
      <c r="B13" s="2581" t="s">
        <v>941</v>
      </c>
      <c r="C13" s="2582" t="s">
        <v>942</v>
      </c>
      <c r="D13" s="2583">
        <v>39009737393</v>
      </c>
      <c r="E13" s="2556" t="s">
        <v>943</v>
      </c>
      <c r="F13" s="2557" t="s">
        <v>326</v>
      </c>
      <c r="G13" s="2557" t="s">
        <v>692</v>
      </c>
      <c r="H13" s="2558" t="s">
        <v>696</v>
      </c>
      <c r="I13" s="2559" t="s">
        <v>914</v>
      </c>
      <c r="J13" s="2558" t="s">
        <v>915</v>
      </c>
      <c r="K13" s="2560">
        <v>5</v>
      </c>
      <c r="L13" s="2561">
        <v>5</v>
      </c>
      <c r="M13" s="2562" t="s">
        <v>928</v>
      </c>
      <c r="N13" s="2563" t="s">
        <v>944</v>
      </c>
      <c r="O13" s="2569" t="s">
        <v>945</v>
      </c>
      <c r="P13" s="2565" t="s">
        <v>946</v>
      </c>
      <c r="Q13" s="2565" t="s">
        <v>947</v>
      </c>
      <c r="R13" s="2584" t="s">
        <v>689</v>
      </c>
      <c r="S13" s="2568" t="s">
        <v>948</v>
      </c>
      <c r="T13" s="2569" t="s">
        <v>945</v>
      </c>
      <c r="U13" s="2565" t="s">
        <v>946</v>
      </c>
      <c r="V13" s="2565" t="s">
        <v>947</v>
      </c>
      <c r="W13" s="2584" t="s">
        <v>689</v>
      </c>
      <c r="X13" s="2568" t="s">
        <v>948</v>
      </c>
      <c r="Y13" s="2569" t="s">
        <v>949</v>
      </c>
      <c r="Z13" s="2565" t="s">
        <v>950</v>
      </c>
      <c r="AA13" s="2571" t="s">
        <v>951</v>
      </c>
      <c r="AC13" s="2572"/>
      <c r="AD13" s="2573"/>
      <c r="AE13" s="2573"/>
      <c r="AF13" s="2573"/>
      <c r="AG13" s="2574"/>
      <c r="AH13" s="2575"/>
      <c r="AI13" s="2572"/>
      <c r="AJ13" s="2573"/>
      <c r="AK13" s="2573"/>
      <c r="AL13" s="2576"/>
      <c r="AM13" s="2574"/>
      <c r="AN13" s="2585" t="s">
        <v>941</v>
      </c>
    </row>
    <row r="14" spans="2:40">
      <c r="B14" s="2581" t="s">
        <v>952</v>
      </c>
      <c r="C14" s="2582" t="s">
        <v>953</v>
      </c>
      <c r="D14" s="2583">
        <v>79096457868</v>
      </c>
      <c r="E14" s="2556" t="s">
        <v>691</v>
      </c>
      <c r="F14" s="2557" t="s">
        <v>326</v>
      </c>
      <c r="G14" s="2557" t="s">
        <v>692</v>
      </c>
      <c r="H14" s="2586" t="s">
        <v>696</v>
      </c>
      <c r="I14" s="2559" t="s">
        <v>772</v>
      </c>
      <c r="J14" s="2558" t="s">
        <v>935</v>
      </c>
      <c r="K14" s="2560">
        <v>5</v>
      </c>
      <c r="L14" s="2593">
        <v>5</v>
      </c>
      <c r="M14" s="2562" t="s">
        <v>928</v>
      </c>
      <c r="N14" s="2563"/>
      <c r="O14" s="2569" t="s">
        <v>945</v>
      </c>
      <c r="P14" s="2565" t="s">
        <v>946</v>
      </c>
      <c r="Q14" s="2565" t="s">
        <v>947</v>
      </c>
      <c r="R14" s="2584" t="s">
        <v>689</v>
      </c>
      <c r="S14" s="2568" t="s">
        <v>948</v>
      </c>
      <c r="T14" s="2569" t="s">
        <v>954</v>
      </c>
      <c r="U14" s="2565"/>
      <c r="V14" s="2565" t="s">
        <v>955</v>
      </c>
      <c r="W14" s="2584" t="s">
        <v>689</v>
      </c>
      <c r="X14" s="2568" t="s">
        <v>956</v>
      </c>
      <c r="Y14" s="2569"/>
      <c r="Z14" s="2565" t="s">
        <v>957</v>
      </c>
      <c r="AA14" s="2571"/>
      <c r="AC14" s="2572"/>
      <c r="AD14" s="2573"/>
      <c r="AE14" s="2573"/>
      <c r="AF14" s="2573"/>
      <c r="AG14" s="2574"/>
      <c r="AH14" s="2575"/>
      <c r="AI14" s="2572"/>
      <c r="AJ14" s="2573"/>
      <c r="AK14" s="2573"/>
      <c r="AL14" s="2576"/>
      <c r="AM14" s="2574"/>
      <c r="AN14" s="2585" t="s">
        <v>952</v>
      </c>
    </row>
    <row r="15" spans="2:40">
      <c r="B15" s="2594" t="s">
        <v>309</v>
      </c>
      <c r="C15" s="2582" t="s">
        <v>309</v>
      </c>
      <c r="D15" s="2583">
        <v>67505337385</v>
      </c>
      <c r="E15" s="2556" t="s">
        <v>689</v>
      </c>
      <c r="F15" s="2557" t="s">
        <v>684</v>
      </c>
      <c r="G15" s="2557" t="s">
        <v>329</v>
      </c>
      <c r="H15" s="2558" t="s">
        <v>687</v>
      </c>
      <c r="I15" s="2559" t="s">
        <v>914</v>
      </c>
      <c r="J15" s="2558" t="s">
        <v>915</v>
      </c>
      <c r="K15" s="2560">
        <v>5</v>
      </c>
      <c r="L15" s="2561">
        <v>5</v>
      </c>
      <c r="M15" s="2562">
        <v>5</v>
      </c>
      <c r="N15" s="2588" t="s">
        <v>916</v>
      </c>
      <c r="O15" s="2569" t="s">
        <v>958</v>
      </c>
      <c r="P15" s="2565"/>
      <c r="Q15" s="2565" t="s">
        <v>947</v>
      </c>
      <c r="R15" s="2584" t="s">
        <v>689</v>
      </c>
      <c r="S15" s="2568">
        <v>2000</v>
      </c>
      <c r="T15" s="2569"/>
      <c r="U15" s="2565"/>
      <c r="V15" s="2565"/>
      <c r="W15" s="2565"/>
      <c r="X15" s="2568"/>
      <c r="Y15" s="2569" t="s">
        <v>959</v>
      </c>
      <c r="Z15" s="2565" t="s">
        <v>960</v>
      </c>
      <c r="AA15" s="2571" t="s">
        <v>961</v>
      </c>
      <c r="AC15" s="2595" t="s">
        <v>924</v>
      </c>
      <c r="AD15" s="2590" t="s">
        <v>924</v>
      </c>
      <c r="AE15" s="2590" t="s">
        <v>924</v>
      </c>
      <c r="AF15" s="2590" t="s">
        <v>924</v>
      </c>
      <c r="AG15" s="2591" t="s">
        <v>864</v>
      </c>
      <c r="AH15" s="2596"/>
      <c r="AI15" s="2572" t="s">
        <v>876</v>
      </c>
      <c r="AJ15" s="2573" t="s">
        <v>877</v>
      </c>
      <c r="AK15" s="2573" t="s">
        <v>878</v>
      </c>
      <c r="AL15" s="2576" t="s">
        <v>925</v>
      </c>
      <c r="AM15" s="2574"/>
      <c r="AN15" s="2597" t="s">
        <v>309</v>
      </c>
    </row>
    <row r="16" spans="2:40">
      <c r="B16" s="2594" t="s">
        <v>690</v>
      </c>
      <c r="C16" s="2582" t="s">
        <v>690</v>
      </c>
      <c r="D16" s="2529">
        <v>67505337385</v>
      </c>
      <c r="E16" s="2556" t="s">
        <v>689</v>
      </c>
      <c r="F16" s="2557" t="s">
        <v>684</v>
      </c>
      <c r="G16" s="2557" t="s">
        <v>329</v>
      </c>
      <c r="H16" s="2558" t="s">
        <v>687</v>
      </c>
      <c r="I16" s="2559" t="s">
        <v>914</v>
      </c>
      <c r="J16" s="2558" t="s">
        <v>915</v>
      </c>
      <c r="K16" s="2560">
        <v>5</v>
      </c>
      <c r="L16" s="2561">
        <v>5</v>
      </c>
      <c r="M16" s="2562">
        <v>5</v>
      </c>
      <c r="N16" s="2563" t="s">
        <v>926</v>
      </c>
      <c r="O16" s="2569"/>
      <c r="P16" s="2565"/>
      <c r="Q16" s="2565"/>
      <c r="R16" s="2584" t="s">
        <v>689</v>
      </c>
      <c r="S16" s="2568"/>
      <c r="T16" s="2569"/>
      <c r="U16" s="2565"/>
      <c r="V16" s="2565"/>
      <c r="W16" s="2565"/>
      <c r="X16" s="2568"/>
      <c r="Y16" s="2569"/>
      <c r="Z16" s="2565"/>
      <c r="AA16" s="2571"/>
      <c r="AC16" s="2572"/>
      <c r="AD16" s="2573"/>
      <c r="AE16" s="2573"/>
      <c r="AF16" s="2573"/>
      <c r="AG16" s="2574"/>
      <c r="AH16" s="2575"/>
      <c r="AI16" s="2572" t="s">
        <v>876</v>
      </c>
      <c r="AJ16" s="2573" t="s">
        <v>877</v>
      </c>
      <c r="AK16" s="2573" t="s">
        <v>878</v>
      </c>
      <c r="AL16" s="2576" t="s">
        <v>925</v>
      </c>
      <c r="AM16" s="2574"/>
      <c r="AN16" s="2597" t="s">
        <v>690</v>
      </c>
    </row>
    <row r="17" spans="2:40" ht="15" customHeight="1">
      <c r="B17" s="2594" t="s">
        <v>310</v>
      </c>
      <c r="C17" s="2582" t="s">
        <v>962</v>
      </c>
      <c r="D17" s="2583">
        <v>91064651118</v>
      </c>
      <c r="E17" s="2556" t="s">
        <v>691</v>
      </c>
      <c r="F17" s="2557" t="s">
        <v>684</v>
      </c>
      <c r="G17" s="2557" t="s">
        <v>329</v>
      </c>
      <c r="H17" s="2558" t="s">
        <v>687</v>
      </c>
      <c r="I17" s="2559" t="s">
        <v>772</v>
      </c>
      <c r="J17" s="2558" t="s">
        <v>935</v>
      </c>
      <c r="K17" s="2560">
        <v>5</v>
      </c>
      <c r="L17" s="2561">
        <v>5</v>
      </c>
      <c r="M17" s="2562">
        <v>2</v>
      </c>
      <c r="N17" s="2588" t="s">
        <v>963</v>
      </c>
      <c r="O17" s="2569" t="s">
        <v>964</v>
      </c>
      <c r="P17" s="2565" t="s">
        <v>965</v>
      </c>
      <c r="Q17" s="2565" t="s">
        <v>966</v>
      </c>
      <c r="R17" s="2565" t="s">
        <v>691</v>
      </c>
      <c r="S17" s="2568" t="s">
        <v>967</v>
      </c>
      <c r="T17" s="2598" t="s">
        <v>968</v>
      </c>
      <c r="U17" s="2565"/>
      <c r="V17" s="2565" t="s">
        <v>969</v>
      </c>
      <c r="W17" s="2565" t="s">
        <v>970</v>
      </c>
      <c r="X17" s="2568">
        <v>8001</v>
      </c>
      <c r="Y17" s="2569" t="s">
        <v>971</v>
      </c>
      <c r="Z17" s="2599" t="s">
        <v>972</v>
      </c>
      <c r="AA17" s="2600" t="s">
        <v>973</v>
      </c>
      <c r="AC17" s="2589"/>
      <c r="AD17" s="2590" t="s">
        <v>924</v>
      </c>
      <c r="AE17" s="2590" t="s">
        <v>924</v>
      </c>
      <c r="AF17" s="2590" t="s">
        <v>924</v>
      </c>
      <c r="AG17" s="2591" t="s">
        <v>864</v>
      </c>
      <c r="AH17" s="2596"/>
      <c r="AI17" s="2572" t="s">
        <v>876</v>
      </c>
      <c r="AJ17" s="2573" t="s">
        <v>877</v>
      </c>
      <c r="AK17" s="2573" t="s">
        <v>878</v>
      </c>
      <c r="AL17" s="2576" t="s">
        <v>925</v>
      </c>
      <c r="AM17" s="2574"/>
      <c r="AN17" s="2597" t="s">
        <v>310</v>
      </c>
    </row>
    <row r="18" spans="2:40" ht="15" customHeight="1">
      <c r="B18" s="2581" t="s">
        <v>974</v>
      </c>
      <c r="C18" s="2582" t="s">
        <v>975</v>
      </c>
      <c r="D18" s="2583"/>
      <c r="E18" s="2556" t="s">
        <v>691</v>
      </c>
      <c r="F18" s="2557" t="s">
        <v>326</v>
      </c>
      <c r="G18" s="2557" t="s">
        <v>329</v>
      </c>
      <c r="H18" s="2586" t="s">
        <v>696</v>
      </c>
      <c r="I18" s="2559" t="s">
        <v>772</v>
      </c>
      <c r="J18" s="2558" t="s">
        <v>935</v>
      </c>
      <c r="K18" s="2560">
        <v>5</v>
      </c>
      <c r="L18" s="2561">
        <v>5</v>
      </c>
      <c r="M18" s="2562" t="s">
        <v>976</v>
      </c>
      <c r="N18" s="2588"/>
      <c r="O18" s="2569"/>
      <c r="P18" s="2565"/>
      <c r="Q18" s="2565"/>
      <c r="R18" s="2565"/>
      <c r="S18" s="2568"/>
      <c r="T18" s="2598"/>
      <c r="U18" s="2565"/>
      <c r="V18" s="2565"/>
      <c r="W18" s="2565"/>
      <c r="X18" s="2568"/>
      <c r="Y18" s="2569"/>
      <c r="Z18" s="2599"/>
      <c r="AA18" s="2600"/>
      <c r="AC18" s="2589"/>
      <c r="AD18" s="2590"/>
      <c r="AE18" s="2590"/>
      <c r="AF18" s="2590"/>
      <c r="AG18" s="2591"/>
      <c r="AH18" s="2575"/>
      <c r="AI18" s="2572"/>
      <c r="AJ18" s="2573"/>
      <c r="AK18" s="2573"/>
      <c r="AL18" s="2576"/>
      <c r="AM18" s="2574"/>
      <c r="AN18" s="2585" t="s">
        <v>974</v>
      </c>
    </row>
    <row r="19" spans="2:40">
      <c r="B19" s="2594" t="s">
        <v>311</v>
      </c>
      <c r="C19" s="2582" t="s">
        <v>311</v>
      </c>
      <c r="D19" s="2601">
        <v>78079798173</v>
      </c>
      <c r="E19" s="2556" t="s">
        <v>691</v>
      </c>
      <c r="F19" s="2557" t="s">
        <v>684</v>
      </c>
      <c r="G19" s="2557" t="s">
        <v>692</v>
      </c>
      <c r="H19" s="2558" t="s">
        <v>687</v>
      </c>
      <c r="I19" s="2559" t="s">
        <v>914</v>
      </c>
      <c r="J19" s="2558" t="s">
        <v>977</v>
      </c>
      <c r="K19" s="2560">
        <v>5</v>
      </c>
      <c r="L19" s="2602">
        <v>5</v>
      </c>
      <c r="M19" s="2562">
        <v>2</v>
      </c>
      <c r="N19" s="2563" t="s">
        <v>978</v>
      </c>
      <c r="O19" s="2569" t="s">
        <v>964</v>
      </c>
      <c r="P19" s="2565" t="s">
        <v>965</v>
      </c>
      <c r="Q19" s="2565" t="s">
        <v>966</v>
      </c>
      <c r="R19" s="2565" t="s">
        <v>691</v>
      </c>
      <c r="S19" s="2568" t="s">
        <v>967</v>
      </c>
      <c r="T19" s="2569" t="s">
        <v>968</v>
      </c>
      <c r="U19" s="2565"/>
      <c r="V19" s="2565" t="s">
        <v>969</v>
      </c>
      <c r="W19" s="2565" t="s">
        <v>691</v>
      </c>
      <c r="X19" s="2568" t="s">
        <v>979</v>
      </c>
      <c r="Y19" s="2569" t="s">
        <v>980</v>
      </c>
      <c r="Z19" s="2599" t="s">
        <v>981</v>
      </c>
      <c r="AA19" s="2600" t="s">
        <v>982</v>
      </c>
      <c r="AC19" s="2572"/>
      <c r="AD19" s="2573"/>
      <c r="AE19" s="2573"/>
      <c r="AF19" s="2573"/>
      <c r="AG19" s="2574"/>
      <c r="AH19" s="2575"/>
      <c r="AI19" s="2572" t="s">
        <v>876</v>
      </c>
      <c r="AJ19" s="2573" t="s">
        <v>877</v>
      </c>
      <c r="AK19" s="2573" t="s">
        <v>878</v>
      </c>
      <c r="AL19" s="2576" t="s">
        <v>925</v>
      </c>
      <c r="AM19" s="2574"/>
      <c r="AN19" s="2597" t="s">
        <v>311</v>
      </c>
    </row>
    <row r="20" spans="2:40">
      <c r="B20" s="2603" t="s">
        <v>693</v>
      </c>
      <c r="C20" s="2604" t="s">
        <v>693</v>
      </c>
      <c r="D20" s="2605">
        <v>11222333444</v>
      </c>
      <c r="E20" s="2606" t="s">
        <v>983</v>
      </c>
      <c r="F20" s="2607" t="s">
        <v>684</v>
      </c>
      <c r="G20" s="2607" t="s">
        <v>329</v>
      </c>
      <c r="H20" s="2607" t="s">
        <v>687</v>
      </c>
      <c r="I20" s="2608" t="s">
        <v>914</v>
      </c>
      <c r="J20" s="2607" t="s">
        <v>915</v>
      </c>
      <c r="K20" s="2609">
        <v>5</v>
      </c>
      <c r="L20" s="2610">
        <v>5</v>
      </c>
      <c r="M20" s="2611">
        <v>2</v>
      </c>
      <c r="N20" s="2612" t="s">
        <v>926</v>
      </c>
      <c r="O20" s="2613" t="s">
        <v>984</v>
      </c>
      <c r="P20" s="2614"/>
      <c r="Q20" s="2614" t="s">
        <v>947</v>
      </c>
      <c r="R20" s="2615" t="s">
        <v>689</v>
      </c>
      <c r="S20" s="2616" t="s">
        <v>948</v>
      </c>
      <c r="T20" s="2613" t="s">
        <v>985</v>
      </c>
      <c r="U20" s="2614"/>
      <c r="V20" s="2614" t="s">
        <v>947</v>
      </c>
      <c r="W20" s="2614" t="s">
        <v>689</v>
      </c>
      <c r="X20" s="2616">
        <v>2000</v>
      </c>
      <c r="Y20" s="2613" t="s">
        <v>986</v>
      </c>
      <c r="Z20" s="2614" t="s">
        <v>987</v>
      </c>
      <c r="AA20" s="2617" t="s">
        <v>988</v>
      </c>
      <c r="AC20" s="2572"/>
      <c r="AD20" s="2573"/>
      <c r="AE20" s="2573"/>
      <c r="AF20" s="2573"/>
      <c r="AG20" s="2574"/>
      <c r="AH20" s="2575"/>
      <c r="AI20" s="2572" t="s">
        <v>876</v>
      </c>
      <c r="AJ20" s="2573" t="s">
        <v>877</v>
      </c>
      <c r="AK20" s="2573" t="s">
        <v>878</v>
      </c>
      <c r="AL20" s="2576" t="s">
        <v>925</v>
      </c>
      <c r="AM20" s="2574"/>
      <c r="AN20" s="2618" t="s">
        <v>693</v>
      </c>
    </row>
    <row r="21" spans="2:40">
      <c r="B21" s="2603" t="s">
        <v>694</v>
      </c>
      <c r="C21" s="2604" t="s">
        <v>694</v>
      </c>
      <c r="D21" s="2605">
        <v>11222333444</v>
      </c>
      <c r="E21" s="2606" t="s">
        <v>983</v>
      </c>
      <c r="F21" s="2607" t="s">
        <v>684</v>
      </c>
      <c r="G21" s="2607" t="s">
        <v>692</v>
      </c>
      <c r="H21" s="2619" t="s">
        <v>687</v>
      </c>
      <c r="I21" s="2620" t="s">
        <v>914</v>
      </c>
      <c r="J21" s="2619" t="s">
        <v>915</v>
      </c>
      <c r="K21" s="2621">
        <v>5</v>
      </c>
      <c r="L21" s="2622">
        <v>5</v>
      </c>
      <c r="M21" s="2611">
        <v>5</v>
      </c>
      <c r="N21" s="2612" t="s">
        <v>978</v>
      </c>
      <c r="O21" s="2613" t="s">
        <v>984</v>
      </c>
      <c r="P21" s="2614"/>
      <c r="Q21" s="2614" t="s">
        <v>947</v>
      </c>
      <c r="R21" s="2615" t="s">
        <v>689</v>
      </c>
      <c r="S21" s="2616" t="s">
        <v>948</v>
      </c>
      <c r="T21" s="2613" t="s">
        <v>985</v>
      </c>
      <c r="U21" s="2614"/>
      <c r="V21" s="2614" t="s">
        <v>947</v>
      </c>
      <c r="W21" s="2614" t="s">
        <v>689</v>
      </c>
      <c r="X21" s="2616">
        <v>2000</v>
      </c>
      <c r="Y21" s="2613" t="s">
        <v>986</v>
      </c>
      <c r="Z21" s="2614" t="s">
        <v>987</v>
      </c>
      <c r="AA21" s="2617" t="s">
        <v>988</v>
      </c>
      <c r="AC21" s="2572"/>
      <c r="AD21" s="2573"/>
      <c r="AE21" s="2573"/>
      <c r="AF21" s="2573"/>
      <c r="AG21" s="2574"/>
      <c r="AH21" s="2575"/>
      <c r="AI21" s="2572" t="s">
        <v>876</v>
      </c>
      <c r="AJ21" s="2573" t="s">
        <v>877</v>
      </c>
      <c r="AK21" s="2573" t="s">
        <v>878</v>
      </c>
      <c r="AL21" s="2576" t="s">
        <v>925</v>
      </c>
      <c r="AM21" s="2574"/>
      <c r="AN21" s="2618" t="s">
        <v>694</v>
      </c>
    </row>
    <row r="22" spans="2:40">
      <c r="B22" s="2594" t="s">
        <v>695</v>
      </c>
      <c r="C22" s="2582" t="s">
        <v>695</v>
      </c>
      <c r="D22" s="2583">
        <v>76064651056</v>
      </c>
      <c r="E22" s="2556" t="s">
        <v>691</v>
      </c>
      <c r="F22" s="2557" t="s">
        <v>684</v>
      </c>
      <c r="G22" s="2557" t="s">
        <v>329</v>
      </c>
      <c r="H22" s="2558" t="s">
        <v>687</v>
      </c>
      <c r="I22" s="2559" t="s">
        <v>772</v>
      </c>
      <c r="J22" s="2558" t="s">
        <v>935</v>
      </c>
      <c r="K22" s="2560">
        <v>5</v>
      </c>
      <c r="L22" s="2561">
        <v>5</v>
      </c>
      <c r="M22" s="2562">
        <v>2</v>
      </c>
      <c r="N22" s="2588" t="s">
        <v>963</v>
      </c>
      <c r="O22" s="2569" t="s">
        <v>989</v>
      </c>
      <c r="P22" s="2565"/>
      <c r="Q22" s="2565" t="s">
        <v>990</v>
      </c>
      <c r="R22" s="2565" t="s">
        <v>691</v>
      </c>
      <c r="S22" s="2568" t="s">
        <v>991</v>
      </c>
      <c r="T22" s="2569" t="s">
        <v>992</v>
      </c>
      <c r="U22" s="2565"/>
      <c r="V22" s="2565" t="s">
        <v>990</v>
      </c>
      <c r="W22" s="2565" t="s">
        <v>970</v>
      </c>
      <c r="X22" s="2570">
        <v>8001</v>
      </c>
      <c r="Y22" s="2569" t="s">
        <v>971</v>
      </c>
      <c r="Z22" s="2565" t="s">
        <v>972</v>
      </c>
      <c r="AA22" s="2571" t="s">
        <v>973</v>
      </c>
      <c r="AC22" s="2595" t="s">
        <v>924</v>
      </c>
      <c r="AD22" s="2590" t="s">
        <v>924</v>
      </c>
      <c r="AE22" s="2623" t="s">
        <v>864</v>
      </c>
      <c r="AF22" s="2623" t="s">
        <v>864</v>
      </c>
      <c r="AG22" s="2591" t="s">
        <v>864</v>
      </c>
      <c r="AH22" s="2592"/>
      <c r="AI22" s="2572" t="s">
        <v>876</v>
      </c>
      <c r="AJ22" s="2573" t="s">
        <v>877</v>
      </c>
      <c r="AK22" s="2573" t="s">
        <v>878</v>
      </c>
      <c r="AL22" s="2576" t="s">
        <v>925</v>
      </c>
      <c r="AM22" s="2574"/>
      <c r="AN22" s="2597" t="s">
        <v>695</v>
      </c>
    </row>
    <row r="23" spans="2:40">
      <c r="B23" s="2594" t="s">
        <v>697</v>
      </c>
      <c r="C23" s="2582" t="s">
        <v>697</v>
      </c>
      <c r="D23" s="2583">
        <v>16779340889</v>
      </c>
      <c r="E23" s="2556" t="s">
        <v>698</v>
      </c>
      <c r="F23" s="2557" t="s">
        <v>684</v>
      </c>
      <c r="G23" s="2557" t="s">
        <v>692</v>
      </c>
      <c r="H23" s="2558" t="s">
        <v>687</v>
      </c>
      <c r="I23" s="2559" t="s">
        <v>914</v>
      </c>
      <c r="J23" s="2558" t="s">
        <v>915</v>
      </c>
      <c r="K23" s="2560">
        <v>9</v>
      </c>
      <c r="L23" s="2602">
        <v>5</v>
      </c>
      <c r="M23" s="2562">
        <v>5</v>
      </c>
      <c r="N23" s="2563" t="s">
        <v>978</v>
      </c>
      <c r="O23" s="2569"/>
      <c r="P23" s="2565"/>
      <c r="Q23" s="2565"/>
      <c r="R23" s="2624" t="s">
        <v>689</v>
      </c>
      <c r="S23" s="2568"/>
      <c r="T23" s="2569"/>
      <c r="U23" s="2565"/>
      <c r="V23" s="2565"/>
      <c r="W23" s="2565"/>
      <c r="X23" s="2568"/>
      <c r="Y23" s="2569"/>
      <c r="Z23" s="2565"/>
      <c r="AA23" s="2571"/>
      <c r="AC23" s="2572"/>
      <c r="AD23" s="2573"/>
      <c r="AE23" s="2573"/>
      <c r="AF23" s="2573"/>
      <c r="AG23" s="2574"/>
      <c r="AH23" s="2575"/>
      <c r="AI23" s="2572" t="s">
        <v>876</v>
      </c>
      <c r="AJ23" s="2573" t="s">
        <v>877</v>
      </c>
      <c r="AK23" s="2573" t="s">
        <v>878</v>
      </c>
      <c r="AL23" s="2576" t="s">
        <v>925</v>
      </c>
      <c r="AM23" s="2574"/>
      <c r="AN23" s="2597" t="s">
        <v>697</v>
      </c>
    </row>
    <row r="24" spans="2:40">
      <c r="B24" s="2594" t="s">
        <v>699</v>
      </c>
      <c r="C24" s="2582" t="s">
        <v>699</v>
      </c>
      <c r="D24" s="2583">
        <v>41094482416</v>
      </c>
      <c r="E24" s="2556" t="s">
        <v>688</v>
      </c>
      <c r="F24" s="2557" t="s">
        <v>684</v>
      </c>
      <c r="G24" s="2557" t="s">
        <v>692</v>
      </c>
      <c r="H24" s="2558" t="s">
        <v>687</v>
      </c>
      <c r="I24" s="2559" t="s">
        <v>914</v>
      </c>
      <c r="J24" s="2558" t="s">
        <v>915</v>
      </c>
      <c r="K24" s="2560">
        <v>5</v>
      </c>
      <c r="L24" s="2602">
        <v>5</v>
      </c>
      <c r="M24" s="2562">
        <v>5</v>
      </c>
      <c r="N24" s="2563" t="s">
        <v>978</v>
      </c>
      <c r="O24" s="2569" t="s">
        <v>993</v>
      </c>
      <c r="P24" s="2565" t="s">
        <v>994</v>
      </c>
      <c r="Q24" s="2565" t="s">
        <v>938</v>
      </c>
      <c r="R24" s="2584" t="s">
        <v>688</v>
      </c>
      <c r="S24" s="2568" t="s">
        <v>939</v>
      </c>
      <c r="T24" s="2569" t="s">
        <v>995</v>
      </c>
      <c r="U24" s="2565" t="s">
        <v>996</v>
      </c>
      <c r="V24" s="2565" t="s">
        <v>938</v>
      </c>
      <c r="W24" s="2565" t="s">
        <v>688</v>
      </c>
      <c r="X24" s="2570">
        <v>5000</v>
      </c>
      <c r="Y24" s="2569" t="s">
        <v>997</v>
      </c>
      <c r="Z24" s="2565" t="s">
        <v>998</v>
      </c>
      <c r="AA24" s="2571" t="s">
        <v>999</v>
      </c>
      <c r="AC24" s="2572"/>
      <c r="AD24" s="2573"/>
      <c r="AE24" s="2573"/>
      <c r="AF24" s="2573"/>
      <c r="AG24" s="2574"/>
      <c r="AH24" s="2575"/>
      <c r="AI24" s="2572" t="s">
        <v>876</v>
      </c>
      <c r="AJ24" s="2573" t="s">
        <v>877</v>
      </c>
      <c r="AK24" s="2573" t="s">
        <v>878</v>
      </c>
      <c r="AL24" s="2576" t="s">
        <v>925</v>
      </c>
      <c r="AM24" s="2574"/>
      <c r="AN24" s="2597" t="s">
        <v>699</v>
      </c>
    </row>
    <row r="25" spans="2:40">
      <c r="B25" s="2594" t="s">
        <v>312</v>
      </c>
      <c r="C25" s="2582" t="s">
        <v>312</v>
      </c>
      <c r="D25" s="2583">
        <v>59253130878</v>
      </c>
      <c r="E25" s="2556" t="s">
        <v>689</v>
      </c>
      <c r="F25" s="2557" t="s">
        <v>684</v>
      </c>
      <c r="G25" s="2557" t="s">
        <v>329</v>
      </c>
      <c r="H25" s="2558" t="s">
        <v>687</v>
      </c>
      <c r="I25" s="2559" t="s">
        <v>914</v>
      </c>
      <c r="J25" s="2558" t="s">
        <v>915</v>
      </c>
      <c r="K25" s="2560">
        <v>5</v>
      </c>
      <c r="L25" s="2561">
        <v>5</v>
      </c>
      <c r="M25" s="2562">
        <v>5</v>
      </c>
      <c r="N25" s="2588" t="s">
        <v>916</v>
      </c>
      <c r="O25" s="2569" t="s">
        <v>1000</v>
      </c>
      <c r="P25" s="2565"/>
      <c r="Q25" s="2565" t="s">
        <v>1001</v>
      </c>
      <c r="R25" s="2584" t="s">
        <v>689</v>
      </c>
      <c r="S25" s="2568" t="s">
        <v>1002</v>
      </c>
      <c r="T25" s="2569" t="s">
        <v>1003</v>
      </c>
      <c r="U25" s="2565"/>
      <c r="V25" s="2565" t="s">
        <v>1004</v>
      </c>
      <c r="W25" s="2565" t="s">
        <v>689</v>
      </c>
      <c r="X25" s="2570" t="s">
        <v>1005</v>
      </c>
      <c r="Y25" s="2569" t="s">
        <v>1006</v>
      </c>
      <c r="Z25" s="2599" t="s">
        <v>1007</v>
      </c>
      <c r="AA25" s="2600" t="s">
        <v>1008</v>
      </c>
      <c r="AC25" s="2589" t="s">
        <v>864</v>
      </c>
      <c r="AD25" s="2590" t="s">
        <v>924</v>
      </c>
      <c r="AE25" s="2590" t="s">
        <v>924</v>
      </c>
      <c r="AF25" s="2590" t="s">
        <v>924</v>
      </c>
      <c r="AG25" s="2591" t="s">
        <v>864</v>
      </c>
      <c r="AH25" s="2592"/>
      <c r="AI25" s="2572" t="s">
        <v>876</v>
      </c>
      <c r="AJ25" s="2573" t="s">
        <v>877</v>
      </c>
      <c r="AK25" s="2573" t="s">
        <v>878</v>
      </c>
      <c r="AL25" s="2576" t="s">
        <v>925</v>
      </c>
      <c r="AM25" s="2574"/>
      <c r="AN25" s="2597" t="s">
        <v>312</v>
      </c>
    </row>
    <row r="26" spans="2:40">
      <c r="B26" s="2594" t="s">
        <v>313</v>
      </c>
      <c r="C26" s="2582" t="s">
        <v>313</v>
      </c>
      <c r="D26" s="2583">
        <v>40078849055</v>
      </c>
      <c r="E26" s="2556" t="s">
        <v>698</v>
      </c>
      <c r="F26" s="2557" t="s">
        <v>684</v>
      </c>
      <c r="G26" s="2557" t="s">
        <v>329</v>
      </c>
      <c r="H26" s="2557" t="s">
        <v>687</v>
      </c>
      <c r="I26" s="2587" t="s">
        <v>914</v>
      </c>
      <c r="J26" s="2557" t="s">
        <v>915</v>
      </c>
      <c r="K26" s="2560">
        <v>5</v>
      </c>
      <c r="L26" s="2561">
        <v>5</v>
      </c>
      <c r="M26" s="2562">
        <v>5</v>
      </c>
      <c r="N26" s="2588" t="s">
        <v>1009</v>
      </c>
      <c r="O26" s="2569" t="s">
        <v>1010</v>
      </c>
      <c r="P26" s="2565"/>
      <c r="Q26" s="2565" t="s">
        <v>1011</v>
      </c>
      <c r="R26" s="2565" t="s">
        <v>698</v>
      </c>
      <c r="S26" s="2568" t="s">
        <v>1012</v>
      </c>
      <c r="T26" s="2569" t="s">
        <v>1010</v>
      </c>
      <c r="U26" s="2565"/>
      <c r="V26" s="2565" t="s">
        <v>1011</v>
      </c>
      <c r="W26" s="2565" t="s">
        <v>1013</v>
      </c>
      <c r="X26" s="2570" t="s">
        <v>1012</v>
      </c>
      <c r="Y26" s="2569" t="s">
        <v>1014</v>
      </c>
      <c r="Z26" s="2565" t="s">
        <v>1015</v>
      </c>
      <c r="AA26" s="2571" t="s">
        <v>1016</v>
      </c>
      <c r="AC26" s="2595" t="s">
        <v>924</v>
      </c>
      <c r="AD26" s="2590" t="s">
        <v>924</v>
      </c>
      <c r="AE26" s="2590" t="s">
        <v>924</v>
      </c>
      <c r="AF26" s="2623" t="s">
        <v>864</v>
      </c>
      <c r="AG26" s="2591" t="s">
        <v>864</v>
      </c>
      <c r="AH26" s="2592"/>
      <c r="AI26" s="2572" t="s">
        <v>876</v>
      </c>
      <c r="AJ26" s="2573" t="s">
        <v>877</v>
      </c>
      <c r="AK26" s="2573" t="s">
        <v>878</v>
      </c>
      <c r="AL26" s="2576" t="s">
        <v>925</v>
      </c>
      <c r="AM26" s="2574"/>
      <c r="AN26" s="2597" t="s">
        <v>313</v>
      </c>
    </row>
    <row r="27" spans="2:40">
      <c r="B27" s="2594" t="s">
        <v>315</v>
      </c>
      <c r="C27" s="2582" t="s">
        <v>315</v>
      </c>
      <c r="D27" s="2583">
        <v>50087646062</v>
      </c>
      <c r="E27" s="2556" t="s">
        <v>698</v>
      </c>
      <c r="F27" s="2557" t="s">
        <v>684</v>
      </c>
      <c r="G27" s="2557" t="s">
        <v>329</v>
      </c>
      <c r="H27" s="2557" t="s">
        <v>687</v>
      </c>
      <c r="I27" s="2587" t="s">
        <v>914</v>
      </c>
      <c r="J27" s="2557" t="s">
        <v>915</v>
      </c>
      <c r="K27" s="2560">
        <v>5</v>
      </c>
      <c r="L27" s="2561">
        <v>5</v>
      </c>
      <c r="M27" s="2562">
        <v>5</v>
      </c>
      <c r="N27" s="2588" t="s">
        <v>1009</v>
      </c>
      <c r="O27" s="2569" t="s">
        <v>1017</v>
      </c>
      <c r="P27" s="2565"/>
      <c r="Q27" s="2565" t="s">
        <v>1018</v>
      </c>
      <c r="R27" s="2565" t="s">
        <v>698</v>
      </c>
      <c r="S27" s="2568" t="s">
        <v>1019</v>
      </c>
      <c r="T27" s="2569" t="s">
        <v>1020</v>
      </c>
      <c r="U27" s="2565"/>
      <c r="V27" s="2565" t="s">
        <v>1021</v>
      </c>
      <c r="W27" s="2565" t="s">
        <v>1013</v>
      </c>
      <c r="X27" s="2570">
        <v>4006</v>
      </c>
      <c r="Y27" s="2569" t="s">
        <v>1022</v>
      </c>
      <c r="Z27" s="2565" t="s">
        <v>1023</v>
      </c>
      <c r="AA27" s="2574" t="s">
        <v>1024</v>
      </c>
      <c r="AC27" s="2589" t="s">
        <v>864</v>
      </c>
      <c r="AD27" s="2590" t="s">
        <v>924</v>
      </c>
      <c r="AE27" s="2590" t="s">
        <v>924</v>
      </c>
      <c r="AF27" s="2590" t="s">
        <v>924</v>
      </c>
      <c r="AG27" s="2591" t="s">
        <v>864</v>
      </c>
      <c r="AH27" s="2592"/>
      <c r="AI27" s="2572" t="s">
        <v>876</v>
      </c>
      <c r="AJ27" s="2573" t="s">
        <v>877</v>
      </c>
      <c r="AK27" s="2573" t="s">
        <v>878</v>
      </c>
      <c r="AL27" s="2576" t="s">
        <v>925</v>
      </c>
      <c r="AM27" s="2574"/>
      <c r="AN27" s="2597" t="s">
        <v>315</v>
      </c>
    </row>
    <row r="28" spans="2:40">
      <c r="B28" s="2594" t="s">
        <v>316</v>
      </c>
      <c r="C28" s="2582" t="s">
        <v>316</v>
      </c>
      <c r="D28" s="2583">
        <v>37428185226</v>
      </c>
      <c r="E28" s="2556" t="s">
        <v>689</v>
      </c>
      <c r="F28" s="2557" t="s">
        <v>684</v>
      </c>
      <c r="G28" s="2557" t="s">
        <v>329</v>
      </c>
      <c r="H28" s="2557" t="s">
        <v>687</v>
      </c>
      <c r="I28" s="2587" t="s">
        <v>914</v>
      </c>
      <c r="J28" s="2557" t="s">
        <v>915</v>
      </c>
      <c r="K28" s="2560">
        <v>5</v>
      </c>
      <c r="L28" s="2561">
        <v>5</v>
      </c>
      <c r="M28" s="2562">
        <v>5</v>
      </c>
      <c r="N28" s="2588" t="s">
        <v>916</v>
      </c>
      <c r="O28" s="2569" t="s">
        <v>1025</v>
      </c>
      <c r="P28" s="2565"/>
      <c r="Q28" s="2565" t="s">
        <v>1026</v>
      </c>
      <c r="R28" s="2584" t="s">
        <v>689</v>
      </c>
      <c r="S28" s="2568" t="s">
        <v>1027</v>
      </c>
      <c r="T28" s="2569" t="s">
        <v>1028</v>
      </c>
      <c r="U28" s="2565"/>
      <c r="V28" s="2565" t="s">
        <v>1026</v>
      </c>
      <c r="W28" s="2565" t="s">
        <v>689</v>
      </c>
      <c r="X28" s="2570" t="s">
        <v>1027</v>
      </c>
      <c r="Y28" s="2569" t="s">
        <v>1029</v>
      </c>
      <c r="Z28" s="2565" t="s">
        <v>1030</v>
      </c>
      <c r="AA28" s="2571" t="s">
        <v>1031</v>
      </c>
      <c r="AC28" s="2589"/>
      <c r="AD28" s="2590"/>
      <c r="AE28" s="2590" t="s">
        <v>924</v>
      </c>
      <c r="AF28" s="2590" t="s">
        <v>924</v>
      </c>
      <c r="AG28" s="2591" t="s">
        <v>864</v>
      </c>
      <c r="AH28" s="2592"/>
      <c r="AI28" s="2572" t="s">
        <v>876</v>
      </c>
      <c r="AJ28" s="2573" t="s">
        <v>877</v>
      </c>
      <c r="AK28" s="2573" t="s">
        <v>878</v>
      </c>
      <c r="AL28" s="2576" t="s">
        <v>925</v>
      </c>
      <c r="AM28" s="2574"/>
      <c r="AN28" s="2597" t="s">
        <v>316</v>
      </c>
    </row>
    <row r="29" spans="2:40">
      <c r="B29" s="2594" t="s">
        <v>317</v>
      </c>
      <c r="C29" s="2582" t="s">
        <v>317</v>
      </c>
      <c r="D29" s="2583">
        <v>82064651083</v>
      </c>
      <c r="E29" s="2556" t="s">
        <v>691</v>
      </c>
      <c r="F29" s="2557" t="s">
        <v>684</v>
      </c>
      <c r="G29" s="2557" t="s">
        <v>329</v>
      </c>
      <c r="H29" s="2558" t="s">
        <v>687</v>
      </c>
      <c r="I29" s="2559" t="s">
        <v>772</v>
      </c>
      <c r="J29" s="2558" t="s">
        <v>935</v>
      </c>
      <c r="K29" s="2560">
        <v>5</v>
      </c>
      <c r="L29" s="2561">
        <v>5</v>
      </c>
      <c r="M29" s="2562">
        <v>2</v>
      </c>
      <c r="N29" s="2588" t="s">
        <v>963</v>
      </c>
      <c r="O29" s="2569" t="s">
        <v>1032</v>
      </c>
      <c r="P29" s="2565" t="s">
        <v>1033</v>
      </c>
      <c r="Q29" s="2565" t="s">
        <v>990</v>
      </c>
      <c r="R29" s="2584" t="s">
        <v>970</v>
      </c>
      <c r="S29" s="2568" t="s">
        <v>991</v>
      </c>
      <c r="T29" s="2569" t="s">
        <v>1034</v>
      </c>
      <c r="U29" s="2565"/>
      <c r="V29" s="2565" t="s">
        <v>990</v>
      </c>
      <c r="W29" s="2565" t="s">
        <v>970</v>
      </c>
      <c r="X29" s="2570">
        <v>8001</v>
      </c>
      <c r="Y29" s="2569" t="s">
        <v>1035</v>
      </c>
      <c r="Z29" s="2565" t="s">
        <v>1036</v>
      </c>
      <c r="AA29" s="2571" t="s">
        <v>1037</v>
      </c>
      <c r="AC29" s="2589"/>
      <c r="AD29" s="2590"/>
      <c r="AE29" s="2590" t="s">
        <v>924</v>
      </c>
      <c r="AF29" s="2623" t="s">
        <v>864</v>
      </c>
      <c r="AG29" s="2591" t="s">
        <v>864</v>
      </c>
      <c r="AH29" s="2592"/>
      <c r="AI29" s="2572" t="s">
        <v>876</v>
      </c>
      <c r="AJ29" s="2573" t="s">
        <v>877</v>
      </c>
      <c r="AK29" s="2573" t="s">
        <v>878</v>
      </c>
      <c r="AL29" s="2576" t="s">
        <v>925</v>
      </c>
      <c r="AM29" s="2574"/>
      <c r="AN29" s="2597" t="s">
        <v>317</v>
      </c>
    </row>
    <row r="30" spans="2:40">
      <c r="B30" s="2581" t="s">
        <v>1038</v>
      </c>
      <c r="C30" s="2582" t="s">
        <v>1039</v>
      </c>
      <c r="D30" s="2583"/>
      <c r="E30" s="2556" t="s">
        <v>689</v>
      </c>
      <c r="F30" s="2557" t="s">
        <v>326</v>
      </c>
      <c r="G30" s="2557" t="s">
        <v>329</v>
      </c>
      <c r="H30" s="2586" t="s">
        <v>696</v>
      </c>
      <c r="I30" s="2559" t="s">
        <v>914</v>
      </c>
      <c r="J30" s="2558" t="s">
        <v>915</v>
      </c>
      <c r="K30" s="2560">
        <v>5</v>
      </c>
      <c r="L30" s="2561">
        <v>5</v>
      </c>
      <c r="M30" s="2562"/>
      <c r="N30" s="2588"/>
      <c r="O30" s="2569"/>
      <c r="P30" s="2565"/>
      <c r="Q30" s="2565"/>
      <c r="R30" s="2584"/>
      <c r="S30" s="2568"/>
      <c r="T30" s="2569"/>
      <c r="U30" s="2565"/>
      <c r="V30" s="2565"/>
      <c r="W30" s="2565"/>
      <c r="X30" s="2570"/>
      <c r="Y30" s="2569"/>
      <c r="Z30" s="2565"/>
      <c r="AA30" s="2571"/>
      <c r="AC30" s="2589"/>
      <c r="AD30" s="2590"/>
      <c r="AE30" s="2590"/>
      <c r="AF30" s="2623"/>
      <c r="AG30" s="2591"/>
      <c r="AH30" s="2592"/>
      <c r="AI30" s="2572"/>
      <c r="AJ30" s="2573"/>
      <c r="AK30" s="2573"/>
      <c r="AL30" s="2576"/>
      <c r="AM30" s="2574"/>
      <c r="AN30" s="2585" t="s">
        <v>1038</v>
      </c>
    </row>
    <row r="31" spans="2:40">
      <c r="B31" s="2581" t="s">
        <v>1040</v>
      </c>
      <c r="C31" s="2582" t="s">
        <v>1041</v>
      </c>
      <c r="D31" s="2583">
        <v>86026986</v>
      </c>
      <c r="E31" s="2556" t="s">
        <v>691</v>
      </c>
      <c r="F31" s="2557" t="s">
        <v>326</v>
      </c>
      <c r="G31" s="2557" t="s">
        <v>329</v>
      </c>
      <c r="H31" s="2586" t="s">
        <v>696</v>
      </c>
      <c r="I31" s="2559" t="s">
        <v>772</v>
      </c>
      <c r="J31" s="2558" t="s">
        <v>935</v>
      </c>
      <c r="K31" s="2560">
        <v>5</v>
      </c>
      <c r="L31" s="2561">
        <v>5</v>
      </c>
      <c r="M31" s="2562" t="s">
        <v>928</v>
      </c>
      <c r="N31" s="2588"/>
      <c r="O31" s="2569"/>
      <c r="P31" s="2565"/>
      <c r="Q31" s="2565"/>
      <c r="R31" s="2584"/>
      <c r="S31" s="2568"/>
      <c r="T31" s="2569"/>
      <c r="U31" s="2565"/>
      <c r="V31" s="2565"/>
      <c r="W31" s="2565"/>
      <c r="X31" s="2570"/>
      <c r="Y31" s="2569"/>
      <c r="Z31" s="2565"/>
      <c r="AA31" s="2571"/>
      <c r="AC31" s="2589"/>
      <c r="AD31" s="2590"/>
      <c r="AE31" s="2590"/>
      <c r="AF31" s="2623"/>
      <c r="AG31" s="2591"/>
      <c r="AH31" s="2575"/>
      <c r="AI31" s="2572"/>
      <c r="AJ31" s="2573"/>
      <c r="AK31" s="2573"/>
      <c r="AL31" s="2576"/>
      <c r="AM31" s="2574"/>
      <c r="AN31" s="2585" t="s">
        <v>1040</v>
      </c>
    </row>
    <row r="32" spans="2:40">
      <c r="B32" s="2594" t="s">
        <v>700</v>
      </c>
      <c r="C32" s="2582" t="s">
        <v>700</v>
      </c>
      <c r="D32" s="2583">
        <v>79181207909</v>
      </c>
      <c r="E32" s="2556" t="s">
        <v>688</v>
      </c>
      <c r="F32" s="2557" t="s">
        <v>684</v>
      </c>
      <c r="G32" s="2557" t="s">
        <v>692</v>
      </c>
      <c r="H32" s="2558" t="s">
        <v>687</v>
      </c>
      <c r="I32" s="2559" t="s">
        <v>914</v>
      </c>
      <c r="J32" s="2558" t="s">
        <v>915</v>
      </c>
      <c r="K32" s="2560">
        <v>5</v>
      </c>
      <c r="L32" s="2602">
        <v>5</v>
      </c>
      <c r="M32" s="2562">
        <v>5</v>
      </c>
      <c r="N32" s="2563" t="s">
        <v>978</v>
      </c>
      <c r="O32" s="2569"/>
      <c r="P32" s="2565"/>
      <c r="Q32" s="2565"/>
      <c r="R32" s="2624"/>
      <c r="S32" s="2568"/>
      <c r="T32" s="2569"/>
      <c r="U32" s="2565"/>
      <c r="V32" s="2565"/>
      <c r="W32" s="2565"/>
      <c r="X32" s="2568"/>
      <c r="Y32" s="2569"/>
      <c r="Z32" s="2565"/>
      <c r="AA32" s="2571"/>
      <c r="AC32" s="2572"/>
      <c r="AD32" s="2573"/>
      <c r="AE32" s="2573"/>
      <c r="AF32" s="2573"/>
      <c r="AG32" s="2574"/>
      <c r="AH32" s="2575"/>
      <c r="AI32" s="2572" t="s">
        <v>876</v>
      </c>
      <c r="AJ32" s="2573" t="s">
        <v>877</v>
      </c>
      <c r="AK32" s="2573" t="s">
        <v>878</v>
      </c>
      <c r="AL32" s="2576" t="s">
        <v>925</v>
      </c>
      <c r="AM32" s="2574"/>
      <c r="AN32" s="2597" t="s">
        <v>700</v>
      </c>
    </row>
    <row r="33" spans="2:40">
      <c r="B33" s="2594" t="s">
        <v>319</v>
      </c>
      <c r="C33" s="2582" t="s">
        <v>319</v>
      </c>
      <c r="D33" s="2583">
        <v>89064651109</v>
      </c>
      <c r="E33" s="2556" t="s">
        <v>691</v>
      </c>
      <c r="F33" s="2557" t="s">
        <v>684</v>
      </c>
      <c r="G33" s="2557" t="s">
        <v>329</v>
      </c>
      <c r="H33" s="2558" t="s">
        <v>687</v>
      </c>
      <c r="I33" s="2559" t="s">
        <v>772</v>
      </c>
      <c r="J33" s="2558" t="s">
        <v>935</v>
      </c>
      <c r="K33" s="2560">
        <v>5</v>
      </c>
      <c r="L33" s="2561">
        <v>5</v>
      </c>
      <c r="M33" s="2562">
        <v>2</v>
      </c>
      <c r="N33" s="2588" t="s">
        <v>963</v>
      </c>
      <c r="O33" s="2569" t="s">
        <v>989</v>
      </c>
      <c r="P33" s="2565"/>
      <c r="Q33" s="2565" t="s">
        <v>990</v>
      </c>
      <c r="R33" s="2584" t="s">
        <v>691</v>
      </c>
      <c r="S33" s="2568" t="s">
        <v>991</v>
      </c>
      <c r="T33" s="2569" t="s">
        <v>1042</v>
      </c>
      <c r="U33" s="2565"/>
      <c r="V33" s="2565" t="s">
        <v>990</v>
      </c>
      <c r="W33" s="2565" t="s">
        <v>970</v>
      </c>
      <c r="X33" s="2568">
        <v>8001</v>
      </c>
      <c r="Y33" s="2569" t="s">
        <v>971</v>
      </c>
      <c r="Z33" s="2565" t="s">
        <v>972</v>
      </c>
      <c r="AA33" s="2571" t="s">
        <v>973</v>
      </c>
      <c r="AC33" s="2589"/>
      <c r="AD33" s="2590"/>
      <c r="AE33" s="2590" t="s">
        <v>924</v>
      </c>
      <c r="AF33" s="2590" t="s">
        <v>924</v>
      </c>
      <c r="AG33" s="2591" t="s">
        <v>864</v>
      </c>
      <c r="AH33" s="2596"/>
      <c r="AI33" s="2572" t="s">
        <v>876</v>
      </c>
      <c r="AJ33" s="2573" t="s">
        <v>877</v>
      </c>
      <c r="AK33" s="2573" t="s">
        <v>878</v>
      </c>
      <c r="AL33" s="2576" t="s">
        <v>925</v>
      </c>
      <c r="AM33" s="2574"/>
      <c r="AN33" s="2597" t="s">
        <v>319</v>
      </c>
    </row>
    <row r="34" spans="2:40" ht="28.5">
      <c r="B34" s="2594" t="s">
        <v>320</v>
      </c>
      <c r="C34" s="2625" t="s">
        <v>1043</v>
      </c>
      <c r="D34" s="2583">
        <v>82078849233</v>
      </c>
      <c r="E34" s="2556" t="s">
        <v>698</v>
      </c>
      <c r="F34" s="2557" t="s">
        <v>684</v>
      </c>
      <c r="G34" s="2557" t="s">
        <v>692</v>
      </c>
      <c r="H34" s="2558" t="s">
        <v>687</v>
      </c>
      <c r="I34" s="2559" t="s">
        <v>914</v>
      </c>
      <c r="J34" s="2558" t="s">
        <v>915</v>
      </c>
      <c r="K34" s="2560">
        <v>5</v>
      </c>
      <c r="L34" s="2602">
        <v>5</v>
      </c>
      <c r="M34" s="2562">
        <v>5</v>
      </c>
      <c r="N34" s="2563" t="s">
        <v>978</v>
      </c>
      <c r="O34" s="2569" t="s">
        <v>1044</v>
      </c>
      <c r="P34" s="2565"/>
      <c r="Q34" s="2565" t="s">
        <v>1045</v>
      </c>
      <c r="R34" s="2565" t="s">
        <v>698</v>
      </c>
      <c r="S34" s="2568" t="s">
        <v>1046</v>
      </c>
      <c r="T34" s="2569" t="s">
        <v>1047</v>
      </c>
      <c r="U34" s="2565"/>
      <c r="V34" s="2565" t="s">
        <v>1045</v>
      </c>
      <c r="W34" s="2565" t="s">
        <v>1013</v>
      </c>
      <c r="X34" s="2568">
        <v>4014</v>
      </c>
      <c r="Y34" s="2569" t="s">
        <v>1048</v>
      </c>
      <c r="Z34" s="2565" t="s">
        <v>1049</v>
      </c>
      <c r="AA34" s="2571" t="s">
        <v>1050</v>
      </c>
      <c r="AC34" s="2572"/>
      <c r="AD34" s="2573"/>
      <c r="AE34" s="2573"/>
      <c r="AF34" s="2573"/>
      <c r="AG34" s="2574"/>
      <c r="AH34" s="2575"/>
      <c r="AI34" s="2572" t="s">
        <v>876</v>
      </c>
      <c r="AJ34" s="2573" t="s">
        <v>877</v>
      </c>
      <c r="AK34" s="2573" t="s">
        <v>878</v>
      </c>
      <c r="AL34" s="2576" t="s">
        <v>925</v>
      </c>
      <c r="AM34" s="2574"/>
      <c r="AN34" s="2597" t="s">
        <v>320</v>
      </c>
    </row>
    <row r="35" spans="2:40">
      <c r="B35" s="2581" t="s">
        <v>1051</v>
      </c>
      <c r="C35" s="2582" t="s">
        <v>1052</v>
      </c>
      <c r="D35" s="2626" t="s">
        <v>1053</v>
      </c>
      <c r="E35" s="2556" t="s">
        <v>698</v>
      </c>
      <c r="F35" s="2557" t="s">
        <v>326</v>
      </c>
      <c r="G35" s="2557" t="s">
        <v>692</v>
      </c>
      <c r="H35" s="2586" t="s">
        <v>687</v>
      </c>
      <c r="I35" s="2559" t="s">
        <v>914</v>
      </c>
      <c r="J35" s="2558" t="s">
        <v>915</v>
      </c>
      <c r="K35" s="2560">
        <v>5</v>
      </c>
      <c r="L35" s="2561">
        <v>5</v>
      </c>
      <c r="M35" s="2562" t="s">
        <v>928</v>
      </c>
      <c r="N35" s="2588" t="s">
        <v>944</v>
      </c>
      <c r="O35" s="2569"/>
      <c r="P35" s="2565"/>
      <c r="Q35" s="2565"/>
      <c r="R35" s="2565"/>
      <c r="S35" s="2627"/>
      <c r="T35" s="2569"/>
      <c r="U35" s="2565"/>
      <c r="V35" s="2565"/>
      <c r="W35" s="2565"/>
      <c r="X35" s="2568"/>
      <c r="Y35" s="2569"/>
      <c r="Z35" s="2565"/>
      <c r="AA35" s="2571"/>
      <c r="AC35" s="2572"/>
      <c r="AD35" s="2573"/>
      <c r="AE35" s="2573"/>
      <c r="AF35" s="2573"/>
      <c r="AG35" s="2574"/>
      <c r="AH35" s="2575"/>
      <c r="AI35" s="2572" t="s">
        <v>876</v>
      </c>
      <c r="AJ35" s="2573" t="s">
        <v>877</v>
      </c>
      <c r="AK35" s="2573" t="s">
        <v>878</v>
      </c>
      <c r="AL35" s="2576" t="s">
        <v>925</v>
      </c>
      <c r="AM35" s="2574"/>
      <c r="AN35" s="2585" t="s">
        <v>1051</v>
      </c>
    </row>
    <row r="36" spans="2:40">
      <c r="B36" s="2594" t="s">
        <v>322</v>
      </c>
      <c r="C36" s="2582" t="s">
        <v>322</v>
      </c>
      <c r="D36" s="2583">
        <v>13332330749</v>
      </c>
      <c r="E36" s="2556" t="s">
        <v>688</v>
      </c>
      <c r="F36" s="2557" t="s">
        <v>684</v>
      </c>
      <c r="G36" s="2557" t="s">
        <v>329</v>
      </c>
      <c r="H36" s="2558" t="s">
        <v>687</v>
      </c>
      <c r="I36" s="2559" t="s">
        <v>914</v>
      </c>
      <c r="J36" s="2558" t="s">
        <v>915</v>
      </c>
      <c r="K36" s="2560">
        <v>5</v>
      </c>
      <c r="L36" s="2561">
        <v>5</v>
      </c>
      <c r="M36" s="2562">
        <v>5</v>
      </c>
      <c r="N36" s="2588" t="s">
        <v>1009</v>
      </c>
      <c r="O36" s="2569" t="s">
        <v>1054</v>
      </c>
      <c r="P36" s="2565"/>
      <c r="Q36" s="2565" t="s">
        <v>1055</v>
      </c>
      <c r="R36" s="2565" t="s">
        <v>688</v>
      </c>
      <c r="S36" s="2627" t="s">
        <v>1056</v>
      </c>
      <c r="T36" s="2569" t="s">
        <v>1057</v>
      </c>
      <c r="U36" s="2565"/>
      <c r="V36" s="2565" t="s">
        <v>938</v>
      </c>
      <c r="W36" s="2565" t="s">
        <v>688</v>
      </c>
      <c r="X36" s="2568" t="s">
        <v>939</v>
      </c>
      <c r="Y36" s="2569" t="s">
        <v>1058</v>
      </c>
      <c r="Z36" s="2565" t="s">
        <v>1059</v>
      </c>
      <c r="AA36" s="2571" t="s">
        <v>1060</v>
      </c>
      <c r="AC36" s="2595"/>
      <c r="AD36" s="2590"/>
      <c r="AE36" s="2590" t="s">
        <v>924</v>
      </c>
      <c r="AF36" s="2590" t="s">
        <v>924</v>
      </c>
      <c r="AG36" s="2591" t="s">
        <v>864</v>
      </c>
      <c r="AH36" s="2596"/>
      <c r="AI36" s="2572" t="s">
        <v>876</v>
      </c>
      <c r="AJ36" s="2573" t="s">
        <v>877</v>
      </c>
      <c r="AK36" s="2573" t="s">
        <v>878</v>
      </c>
      <c r="AL36" s="2576" t="s">
        <v>925</v>
      </c>
      <c r="AM36" s="2574"/>
      <c r="AN36" s="2597" t="s">
        <v>322</v>
      </c>
    </row>
    <row r="37" spans="2:40" ht="25.5">
      <c r="B37" s="2594" t="s">
        <v>323</v>
      </c>
      <c r="C37" s="2628" t="s">
        <v>323</v>
      </c>
      <c r="D37" s="2583">
        <v>24167357299</v>
      </c>
      <c r="E37" s="2556" t="s">
        <v>701</v>
      </c>
      <c r="F37" s="2557" t="s">
        <v>684</v>
      </c>
      <c r="G37" s="2557" t="s">
        <v>329</v>
      </c>
      <c r="H37" s="2558" t="s">
        <v>687</v>
      </c>
      <c r="I37" s="2559" t="s">
        <v>914</v>
      </c>
      <c r="J37" s="2558" t="s">
        <v>915</v>
      </c>
      <c r="K37" s="2560">
        <v>5</v>
      </c>
      <c r="L37" s="2561">
        <v>5</v>
      </c>
      <c r="M37" s="2562">
        <v>5</v>
      </c>
      <c r="N37" s="2563" t="s">
        <v>926</v>
      </c>
      <c r="O37" s="2569" t="s">
        <v>1061</v>
      </c>
      <c r="P37" s="2565"/>
      <c r="Q37" s="2565" t="s">
        <v>1062</v>
      </c>
      <c r="R37" s="2584" t="s">
        <v>701</v>
      </c>
      <c r="S37" s="2568" t="s">
        <v>1063</v>
      </c>
      <c r="T37" s="2569" t="s">
        <v>1064</v>
      </c>
      <c r="U37" s="2565"/>
      <c r="V37" s="2565" t="s">
        <v>1062</v>
      </c>
      <c r="W37" s="2565" t="s">
        <v>701</v>
      </c>
      <c r="X37" s="2568" t="s">
        <v>1063</v>
      </c>
      <c r="Y37" s="2569" t="s">
        <v>1065</v>
      </c>
      <c r="Z37" s="2565" t="s">
        <v>1066</v>
      </c>
      <c r="AA37" s="2571" t="s">
        <v>1067</v>
      </c>
      <c r="AC37" s="2595"/>
      <c r="AD37" s="2590"/>
      <c r="AE37" s="2590" t="s">
        <v>924</v>
      </c>
      <c r="AF37" s="2590" t="s">
        <v>924</v>
      </c>
      <c r="AG37" s="2629" t="s">
        <v>924</v>
      </c>
      <c r="AH37" s="2596"/>
      <c r="AI37" s="2630" t="s">
        <v>1068</v>
      </c>
      <c r="AJ37" s="2631" t="s">
        <v>1069</v>
      </c>
      <c r="AK37" s="2631" t="s">
        <v>877</v>
      </c>
      <c r="AL37" s="2631" t="s">
        <v>1070</v>
      </c>
      <c r="AM37" s="2632" t="s">
        <v>1071</v>
      </c>
      <c r="AN37" s="2597" t="s">
        <v>323</v>
      </c>
    </row>
    <row r="38" spans="2:40">
      <c r="B38" s="2594" t="s">
        <v>324</v>
      </c>
      <c r="C38" s="2582" t="s">
        <v>324</v>
      </c>
      <c r="D38" s="2583">
        <v>24167357299</v>
      </c>
      <c r="E38" s="2556" t="s">
        <v>701</v>
      </c>
      <c r="F38" s="2557" t="s">
        <v>684</v>
      </c>
      <c r="G38" s="2557" t="s">
        <v>692</v>
      </c>
      <c r="H38" s="2558" t="s">
        <v>687</v>
      </c>
      <c r="I38" s="2559" t="s">
        <v>914</v>
      </c>
      <c r="J38" s="2558" t="s">
        <v>977</v>
      </c>
      <c r="K38" s="2560">
        <v>5</v>
      </c>
      <c r="L38" s="2602">
        <v>5</v>
      </c>
      <c r="M38" s="2562">
        <v>5</v>
      </c>
      <c r="N38" s="2563" t="s">
        <v>978</v>
      </c>
      <c r="O38" s="2569" t="s">
        <v>1072</v>
      </c>
      <c r="P38" s="2565"/>
      <c r="Q38" s="2565" t="s">
        <v>1073</v>
      </c>
      <c r="R38" s="2584" t="s">
        <v>701</v>
      </c>
      <c r="S38" s="2627" t="s">
        <v>1074</v>
      </c>
      <c r="T38" s="2569" t="s">
        <v>1075</v>
      </c>
      <c r="U38" s="2565"/>
      <c r="V38" s="2565" t="s">
        <v>1076</v>
      </c>
      <c r="W38" s="2565" t="s">
        <v>701</v>
      </c>
      <c r="X38" s="2568" t="s">
        <v>1077</v>
      </c>
      <c r="Y38" s="2569" t="s">
        <v>1078</v>
      </c>
      <c r="Z38" s="2565" t="s">
        <v>1079</v>
      </c>
      <c r="AA38" s="2571" t="s">
        <v>1080</v>
      </c>
      <c r="AC38" s="2572"/>
      <c r="AD38" s="2573"/>
      <c r="AE38" s="2573"/>
      <c r="AF38" s="2573"/>
      <c r="AG38" s="2574"/>
      <c r="AH38" s="2575"/>
      <c r="AI38" s="2572" t="s">
        <v>876</v>
      </c>
      <c r="AJ38" s="2573" t="s">
        <v>877</v>
      </c>
      <c r="AK38" s="2573" t="s">
        <v>878</v>
      </c>
      <c r="AL38" s="2576" t="s">
        <v>925</v>
      </c>
      <c r="AM38" s="2574"/>
      <c r="AN38" s="2597" t="s">
        <v>324</v>
      </c>
    </row>
    <row r="39" spans="2:40">
      <c r="B39" s="2594" t="s">
        <v>327</v>
      </c>
      <c r="C39" s="2582" t="s">
        <v>327</v>
      </c>
      <c r="D39" s="2583">
        <v>19622755774</v>
      </c>
      <c r="E39" s="2556" t="s">
        <v>689</v>
      </c>
      <c r="F39" s="2557" t="s">
        <v>684</v>
      </c>
      <c r="G39" s="2557" t="s">
        <v>692</v>
      </c>
      <c r="H39" s="2558" t="s">
        <v>687</v>
      </c>
      <c r="I39" s="2559" t="s">
        <v>914</v>
      </c>
      <c r="J39" s="2558" t="s">
        <v>915</v>
      </c>
      <c r="K39" s="2560">
        <v>5</v>
      </c>
      <c r="L39" s="2602">
        <v>4</v>
      </c>
      <c r="M39" s="2562">
        <v>5</v>
      </c>
      <c r="N39" s="2563" t="s">
        <v>978</v>
      </c>
      <c r="O39" s="2569" t="s">
        <v>1081</v>
      </c>
      <c r="P39" s="2565"/>
      <c r="Q39" s="2565" t="s">
        <v>1082</v>
      </c>
      <c r="R39" s="2584" t="s">
        <v>689</v>
      </c>
      <c r="S39" s="2568" t="s">
        <v>948</v>
      </c>
      <c r="T39" s="2569" t="s">
        <v>1083</v>
      </c>
      <c r="U39" s="2565"/>
      <c r="V39" s="2565" t="s">
        <v>1084</v>
      </c>
      <c r="W39" s="2565" t="s">
        <v>689</v>
      </c>
      <c r="X39" s="2568" t="s">
        <v>1085</v>
      </c>
      <c r="Y39" s="2569" t="s">
        <v>1086</v>
      </c>
      <c r="Z39" s="2599" t="s">
        <v>1087</v>
      </c>
      <c r="AA39" s="2600" t="s">
        <v>1088</v>
      </c>
      <c r="AC39" s="2572"/>
      <c r="AD39" s="2573"/>
      <c r="AE39" s="2573"/>
      <c r="AF39" s="2573"/>
      <c r="AG39" s="2574"/>
      <c r="AH39" s="2575"/>
      <c r="AI39" s="2572" t="s">
        <v>876</v>
      </c>
      <c r="AJ39" s="2573" t="s">
        <v>877</v>
      </c>
      <c r="AK39" s="2573" t="s">
        <v>878</v>
      </c>
      <c r="AL39" s="2576" t="s">
        <v>925</v>
      </c>
      <c r="AM39" s="2574"/>
      <c r="AN39" s="2597" t="s">
        <v>327</v>
      </c>
    </row>
    <row r="40" spans="2:40">
      <c r="B40" s="2594" t="s">
        <v>330</v>
      </c>
      <c r="C40" s="2582" t="s">
        <v>330</v>
      </c>
      <c r="D40" s="2583">
        <v>70064651029</v>
      </c>
      <c r="E40" s="2556" t="s">
        <v>691</v>
      </c>
      <c r="F40" s="2557" t="s">
        <v>684</v>
      </c>
      <c r="G40" s="2557" t="s">
        <v>329</v>
      </c>
      <c r="H40" s="2558" t="s">
        <v>687</v>
      </c>
      <c r="I40" s="2559" t="s">
        <v>772</v>
      </c>
      <c r="J40" s="2558" t="s">
        <v>935</v>
      </c>
      <c r="K40" s="2560">
        <v>5</v>
      </c>
      <c r="L40" s="2561">
        <v>5</v>
      </c>
      <c r="M40" s="2562">
        <v>2</v>
      </c>
      <c r="N40" s="2588" t="s">
        <v>963</v>
      </c>
      <c r="O40" s="2569" t="s">
        <v>1089</v>
      </c>
      <c r="P40" s="2565" t="s">
        <v>1090</v>
      </c>
      <c r="Q40" s="2565" t="s">
        <v>1091</v>
      </c>
      <c r="R40" s="2565" t="s">
        <v>691</v>
      </c>
      <c r="S40" s="2568" t="s">
        <v>1092</v>
      </c>
      <c r="T40" s="2569" t="s">
        <v>1093</v>
      </c>
      <c r="U40" s="2565"/>
      <c r="V40" s="2565" t="s">
        <v>1094</v>
      </c>
      <c r="W40" s="2565" t="s">
        <v>970</v>
      </c>
      <c r="X40" s="2568">
        <v>3170</v>
      </c>
      <c r="Y40" s="2569" t="s">
        <v>1095</v>
      </c>
      <c r="Z40" s="2565" t="s">
        <v>1096</v>
      </c>
      <c r="AA40" s="2571" t="s">
        <v>1097</v>
      </c>
      <c r="AC40" s="2589"/>
      <c r="AD40" s="2590"/>
      <c r="AE40" s="2590" t="s">
        <v>924</v>
      </c>
      <c r="AF40" s="2623" t="s">
        <v>864</v>
      </c>
      <c r="AG40" s="2591" t="s">
        <v>864</v>
      </c>
      <c r="AH40" s="2596"/>
      <c r="AI40" s="2572" t="s">
        <v>876</v>
      </c>
      <c r="AJ40" s="2573" t="s">
        <v>877</v>
      </c>
      <c r="AK40" s="2573" t="s">
        <v>878</v>
      </c>
      <c r="AL40" s="2576" t="s">
        <v>925</v>
      </c>
      <c r="AM40" s="2574"/>
      <c r="AN40" s="2597" t="s">
        <v>330</v>
      </c>
    </row>
    <row r="41" spans="2:40">
      <c r="B41" s="2594" t="s">
        <v>1098</v>
      </c>
      <c r="C41" s="2582" t="s">
        <v>1098</v>
      </c>
      <c r="D41" s="2583">
        <v>18540492861</v>
      </c>
      <c r="E41" s="2556" t="s">
        <v>1099</v>
      </c>
      <c r="F41" s="2557" t="s">
        <v>684</v>
      </c>
      <c r="G41" s="2557" t="s">
        <v>329</v>
      </c>
      <c r="H41" s="2558" t="s">
        <v>687</v>
      </c>
      <c r="I41" s="2559" t="s">
        <v>914</v>
      </c>
      <c r="J41" s="2558" t="s">
        <v>915</v>
      </c>
      <c r="K41" s="2560">
        <v>12</v>
      </c>
      <c r="L41" s="2602">
        <v>4</v>
      </c>
      <c r="M41" s="2562" t="s">
        <v>928</v>
      </c>
      <c r="N41" s="2563" t="s">
        <v>926</v>
      </c>
      <c r="O41" s="2569" t="s">
        <v>1100</v>
      </c>
      <c r="P41" s="2565"/>
      <c r="Q41" s="2565" t="s">
        <v>1101</v>
      </c>
      <c r="R41" s="2584" t="s">
        <v>1099</v>
      </c>
      <c r="S41" s="2568" t="s">
        <v>1102</v>
      </c>
      <c r="T41" s="2569" t="s">
        <v>1103</v>
      </c>
      <c r="U41" s="2565"/>
      <c r="V41" s="2565" t="s">
        <v>1101</v>
      </c>
      <c r="W41" s="2565" t="s">
        <v>1099</v>
      </c>
      <c r="X41" s="2568">
        <v>6842</v>
      </c>
      <c r="Y41" s="2569" t="s">
        <v>1104</v>
      </c>
      <c r="Z41" s="2599" t="s">
        <v>1105</v>
      </c>
      <c r="AA41" s="2633" t="s">
        <v>1106</v>
      </c>
      <c r="AC41" s="2595"/>
      <c r="AD41" s="2590"/>
      <c r="AE41" s="2590" t="s">
        <v>924</v>
      </c>
      <c r="AF41" s="2590" t="s">
        <v>924</v>
      </c>
      <c r="AG41" s="2591" t="s">
        <v>864</v>
      </c>
      <c r="AH41" s="2634" t="s">
        <v>864</v>
      </c>
      <c r="AI41" s="2572" t="s">
        <v>876</v>
      </c>
      <c r="AJ41" s="2573" t="s">
        <v>877</v>
      </c>
      <c r="AK41" s="2573" t="s">
        <v>878</v>
      </c>
      <c r="AL41" s="2576" t="s">
        <v>925</v>
      </c>
      <c r="AM41" s="2574"/>
      <c r="AN41" s="2597" t="s">
        <v>1098</v>
      </c>
    </row>
    <row r="42" spans="2:40" ht="15.75" thickBot="1">
      <c r="B42" s="2635" t="s">
        <v>1107</v>
      </c>
      <c r="C42" s="2636" t="s">
        <v>1107</v>
      </c>
      <c r="D42" s="2637">
        <v>18540492861</v>
      </c>
      <c r="E42" s="2638" t="s">
        <v>1099</v>
      </c>
      <c r="F42" s="2639" t="s">
        <v>684</v>
      </c>
      <c r="G42" s="2639" t="s">
        <v>692</v>
      </c>
      <c r="H42" s="2640" t="s">
        <v>687</v>
      </c>
      <c r="I42" s="2641" t="s">
        <v>914</v>
      </c>
      <c r="J42" s="2640" t="s">
        <v>915</v>
      </c>
      <c r="K42" s="2642">
        <v>12</v>
      </c>
      <c r="L42" s="2643">
        <v>4</v>
      </c>
      <c r="M42" s="2644" t="s">
        <v>928</v>
      </c>
      <c r="N42" s="2645" t="s">
        <v>978</v>
      </c>
      <c r="O42" s="2646" t="s">
        <v>1100</v>
      </c>
      <c r="P42" s="2647"/>
      <c r="Q42" s="2647" t="s">
        <v>1101</v>
      </c>
      <c r="R42" s="2648" t="s">
        <v>1099</v>
      </c>
      <c r="S42" s="2649" t="s">
        <v>1102</v>
      </c>
      <c r="T42" s="2646" t="s">
        <v>1103</v>
      </c>
      <c r="U42" s="2647"/>
      <c r="V42" s="2647" t="s">
        <v>1101</v>
      </c>
      <c r="W42" s="2647" t="s">
        <v>1099</v>
      </c>
      <c r="X42" s="2649">
        <v>6842</v>
      </c>
      <c r="Y42" s="2646" t="s">
        <v>1104</v>
      </c>
      <c r="Z42" s="2650" t="s">
        <v>1105</v>
      </c>
      <c r="AA42" s="2651" t="s">
        <v>1106</v>
      </c>
      <c r="AC42" s="2652"/>
      <c r="AD42" s="2653"/>
      <c r="AE42" s="2653" t="s">
        <v>924</v>
      </c>
      <c r="AF42" s="2653" t="s">
        <v>924</v>
      </c>
      <c r="AG42" s="2654" t="s">
        <v>864</v>
      </c>
      <c r="AH42" s="2655"/>
      <c r="AI42" s="2656" t="s">
        <v>876</v>
      </c>
      <c r="AJ42" s="2657" t="s">
        <v>877</v>
      </c>
      <c r="AK42" s="2657" t="s">
        <v>878</v>
      </c>
      <c r="AL42" s="2658" t="s">
        <v>925</v>
      </c>
      <c r="AM42" s="2659"/>
      <c r="AN42" s="2660" t="s">
        <v>1107</v>
      </c>
    </row>
    <row r="43" spans="2:40">
      <c r="C43" s="2497"/>
    </row>
    <row r="44" spans="2:40" ht="15.75" thickBot="1">
      <c r="C44" s="2497"/>
    </row>
    <row r="45" spans="2:40" ht="15.75" thickBot="1">
      <c r="W45" s="4031" t="s">
        <v>1108</v>
      </c>
      <c r="X45" s="4032"/>
      <c r="Y45" s="4032"/>
      <c r="Z45" s="4032"/>
      <c r="AA45" s="4033"/>
    </row>
    <row r="46" spans="2:40" ht="53.25" customHeight="1" thickBot="1">
      <c r="B46" s="4034" t="s">
        <v>1109</v>
      </c>
      <c r="C46" s="4035"/>
      <c r="D46" s="4035"/>
      <c r="E46" s="4035"/>
      <c r="F46" s="4036"/>
      <c r="G46" s="2480">
        <f>IF(dms_RPT="financial",VALUE(LEFT(CRCP_y1,4)-1)&amp;"-"&amp;TEXT(VALUE(RIGHT(CRCP_y1,2)-1),"00"),VALUE(LEFT(CRCP_y1,4)-1))</f>
        <v>2012</v>
      </c>
      <c r="N46" s="2661" t="s">
        <v>1110</v>
      </c>
      <c r="O46" s="4037" t="s">
        <v>1111</v>
      </c>
      <c r="P46" s="4037"/>
      <c r="Q46" s="4037"/>
      <c r="R46" s="4037"/>
      <c r="S46" s="4037"/>
      <c r="T46" s="4037"/>
      <c r="U46" s="4037"/>
      <c r="V46" s="4037"/>
      <c r="W46" s="4038" t="s">
        <v>1112</v>
      </c>
      <c r="X46" s="4039"/>
      <c r="Y46" s="4039"/>
      <c r="Z46" s="4039"/>
      <c r="AA46" s="4040"/>
      <c r="AI46" s="2662" t="s">
        <v>1113</v>
      </c>
      <c r="AJ46" s="2663" t="s">
        <v>1114</v>
      </c>
      <c r="AK46" s="2664" t="s">
        <v>1115</v>
      </c>
      <c r="AL46" s="2275"/>
    </row>
    <row r="47" spans="2:40" s="2481" customFormat="1" ht="42" customHeight="1" thickBot="1">
      <c r="B47" s="2665" t="s">
        <v>1116</v>
      </c>
      <c r="C47" s="4041" t="s">
        <v>780</v>
      </c>
      <c r="D47" s="4041"/>
      <c r="E47" s="2666" t="s">
        <v>1117</v>
      </c>
      <c r="F47" s="2666"/>
      <c r="G47" s="2667"/>
      <c r="H47" s="2668"/>
      <c r="I47" s="2669"/>
      <c r="J47" s="2670"/>
      <c r="K47" s="2670"/>
      <c r="L47" s="2671"/>
      <c r="N47" s="2672" t="s">
        <v>1118</v>
      </c>
      <c r="O47" s="2673" t="s">
        <v>1119</v>
      </c>
      <c r="P47" s="2674" t="s">
        <v>1120</v>
      </c>
      <c r="Q47" s="2674" t="s">
        <v>1121</v>
      </c>
      <c r="R47" s="2674" t="s">
        <v>1122</v>
      </c>
      <c r="S47" s="2674" t="s">
        <v>1123</v>
      </c>
      <c r="T47" s="2674" t="s">
        <v>1124</v>
      </c>
      <c r="U47" s="2674" t="s">
        <v>1125</v>
      </c>
      <c r="V47" s="2675" t="s">
        <v>1126</v>
      </c>
      <c r="W47" s="2676" t="s">
        <v>1127</v>
      </c>
      <c r="X47" s="2677" t="s">
        <v>1128</v>
      </c>
      <c r="Y47" s="2677" t="s">
        <v>1129</v>
      </c>
      <c r="Z47" s="2677" t="s">
        <v>1130</v>
      </c>
      <c r="AA47" s="2678" t="s">
        <v>1131</v>
      </c>
      <c r="AB47" s="2275"/>
      <c r="AC47" s="2679"/>
      <c r="AI47" s="4042" t="s">
        <v>1132</v>
      </c>
      <c r="AJ47" s="2680" t="s">
        <v>1133</v>
      </c>
      <c r="AK47" s="2681" t="s">
        <v>1132</v>
      </c>
      <c r="AL47" s="2275"/>
    </row>
    <row r="48" spans="2:40" ht="30">
      <c r="B48" s="2682" t="s">
        <v>1134</v>
      </c>
      <c r="C48" s="2683" t="s">
        <v>1135</v>
      </c>
      <c r="D48" s="2684"/>
      <c r="E48" s="2685" t="e">
        <f ca="1">LEFT(dms_SingleYear_FinalYear_Result,2)&amp;RIGHT(dms_SingleYear_FinalYear_Result,2)</f>
        <v>#REF!</v>
      </c>
      <c r="F48" s="2686" t="s">
        <v>1136</v>
      </c>
      <c r="G48" s="2687"/>
      <c r="H48" s="2688" t="s">
        <v>1137</v>
      </c>
      <c r="I48" s="2689"/>
      <c r="N48" s="2690" t="s">
        <v>1138</v>
      </c>
      <c r="O48" s="2691" t="s">
        <v>1139</v>
      </c>
      <c r="P48" s="2692" t="s">
        <v>357</v>
      </c>
      <c r="Q48" s="2692" t="s">
        <v>357</v>
      </c>
      <c r="R48" s="2692" t="s">
        <v>357</v>
      </c>
      <c r="S48" s="2692" t="s">
        <v>357</v>
      </c>
      <c r="T48" s="2693" t="s">
        <v>357</v>
      </c>
      <c r="U48" s="2694" t="s">
        <v>357</v>
      </c>
      <c r="V48" s="2695" t="s">
        <v>1140</v>
      </c>
      <c r="W48" s="2696" t="s">
        <v>1141</v>
      </c>
      <c r="X48" s="2697" t="s">
        <v>1141</v>
      </c>
      <c r="Y48" s="2698" t="s">
        <v>1142</v>
      </c>
      <c r="Z48" s="2698" t="s">
        <v>118</v>
      </c>
      <c r="AA48" s="2699" t="s">
        <v>1143</v>
      </c>
      <c r="AI48" s="4043"/>
      <c r="AJ48" s="2700" t="s">
        <v>1144</v>
      </c>
      <c r="AK48" s="2701" t="s">
        <v>1145</v>
      </c>
      <c r="AL48" s="2275"/>
    </row>
    <row r="49" spans="2:38" ht="30.75" thickBot="1">
      <c r="B49" s="2702" t="s">
        <v>293</v>
      </c>
      <c r="C49" s="2703" t="s">
        <v>294</v>
      </c>
      <c r="D49" s="2704"/>
      <c r="E49" s="2705" t="e">
        <f ca="1">LEFT(dms_SingleYear_FinalYear_Result,2)&amp;RIGHT(dms_SingleYear_FinalYear_Result,2)</f>
        <v>#REF!</v>
      </c>
      <c r="F49" s="2706" t="s">
        <v>1136</v>
      </c>
      <c r="G49" s="2687"/>
      <c r="H49" s="2688" t="s">
        <v>1137</v>
      </c>
      <c r="I49" s="2689"/>
      <c r="N49" s="2707" t="s">
        <v>1146</v>
      </c>
      <c r="O49" s="2708" t="s">
        <v>1139</v>
      </c>
      <c r="P49" s="2709" t="s">
        <v>357</v>
      </c>
      <c r="Q49" s="2709" t="s">
        <v>357</v>
      </c>
      <c r="R49" s="2709" t="s">
        <v>357</v>
      </c>
      <c r="S49" s="2709" t="s">
        <v>357</v>
      </c>
      <c r="T49" s="2710" t="s">
        <v>357</v>
      </c>
      <c r="U49" s="2711" t="s">
        <v>357</v>
      </c>
      <c r="V49" s="2712" t="s">
        <v>357</v>
      </c>
      <c r="W49" s="2696" t="s">
        <v>1141</v>
      </c>
      <c r="X49" s="2697" t="s">
        <v>1141</v>
      </c>
      <c r="Y49" s="2713" t="s">
        <v>1147</v>
      </c>
      <c r="Z49" s="2713" t="s">
        <v>1148</v>
      </c>
      <c r="AA49" s="2714"/>
      <c r="AI49" s="4044"/>
      <c r="AJ49" s="2715" t="s">
        <v>64</v>
      </c>
      <c r="AK49" s="2701" t="s">
        <v>64</v>
      </c>
      <c r="AL49" s="2275"/>
    </row>
    <row r="50" spans="2:38" ht="30">
      <c r="B50" s="2702" t="s">
        <v>296</v>
      </c>
      <c r="C50" s="2703" t="s">
        <v>296</v>
      </c>
      <c r="D50" s="2704"/>
      <c r="E50" s="2716"/>
      <c r="F50" s="2717"/>
      <c r="G50" s="2687"/>
      <c r="H50" s="2687"/>
      <c r="I50" s="2689"/>
      <c r="J50" s="2480"/>
      <c r="N50" s="2707" t="s">
        <v>1149</v>
      </c>
      <c r="O50" s="2708" t="s">
        <v>1139</v>
      </c>
      <c r="P50" s="2709" t="s">
        <v>1150</v>
      </c>
      <c r="Q50" s="2709" t="s">
        <v>1150</v>
      </c>
      <c r="R50" s="2709" t="s">
        <v>1150</v>
      </c>
      <c r="S50" s="2709" t="s">
        <v>1150</v>
      </c>
      <c r="T50" s="2710" t="s">
        <v>357</v>
      </c>
      <c r="U50" s="2711" t="s">
        <v>357</v>
      </c>
      <c r="V50" s="2712" t="s">
        <v>857</v>
      </c>
      <c r="W50" s="2696" t="s">
        <v>1151</v>
      </c>
      <c r="X50" s="2697" t="s">
        <v>1151</v>
      </c>
      <c r="Y50" s="2713" t="s">
        <v>1152</v>
      </c>
      <c r="Z50" s="2713" t="s">
        <v>1148</v>
      </c>
      <c r="AA50" s="2714"/>
      <c r="AI50" s="4042" t="s">
        <v>1145</v>
      </c>
      <c r="AJ50" s="2718" t="s">
        <v>1153</v>
      </c>
      <c r="AK50" s="2701" t="s">
        <v>1154</v>
      </c>
      <c r="AL50" s="1958"/>
    </row>
    <row r="51" spans="2:38" ht="30.75" thickBot="1">
      <c r="B51" s="2702" t="s">
        <v>298</v>
      </c>
      <c r="C51" s="2703" t="s">
        <v>299</v>
      </c>
      <c r="D51" s="2704"/>
      <c r="E51" s="2705" t="e">
        <f ca="1">LEFT(dms_SingleYear_FinalYear_Result,2)&amp;RIGHT(dms_SingleYear_FinalYear_Result,2)</f>
        <v>#REF!</v>
      </c>
      <c r="F51" s="2706" t="s">
        <v>1136</v>
      </c>
      <c r="G51" s="2687"/>
      <c r="H51" s="2688" t="s">
        <v>1137</v>
      </c>
      <c r="I51" s="2689"/>
      <c r="J51" s="2480"/>
      <c r="N51" s="2707" t="s">
        <v>1155</v>
      </c>
      <c r="O51" s="2708" t="s">
        <v>1139</v>
      </c>
      <c r="P51" s="2709" t="s">
        <v>357</v>
      </c>
      <c r="Q51" s="2709" t="s">
        <v>357</v>
      </c>
      <c r="R51" s="2709" t="s">
        <v>357</v>
      </c>
      <c r="S51" s="2709" t="s">
        <v>357</v>
      </c>
      <c r="T51" s="2710" t="s">
        <v>357</v>
      </c>
      <c r="U51" s="2711" t="s">
        <v>857</v>
      </c>
      <c r="V51" s="2712" t="s">
        <v>357</v>
      </c>
      <c r="W51" s="2696" t="s">
        <v>1151</v>
      </c>
      <c r="X51" s="2719" t="s">
        <v>1151</v>
      </c>
      <c r="Y51" s="2599"/>
      <c r="Z51" s="2713" t="s">
        <v>1148</v>
      </c>
      <c r="AA51" s="2714"/>
      <c r="AI51" s="4043"/>
      <c r="AJ51" s="2700" t="s">
        <v>1156</v>
      </c>
      <c r="AK51" s="2701" t="s">
        <v>1157</v>
      </c>
      <c r="AL51" s="1958"/>
    </row>
    <row r="52" spans="2:38">
      <c r="B52" s="2702" t="s">
        <v>301</v>
      </c>
      <c r="C52" s="2720" t="s">
        <v>302</v>
      </c>
      <c r="D52" s="2704"/>
      <c r="E52" s="2705" t="str">
        <f ca="1">LEFT(dms_MultiYear_FinalYear_Result,2)&amp;RIGHT(dms_MultiYear_FinalYear_Result,2)</f>
        <v>2022</v>
      </c>
      <c r="F52" s="2706" t="s">
        <v>1158</v>
      </c>
      <c r="G52" s="2687"/>
      <c r="H52" s="2687"/>
      <c r="I52" s="2689"/>
      <c r="J52" s="2480"/>
      <c r="N52" s="2707" t="s">
        <v>1159</v>
      </c>
      <c r="O52" s="2721" t="s">
        <v>1160</v>
      </c>
      <c r="P52" s="2709" t="s">
        <v>1161</v>
      </c>
      <c r="Q52" s="2709" t="s">
        <v>1161</v>
      </c>
      <c r="R52" s="2709" t="s">
        <v>1161</v>
      </c>
      <c r="S52" s="2709" t="s">
        <v>1161</v>
      </c>
      <c r="T52" s="2710" t="s">
        <v>1162</v>
      </c>
      <c r="U52" s="2722"/>
      <c r="V52" s="2723"/>
      <c r="W52" s="2724"/>
      <c r="X52" s="2599"/>
      <c r="Y52" s="2599"/>
      <c r="Z52" s="2713" t="s">
        <v>1148</v>
      </c>
      <c r="AA52" s="2714"/>
      <c r="AI52" s="4043"/>
      <c r="AJ52" s="2700" t="s">
        <v>1163</v>
      </c>
      <c r="AK52" s="2701" t="s">
        <v>1164</v>
      </c>
      <c r="AL52" s="1958"/>
    </row>
    <row r="53" spans="2:38">
      <c r="B53" s="2702" t="s">
        <v>303</v>
      </c>
      <c r="C53" s="2703" t="s">
        <v>295</v>
      </c>
      <c r="D53" s="2704"/>
      <c r="E53" s="2705" t="str">
        <f ca="1">LEFT(dms_MultiYear_FinalYear_Result,2)&amp;RIGHT(dms_MultiYear_FinalYear_Result,2)</f>
        <v>2022</v>
      </c>
      <c r="F53" s="2706" t="s">
        <v>1158</v>
      </c>
      <c r="G53" s="2687"/>
      <c r="H53" s="2688" t="s">
        <v>1137</v>
      </c>
      <c r="I53" s="2689"/>
      <c r="J53" s="2480"/>
      <c r="N53" s="2707" t="s">
        <v>1165</v>
      </c>
      <c r="O53" s="2721" t="s">
        <v>1160</v>
      </c>
      <c r="P53" s="2709" t="s">
        <v>1166</v>
      </c>
      <c r="Q53" s="2709" t="s">
        <v>1166</v>
      </c>
      <c r="R53" s="2709" t="s">
        <v>1166</v>
      </c>
      <c r="S53" s="2709" t="s">
        <v>1166</v>
      </c>
      <c r="T53" s="2725"/>
      <c r="U53" s="2722"/>
      <c r="V53" s="2723"/>
      <c r="W53" s="2724"/>
      <c r="X53" s="2599"/>
      <c r="Y53" s="2599"/>
      <c r="Z53" s="2713" t="s">
        <v>1167</v>
      </c>
      <c r="AA53" s="2714"/>
      <c r="AI53" s="4043"/>
      <c r="AJ53" s="2700" t="s">
        <v>1168</v>
      </c>
      <c r="AK53" s="2701" t="s">
        <v>1169</v>
      </c>
      <c r="AL53" s="1958"/>
    </row>
    <row r="54" spans="2:38" ht="15.75" thickBot="1">
      <c r="B54" s="2702" t="s">
        <v>304</v>
      </c>
      <c r="C54" s="2703" t="s">
        <v>305</v>
      </c>
      <c r="D54" s="2704"/>
      <c r="E54" s="2705" t="str">
        <f>LEFT(dms_CRCP_FinalYear_Result,2)&amp;RIGHT(dms_CRCP_FinalYear_Result,2)</f>
        <v>2017</v>
      </c>
      <c r="F54" s="2706" t="s">
        <v>1170</v>
      </c>
      <c r="G54" s="2687"/>
      <c r="H54" s="2687"/>
      <c r="I54" s="2689"/>
      <c r="J54" s="2480"/>
      <c r="N54" s="2707" t="s">
        <v>1171</v>
      </c>
      <c r="O54" s="2721" t="s">
        <v>1160</v>
      </c>
      <c r="P54" s="2709" t="s">
        <v>1161</v>
      </c>
      <c r="Q54" s="2709" t="s">
        <v>1161</v>
      </c>
      <c r="R54" s="2709" t="s">
        <v>1161</v>
      </c>
      <c r="S54" s="2709" t="s">
        <v>1161</v>
      </c>
      <c r="T54" s="2725"/>
      <c r="U54" s="2722"/>
      <c r="V54" s="2723"/>
      <c r="W54" s="2724"/>
      <c r="X54" s="2599"/>
      <c r="Y54" s="2599"/>
      <c r="Z54" s="2713" t="s">
        <v>1167</v>
      </c>
      <c r="AA54" s="2714"/>
      <c r="AI54" s="4044"/>
      <c r="AJ54" s="2726" t="s">
        <v>1172</v>
      </c>
      <c r="AK54" s="2701" t="s">
        <v>1173</v>
      </c>
      <c r="AL54" s="1958"/>
    </row>
    <row r="55" spans="2:38" ht="15.75" thickBot="1">
      <c r="B55" s="2727" t="s">
        <v>306</v>
      </c>
      <c r="C55" s="2728" t="s">
        <v>307</v>
      </c>
      <c r="D55" s="2729"/>
      <c r="E55" s="2730" t="str">
        <f ca="1">LEFT(dms_MultiYear_FinalYear_Result,2)&amp;RIGHT(dms_MultiYear_FinalYear_Result,2)</f>
        <v>2022</v>
      </c>
      <c r="F55" s="2731" t="s">
        <v>1158</v>
      </c>
      <c r="G55" s="2687"/>
      <c r="H55" s="2687"/>
      <c r="I55" s="2689"/>
      <c r="J55" s="2480"/>
      <c r="N55" s="2732" t="s">
        <v>64</v>
      </c>
      <c r="O55" s="2733"/>
      <c r="P55" s="2709" t="s">
        <v>1166</v>
      </c>
      <c r="Q55" s="2709" t="s">
        <v>1166</v>
      </c>
      <c r="R55" s="2709" t="s">
        <v>1166</v>
      </c>
      <c r="S55" s="2709" t="s">
        <v>1166</v>
      </c>
      <c r="T55" s="2725"/>
      <c r="U55" s="2722"/>
      <c r="V55" s="2723"/>
      <c r="W55" s="2734"/>
      <c r="X55" s="2599"/>
      <c r="Y55" s="2599"/>
      <c r="Z55" s="2713" t="s">
        <v>1174</v>
      </c>
      <c r="AA55" s="2714"/>
      <c r="AI55" s="2735" t="s">
        <v>64</v>
      </c>
      <c r="AJ55" s="2736" t="s">
        <v>1175</v>
      </c>
      <c r="AK55" s="2701" t="s">
        <v>1176</v>
      </c>
      <c r="AL55" s="1958"/>
    </row>
    <row r="56" spans="2:38">
      <c r="C56" s="2497"/>
      <c r="H56" s="2480"/>
      <c r="I56" s="2689"/>
      <c r="J56" s="2480"/>
      <c r="O56" s="2733"/>
      <c r="P56" s="2709" t="s">
        <v>1161</v>
      </c>
      <c r="Q56" s="2709" t="s">
        <v>1161</v>
      </c>
      <c r="R56" s="2709" t="s">
        <v>1161</v>
      </c>
      <c r="S56" s="2709" t="s">
        <v>1161</v>
      </c>
      <c r="T56" s="2725"/>
      <c r="U56" s="2722"/>
      <c r="V56" s="2723"/>
      <c r="W56" s="2734"/>
      <c r="X56" s="2599"/>
      <c r="Y56" s="2599"/>
      <c r="Z56" s="2713" t="s">
        <v>1174</v>
      </c>
      <c r="AA56" s="2714"/>
      <c r="AI56" s="2735" t="s">
        <v>1154</v>
      </c>
      <c r="AJ56" s="2737" t="s">
        <v>983</v>
      </c>
      <c r="AK56" s="2701" t="s">
        <v>1177</v>
      </c>
      <c r="AL56" s="1958"/>
    </row>
    <row r="57" spans="2:38" ht="15.75" thickBot="1">
      <c r="C57" s="2497"/>
      <c r="O57" s="2733"/>
      <c r="P57" s="2709" t="s">
        <v>357</v>
      </c>
      <c r="Q57" s="2725"/>
      <c r="R57" s="2709" t="s">
        <v>857</v>
      </c>
      <c r="S57" s="2725"/>
      <c r="T57" s="2725"/>
      <c r="U57" s="2722"/>
      <c r="V57" s="2723"/>
      <c r="W57" s="2734"/>
      <c r="X57" s="2599"/>
      <c r="Y57" s="2599"/>
      <c r="Z57" s="2713" t="s">
        <v>1178</v>
      </c>
      <c r="AA57" s="2714"/>
      <c r="AI57" s="2735" t="s">
        <v>1157</v>
      </c>
      <c r="AJ57" s="2738" t="s">
        <v>983</v>
      </c>
      <c r="AK57" s="2701" t="s">
        <v>1179</v>
      </c>
      <c r="AL57" s="1958"/>
    </row>
    <row r="58" spans="2:38">
      <c r="C58" s="2497"/>
      <c r="O58" s="2733"/>
      <c r="P58" s="2709" t="s">
        <v>357</v>
      </c>
      <c r="Q58" s="2725"/>
      <c r="R58" s="2725"/>
      <c r="S58" s="2725"/>
      <c r="T58" s="2725"/>
      <c r="U58" s="2722"/>
      <c r="V58" s="2723"/>
      <c r="W58" s="2734"/>
      <c r="X58" s="2599"/>
      <c r="Y58" s="2599"/>
      <c r="Z58" s="2713" t="s">
        <v>1178</v>
      </c>
      <c r="AA58" s="2714"/>
      <c r="AI58" s="4042" t="s">
        <v>1164</v>
      </c>
      <c r="AJ58" s="2739" t="s">
        <v>1180</v>
      </c>
      <c r="AK58" s="2701" t="s">
        <v>1181</v>
      </c>
      <c r="AL58" s="1958"/>
    </row>
    <row r="59" spans="2:38" ht="15.75" thickBot="1">
      <c r="C59" s="2497"/>
      <c r="O59" s="2733"/>
      <c r="P59" s="2709" t="s">
        <v>357</v>
      </c>
      <c r="Q59" s="2725"/>
      <c r="R59" s="2725"/>
      <c r="S59" s="2725"/>
      <c r="T59" s="2725"/>
      <c r="U59" s="2722"/>
      <c r="V59" s="2723"/>
      <c r="W59" s="2734"/>
      <c r="X59" s="2599"/>
      <c r="Y59" s="2599"/>
      <c r="Z59" s="2713" t="s">
        <v>1182</v>
      </c>
      <c r="AA59" s="2714"/>
      <c r="AI59" s="4043"/>
      <c r="AJ59" s="2740" t="s">
        <v>1183</v>
      </c>
      <c r="AK59" s="2701" t="s">
        <v>1184</v>
      </c>
      <c r="AL59" s="1958"/>
    </row>
    <row r="60" spans="2:38" ht="15.75" thickBot="1">
      <c r="C60" s="2497"/>
      <c r="O60" s="2741"/>
      <c r="P60" s="2742" t="s">
        <v>857</v>
      </c>
      <c r="Q60" s="2743"/>
      <c r="R60" s="2743"/>
      <c r="S60" s="2743"/>
      <c r="T60" s="2743"/>
      <c r="U60" s="2744"/>
      <c r="V60" s="2745"/>
      <c r="W60" s="2734"/>
      <c r="X60" s="2599"/>
      <c r="Y60" s="2599"/>
      <c r="Z60" s="2713" t="s">
        <v>1143</v>
      </c>
      <c r="AA60" s="2714"/>
      <c r="AI60" s="2746" t="s">
        <v>1169</v>
      </c>
      <c r="AJ60" s="2718" t="s">
        <v>1185</v>
      </c>
      <c r="AK60" s="2701" t="s">
        <v>1186</v>
      </c>
      <c r="AL60" s="1958"/>
    </row>
    <row r="61" spans="2:38" ht="15.75" thickBot="1">
      <c r="C61" s="2497"/>
      <c r="T61" s="2747"/>
      <c r="W61" s="2748"/>
      <c r="X61" s="2749"/>
      <c r="Y61" s="2749"/>
      <c r="Z61" s="2750" t="s">
        <v>1182</v>
      </c>
      <c r="AA61" s="2751"/>
      <c r="AD61" s="2480" t="s">
        <v>1187</v>
      </c>
      <c r="AI61" s="2752"/>
      <c r="AJ61" s="2753" t="s">
        <v>64</v>
      </c>
      <c r="AK61" s="2701" t="s">
        <v>1188</v>
      </c>
      <c r="AL61" s="1958"/>
    </row>
    <row r="62" spans="2:38" ht="15.75" thickBot="1">
      <c r="C62" s="2497"/>
      <c r="T62" s="2754"/>
      <c r="W62" s="2755"/>
      <c r="X62" s="2756"/>
      <c r="Y62" s="2756"/>
      <c r="Z62" s="2756"/>
      <c r="AA62" s="2757"/>
      <c r="AI62" s="2752"/>
      <c r="AJ62" s="2753" t="s">
        <v>1189</v>
      </c>
      <c r="AK62" s="2758" t="s">
        <v>1190</v>
      </c>
      <c r="AL62" s="1958"/>
    </row>
    <row r="63" spans="2:38" ht="15.75" thickBot="1">
      <c r="C63" s="2497"/>
      <c r="T63" s="2759"/>
      <c r="W63" s="2755"/>
      <c r="X63" s="2756"/>
      <c r="Y63" s="2756"/>
      <c r="Z63" s="2756"/>
      <c r="AA63" s="2757"/>
      <c r="AI63" s="2752"/>
      <c r="AJ63" s="2753" t="s">
        <v>1191</v>
      </c>
      <c r="AK63" s="2760"/>
      <c r="AL63" s="1958"/>
    </row>
    <row r="64" spans="2:38" ht="58.5" customHeight="1" thickBot="1">
      <c r="B64" s="2761" t="s">
        <v>1192</v>
      </c>
      <c r="C64" s="2761" t="s">
        <v>1193</v>
      </c>
      <c r="E64" s="1958" t="s">
        <v>1194</v>
      </c>
      <c r="T64" s="2762"/>
      <c r="W64" s="4045" t="s">
        <v>1195</v>
      </c>
      <c r="X64" s="4046"/>
      <c r="Y64" s="4046"/>
      <c r="Z64" s="4047"/>
      <c r="AA64" s="2757"/>
      <c r="AI64" s="2763"/>
      <c r="AJ64" s="2764" t="s">
        <v>1196</v>
      </c>
      <c r="AK64" s="2760"/>
      <c r="AL64" s="1958"/>
    </row>
    <row r="65" spans="2:38" ht="30.75" thickBot="1">
      <c r="B65" s="2765" t="s">
        <v>1197</v>
      </c>
      <c r="C65" s="2765" t="s">
        <v>1198</v>
      </c>
      <c r="E65" s="2766" t="s">
        <v>1199</v>
      </c>
      <c r="F65" s="2767" t="s">
        <v>1200</v>
      </c>
      <c r="G65" s="2766" t="s">
        <v>1201</v>
      </c>
      <c r="H65" s="2767" t="s">
        <v>1202</v>
      </c>
      <c r="I65" s="2768" t="s">
        <v>1203</v>
      </c>
      <c r="J65" s="2769"/>
      <c r="K65" s="2770" t="s">
        <v>1204</v>
      </c>
      <c r="L65" s="2770"/>
      <c r="M65" s="2771" t="s">
        <v>1205</v>
      </c>
      <c r="T65" s="2772"/>
      <c r="W65" s="2773" t="s">
        <v>1127</v>
      </c>
      <c r="X65" s="2774"/>
      <c r="Y65" s="2775" t="s">
        <v>1129</v>
      </c>
      <c r="Z65" s="2776" t="s">
        <v>1130</v>
      </c>
      <c r="AA65" s="2757"/>
      <c r="AI65" s="2735" t="s">
        <v>1173</v>
      </c>
      <c r="AJ65" s="2777" t="s">
        <v>1173</v>
      </c>
      <c r="AK65" s="2760"/>
      <c r="AL65" s="1958"/>
    </row>
    <row r="66" spans="2:38">
      <c r="B66" s="2778" t="s">
        <v>705</v>
      </c>
      <c r="C66" s="2779" t="s">
        <v>687</v>
      </c>
      <c r="E66" s="2780">
        <v>1</v>
      </c>
      <c r="F66" s="2781" t="s">
        <v>1206</v>
      </c>
      <c r="G66" s="2780">
        <v>1</v>
      </c>
      <c r="H66" s="2781" t="s">
        <v>1207</v>
      </c>
      <c r="I66" s="2782" t="str">
        <f>FRCP_y1</f>
        <v>2018</v>
      </c>
      <c r="J66" s="2783" t="s">
        <v>1206</v>
      </c>
      <c r="K66" s="2784">
        <f>IF(dms_RPT="financial",VALUE(LEFT(dms_FRCP_y1,4)-1)&amp;"-"&amp;TEXT(VALUE(MID(dms_FRCP_y1,3,2)),"00"),VALUE(LEFT(dms_FRCP_y1,4)-1))</f>
        <v>2017</v>
      </c>
      <c r="L66" s="2785" t="s">
        <v>1208</v>
      </c>
      <c r="M66" s="2786">
        <v>1</v>
      </c>
      <c r="W66" s="2787" t="s">
        <v>118</v>
      </c>
      <c r="X66" s="2788"/>
      <c r="Y66" s="2789" t="s">
        <v>1148</v>
      </c>
      <c r="Z66" s="2790" t="s">
        <v>1143</v>
      </c>
      <c r="AA66" s="2757"/>
      <c r="AI66" s="2791" t="s">
        <v>1176</v>
      </c>
      <c r="AJ66" s="2739" t="s">
        <v>1209</v>
      </c>
      <c r="AK66" s="2760"/>
      <c r="AL66" s="1958"/>
    </row>
    <row r="67" spans="2:38">
      <c r="B67" s="2792" t="s">
        <v>703</v>
      </c>
      <c r="C67" s="2793" t="s">
        <v>685</v>
      </c>
      <c r="E67" s="2794">
        <v>2</v>
      </c>
      <c r="F67" s="2795" t="s">
        <v>1210</v>
      </c>
      <c r="G67" s="2794">
        <v>2</v>
      </c>
      <c r="H67" s="2795" t="s">
        <v>1211</v>
      </c>
      <c r="I67" s="2796">
        <f>IF(dms_RPT="financial",VALUE(LEFT(dms_FRCP_y1,4)+1)&amp;"-"&amp;TEXT(VALUE(RIGHT(dms_FRCP_y1,2)+1),"00"),VALUE(LEFT(dms_FRCP_y1,4)+1))</f>
        <v>2019</v>
      </c>
      <c r="J67" s="2797" t="s">
        <v>1210</v>
      </c>
      <c r="K67" s="2798">
        <f>IF(dms_RPT="financial",VALUE(LEFT(dms_CRCP_yZ,4)-1)&amp;"-"&amp;TEXT(VALUE(MID(dms_CRCP_yZ,3,2)),"00"),VALUE(LEFT(dms_CRCP_yZ,4)-1))</f>
        <v>2016</v>
      </c>
      <c r="L67" s="2799" t="s">
        <v>1212</v>
      </c>
      <c r="M67" s="2800">
        <v>2</v>
      </c>
      <c r="W67" s="2801" t="s">
        <v>1213</v>
      </c>
      <c r="X67" s="2599"/>
      <c r="Y67" s="2713" t="s">
        <v>1167</v>
      </c>
      <c r="Z67" s="2802" t="s">
        <v>118</v>
      </c>
      <c r="AA67" s="2757"/>
      <c r="AI67" s="2803"/>
      <c r="AJ67" s="2753" t="s">
        <v>1214</v>
      </c>
      <c r="AK67" s="2760"/>
      <c r="AL67" s="1958"/>
    </row>
    <row r="68" spans="2:38" ht="15.75" thickBot="1">
      <c r="B68" s="2792" t="s">
        <v>704</v>
      </c>
      <c r="C68" s="2804" t="s">
        <v>696</v>
      </c>
      <c r="E68" s="2794">
        <v>3</v>
      </c>
      <c r="F68" s="2795" t="s">
        <v>1215</v>
      </c>
      <c r="G68" s="2794">
        <v>3</v>
      </c>
      <c r="H68" s="2795" t="s">
        <v>1216</v>
      </c>
      <c r="I68" s="2796">
        <f>IF(dms_RPT="financial",VALUE(LEFT(dms_FRCP_y2,4)+1)&amp;"-"&amp;TEXT(VALUE(RIGHT(dms_FRCP_y2,2)+1),"00"),VALUE(LEFT(dms_FRCP_y2,4)+1))</f>
        <v>2020</v>
      </c>
      <c r="J68" s="2797" t="s">
        <v>1215</v>
      </c>
      <c r="K68" s="2798">
        <f>IF(dms_RPT="financial",VALUE(LEFT(dms_CRCP_yY,4)-1)&amp;"-"&amp;TEXT(VALUE(MID(dms_CRCP_yY,3,2)),"00"),VALUE(LEFT(dms_CRCP_yY,4)-1))</f>
        <v>2015</v>
      </c>
      <c r="L68" s="2799" t="s">
        <v>1217</v>
      </c>
      <c r="M68" s="2800">
        <v>3</v>
      </c>
      <c r="W68" s="2801" t="s">
        <v>1213</v>
      </c>
      <c r="X68" s="2599"/>
      <c r="Y68" s="2713" t="s">
        <v>1174</v>
      </c>
      <c r="Z68" s="2802" t="s">
        <v>1143</v>
      </c>
      <c r="AA68" s="2757"/>
      <c r="AI68" s="2803"/>
      <c r="AJ68" s="2753" t="s">
        <v>1218</v>
      </c>
      <c r="AK68" s="2760"/>
      <c r="AL68" s="1958"/>
    </row>
    <row r="69" spans="2:38" ht="15.75" thickBot="1">
      <c r="B69" s="2792" t="s">
        <v>1219</v>
      </c>
      <c r="C69" s="2480"/>
      <c r="E69" s="2794">
        <v>4</v>
      </c>
      <c r="F69" s="2795" t="s">
        <v>1220</v>
      </c>
      <c r="G69" s="2794">
        <v>4</v>
      </c>
      <c r="H69" s="2795" t="s">
        <v>1221</v>
      </c>
      <c r="I69" s="2796">
        <f>IF(dms_RPT="financial",VALUE(LEFT(dms_FRCP_y3,4)+1)&amp;"-"&amp;TEXT(VALUE(RIGHT(dms_FRCP_y3,2)+1),"00"),VALUE(LEFT(dms_FRCP_y3,4)+1))</f>
        <v>2021</v>
      </c>
      <c r="J69" s="2797" t="s">
        <v>1220</v>
      </c>
      <c r="K69" s="2798">
        <f>IF(dms_RPT="financial",VALUE(LEFT(dms_CRCP_yX,4)-1)&amp;"-"&amp;TEXT(VALUE(MID(dms_CRCP_yX,3,2)),"00"),VALUE(LEFT(dms_CRCP_yX,4)-1))</f>
        <v>2014</v>
      </c>
      <c r="L69" s="2799" t="s">
        <v>1222</v>
      </c>
      <c r="M69" s="2800">
        <v>4</v>
      </c>
      <c r="W69" s="2801" t="s">
        <v>118</v>
      </c>
      <c r="X69" s="2599"/>
      <c r="Y69" s="2713" t="s">
        <v>1178</v>
      </c>
      <c r="Z69" s="2802" t="s">
        <v>1213</v>
      </c>
      <c r="AA69" s="2757"/>
      <c r="AI69" s="2803"/>
      <c r="AJ69" s="2764" t="s">
        <v>1223</v>
      </c>
      <c r="AK69" s="2760"/>
      <c r="AL69" s="1958"/>
    </row>
    <row r="70" spans="2:38">
      <c r="B70" s="2792" t="s">
        <v>1224</v>
      </c>
      <c r="E70" s="2794">
        <v>5</v>
      </c>
      <c r="F70" s="2795" t="s">
        <v>1225</v>
      </c>
      <c r="G70" s="2794">
        <v>5</v>
      </c>
      <c r="H70" s="2795" t="s">
        <v>1226</v>
      </c>
      <c r="I70" s="2796">
        <f>IF(dms_RPT="financial",VALUE(LEFT(dms_FRCP_y4,4)+1)&amp;"-"&amp;TEXT(VALUE(RIGHT(dms_FRCP_y4,2)+1),"00"),VALUE(LEFT(dms_FRCP_y4,4)+1))</f>
        <v>2022</v>
      </c>
      <c r="J70" s="2797" t="s">
        <v>1225</v>
      </c>
      <c r="K70" s="2798">
        <f>IF(dms_RPT="financial",VALUE(LEFT(dms_CRCP_yW,4)-1)&amp;"-"&amp;TEXT(VALUE(MID(dms_CRCP_yW,3,2)),"00"),VALUE(LEFT(dms_CRCP_yW,4)-1))</f>
        <v>2013</v>
      </c>
      <c r="L70" s="2799" t="s">
        <v>1227</v>
      </c>
      <c r="M70" s="2800">
        <v>5</v>
      </c>
      <c r="W70" s="2801" t="s">
        <v>1213</v>
      </c>
      <c r="X70" s="2599"/>
      <c r="Y70" s="2713" t="s">
        <v>1148</v>
      </c>
      <c r="Z70" s="2600"/>
      <c r="AA70" s="2757"/>
      <c r="AI70" s="2805" t="s">
        <v>1177</v>
      </c>
      <c r="AJ70" s="2275"/>
      <c r="AK70" s="2760"/>
      <c r="AL70" s="1958"/>
    </row>
    <row r="71" spans="2:38">
      <c r="B71" s="2792" t="s">
        <v>1228</v>
      </c>
      <c r="E71" s="2794">
        <v>6</v>
      </c>
      <c r="F71" s="2795" t="s">
        <v>1229</v>
      </c>
      <c r="G71" s="2794">
        <v>6</v>
      </c>
      <c r="H71" s="2795" t="s">
        <v>1230</v>
      </c>
      <c r="I71" s="2796">
        <f>IF(dms_RPT="financial",VALUE(LEFT(dms_FRCP_y5,4)+1)&amp;"-"&amp;TEXT(VALUE(RIGHT(dms_FRCP_y5,2)+1),"00"),VALUE(LEFT(dms_FRCP_y5,4)+1))</f>
        <v>2023</v>
      </c>
      <c r="J71" s="2797" t="s">
        <v>1229</v>
      </c>
      <c r="K71" s="2798">
        <f>IF(dms_RPT="financial",VALUE(LEFT(dms_CRCP_yV,4)-1)&amp;"-"&amp;TEXT(VALUE(MID(dms_CRCP_yV,3,2)),"00"),VALUE(LEFT(dms_CRCP_yV,4)-1))</f>
        <v>2012</v>
      </c>
      <c r="L71" s="2799" t="s">
        <v>1231</v>
      </c>
      <c r="M71" s="2800">
        <v>6</v>
      </c>
      <c r="W71" s="2801" t="s">
        <v>1213</v>
      </c>
      <c r="X71" s="2599"/>
      <c r="Y71" s="2713" t="s">
        <v>1143</v>
      </c>
      <c r="Z71" s="2600"/>
      <c r="AA71" s="2757"/>
      <c r="AI71" s="2806" t="s">
        <v>1179</v>
      </c>
      <c r="AJ71" s="2275"/>
      <c r="AK71" s="2760"/>
      <c r="AL71" s="1958"/>
    </row>
    <row r="72" spans="2:38">
      <c r="B72" s="2792" t="s">
        <v>1232</v>
      </c>
      <c r="E72" s="2794">
        <v>7</v>
      </c>
      <c r="F72" s="2795" t="s">
        <v>1233</v>
      </c>
      <c r="G72" s="2794">
        <v>7</v>
      </c>
      <c r="H72" s="2795" t="s">
        <v>1234</v>
      </c>
      <c r="I72" s="2796">
        <f>IF(dms_RPT="financial",VALUE(LEFT(dms_FRCP_y6,4)+1)&amp;"-"&amp;TEXT(VALUE(RIGHT(dms_FRCP_y6,2)+1),"00"),VALUE(LEFT(dms_FRCP_y6,4)+1))</f>
        <v>2024</v>
      </c>
      <c r="J72" s="2797" t="s">
        <v>1233</v>
      </c>
      <c r="K72" s="2798">
        <f>IF(dms_RPT="financial",VALUE(LEFT(dms_CRCP_yU,4)-1)&amp;"-"&amp;TEXT(VALUE(MID(dms_CRCP_yU,3,2)),"00"),VALUE(LEFT(dms_CRCP_yU,4)-1))</f>
        <v>2011</v>
      </c>
      <c r="L72" s="2799" t="s">
        <v>1235</v>
      </c>
      <c r="M72" s="2800">
        <v>7</v>
      </c>
      <c r="W72" s="2801" t="s">
        <v>118</v>
      </c>
      <c r="X72" s="2599"/>
      <c r="Y72" s="2713" t="s">
        <v>1143</v>
      </c>
      <c r="Z72" s="2600"/>
      <c r="AA72" s="2757"/>
      <c r="AI72" s="2807" t="s">
        <v>1181</v>
      </c>
      <c r="AJ72" s="2275"/>
      <c r="AK72" s="2275"/>
      <c r="AL72" s="1958"/>
    </row>
    <row r="73" spans="2:38">
      <c r="B73" s="2792" t="s">
        <v>1236</v>
      </c>
      <c r="E73" s="2794">
        <v>8</v>
      </c>
      <c r="F73" s="2795" t="s">
        <v>1237</v>
      </c>
      <c r="G73" s="2794">
        <v>8</v>
      </c>
      <c r="H73" s="2795" t="s">
        <v>1238</v>
      </c>
      <c r="I73" s="2796">
        <f>IF(dms_RPT="financial",VALUE(LEFT(dms_FRCP_y7,4)+1)&amp;"-"&amp;TEXT(VALUE(RIGHT(dms_FRCP_y7,2)+1),"00"),VALUE(LEFT(dms_FRCP_y7,4)+1))</f>
        <v>2025</v>
      </c>
      <c r="J73" s="2797" t="s">
        <v>1237</v>
      </c>
      <c r="K73" s="2798">
        <f>IF(dms_RPT="financial",VALUE(LEFT(dms_CRCP_yT,4)-1)&amp;"-"&amp;TEXT(VALUE(MID(dms_CRCP_yT,3,2)),"00"),VALUE(LEFT(dms_CRCP_yT,4)-1))</f>
        <v>2010</v>
      </c>
      <c r="L73" s="2799" t="s">
        <v>1239</v>
      </c>
      <c r="M73" s="2800">
        <v>8</v>
      </c>
      <c r="W73" s="2801" t="s">
        <v>1213</v>
      </c>
      <c r="X73" s="2599"/>
      <c r="Y73" s="2713" t="s">
        <v>1148</v>
      </c>
      <c r="Z73" s="2600"/>
      <c r="AA73" s="2757"/>
      <c r="AI73" s="2807" t="s">
        <v>1184</v>
      </c>
      <c r="AJ73" s="2275"/>
      <c r="AK73" s="2275"/>
      <c r="AL73" s="1958"/>
    </row>
    <row r="74" spans="2:38">
      <c r="B74" s="2792" t="s">
        <v>1240</v>
      </c>
      <c r="E74" s="2794">
        <v>9</v>
      </c>
      <c r="F74" s="2795" t="s">
        <v>1241</v>
      </c>
      <c r="G74" s="2794">
        <v>9</v>
      </c>
      <c r="H74" s="2795" t="s">
        <v>1242</v>
      </c>
      <c r="I74" s="2796">
        <f>IF(dms_RPT="financial",VALUE(LEFT(dms_FRCP_y8,4)+1)&amp;"-"&amp;TEXT(VALUE(RIGHT(dms_FRCP_y8,2)+1),"00"),VALUE(LEFT(dms_FRCP_y8,4)+1))</f>
        <v>2026</v>
      </c>
      <c r="J74" s="2797" t="s">
        <v>1241</v>
      </c>
      <c r="K74" s="2798">
        <f>IF(dms_RPT="financial",VALUE(LEFT(dms_CRCP_yS,4)-1)&amp;"-"&amp;TEXT(VALUE(MID(dms_CRCP_yS,3,2)),"00"),VALUE(LEFT(dms_CRCP_yS,4)-1))</f>
        <v>2009</v>
      </c>
      <c r="L74" s="2799" t="s">
        <v>1243</v>
      </c>
      <c r="M74" s="2800">
        <v>9</v>
      </c>
      <c r="W74" s="2801" t="s">
        <v>1213</v>
      </c>
      <c r="X74" s="2599"/>
      <c r="Y74" s="2599"/>
      <c r="Z74" s="2600"/>
      <c r="AA74" s="2757"/>
      <c r="AI74" s="2807" t="s">
        <v>1186</v>
      </c>
      <c r="AJ74" s="2275"/>
      <c r="AK74" s="2275"/>
      <c r="AL74" s="1958"/>
    </row>
    <row r="75" spans="2:38">
      <c r="B75" s="2792" t="s">
        <v>1244</v>
      </c>
      <c r="E75" s="2808">
        <v>10</v>
      </c>
      <c r="F75" s="2809" t="s">
        <v>1245</v>
      </c>
      <c r="G75" s="2808">
        <v>10</v>
      </c>
      <c r="H75" s="2809" t="s">
        <v>1246</v>
      </c>
      <c r="I75" s="2796">
        <f>IF(dms_RPT="financial",VALUE(LEFT(dms_FRCP_y9,4)+1)&amp;"-"&amp;TEXT(VALUE(RIGHT(dms_FRCP_y9,2)+1),"00"),VALUE(LEFT(dms_FRCP_y9,4)+1))</f>
        <v>2027</v>
      </c>
      <c r="J75" s="2797" t="s">
        <v>1245</v>
      </c>
      <c r="K75" s="2798">
        <f>IF(dms_RPT="financial",VALUE(LEFT(dms_CRCP_yR,4)-1)&amp;"-"&amp;TEXT(VALUE(MID(dms_CRCP_yR,3,2)),"00"),VALUE(LEFT(dms_CRCP_yR,4)-1))</f>
        <v>2008</v>
      </c>
      <c r="L75" s="2799" t="s">
        <v>1247</v>
      </c>
      <c r="M75" s="2800">
        <v>10</v>
      </c>
      <c r="W75" s="2801" t="s">
        <v>118</v>
      </c>
      <c r="X75" s="2599"/>
      <c r="Y75" s="2599"/>
      <c r="Z75" s="2600"/>
      <c r="AA75" s="2757"/>
      <c r="AI75" s="2807" t="s">
        <v>1188</v>
      </c>
      <c r="AJ75" s="2275"/>
      <c r="AK75" s="2275"/>
      <c r="AL75" s="1958"/>
    </row>
    <row r="76" spans="2:38" ht="15.75" thickBot="1">
      <c r="B76" s="2792" t="s">
        <v>332</v>
      </c>
      <c r="E76" s="2794">
        <v>11</v>
      </c>
      <c r="F76" s="2809" t="s">
        <v>1248</v>
      </c>
      <c r="G76" s="2794">
        <v>11</v>
      </c>
      <c r="H76" s="2809" t="s">
        <v>1249</v>
      </c>
      <c r="I76" s="2796">
        <f>IF(dms_RPT="financial",VALUE(LEFT(dms_FRCP_y10,4)+1)&amp;"-"&amp;TEXT(VALUE(RIGHT(dms_FRCP_y10,2)+1),"00"),VALUE(LEFT(dms_FRCP_y10,4)+1))</f>
        <v>2028</v>
      </c>
      <c r="J76" s="2797" t="s">
        <v>1248</v>
      </c>
      <c r="K76" s="2798">
        <f>IF(dms_RPT="financial",VALUE(LEFT(dms_CRCP_yQ,4)-1)&amp;"-"&amp;TEXT(VALUE(MID(dms_CRCP_yQ,3,2)),"00"),VALUE(LEFT(dms_CRCP_yQ,4)-1))</f>
        <v>2007</v>
      </c>
      <c r="L76" s="2799" t="s">
        <v>1250</v>
      </c>
      <c r="M76" s="2800">
        <v>11</v>
      </c>
      <c r="W76" s="2801" t="s">
        <v>1213</v>
      </c>
      <c r="X76" s="2599"/>
      <c r="Y76" s="2599"/>
      <c r="Z76" s="2600"/>
      <c r="AA76" s="2757"/>
      <c r="AI76" s="2810" t="s">
        <v>1190</v>
      </c>
      <c r="AJ76" s="2275"/>
      <c r="AK76" s="2275"/>
      <c r="AL76" s="1958"/>
    </row>
    <row r="77" spans="2:38">
      <c r="B77" s="2811" t="s">
        <v>782</v>
      </c>
      <c r="E77" s="2794">
        <v>12</v>
      </c>
      <c r="F77" s="2809" t="s">
        <v>1251</v>
      </c>
      <c r="G77" s="2794">
        <v>12</v>
      </c>
      <c r="H77" s="2809" t="s">
        <v>1252</v>
      </c>
      <c r="I77" s="2796">
        <f>IF(dms_RPT="financial",VALUE(LEFT(dms_FRCP_y11,4)+1)&amp;"-"&amp;TEXT(VALUE(RIGHT(dms_FRCP_y11,2)+1),"00"),VALUE(LEFT(dms_FRCP_y11,4)+1))</f>
        <v>2029</v>
      </c>
      <c r="J77" s="2797" t="s">
        <v>1251</v>
      </c>
      <c r="K77" s="2798">
        <f>IF(dms_RPT="financial",VALUE(LEFT(dms_CRCP_yP,4)-1)&amp;"-"&amp;TEXT(VALUE(MID(dms_CRCP_yP,3,2)),"00"),VALUE(LEFT(dms_CRCP_yP,4)-1))</f>
        <v>2006</v>
      </c>
      <c r="L77" s="2799" t="s">
        <v>1253</v>
      </c>
      <c r="M77" s="2800">
        <v>12</v>
      </c>
      <c r="W77" s="2801" t="s">
        <v>118</v>
      </c>
      <c r="X77" s="2599"/>
      <c r="Y77" s="2599"/>
      <c r="Z77" s="2600"/>
      <c r="AA77" s="2757"/>
    </row>
    <row r="78" spans="2:38" ht="15.75" thickBot="1">
      <c r="B78" s="2812" t="s">
        <v>702</v>
      </c>
      <c r="E78" s="2808">
        <v>13</v>
      </c>
      <c r="F78" s="2809" t="s">
        <v>1254</v>
      </c>
      <c r="G78" s="2808">
        <v>13</v>
      </c>
      <c r="H78" s="2809" t="s">
        <v>1255</v>
      </c>
      <c r="I78" s="2796">
        <f>IF(dms_RPT="financial",VALUE(LEFT(dms_FRCP_y12,4)+1)&amp;"-"&amp;TEXT(VALUE(RIGHT(dms_FRCP_y12,2)+1),"00"),VALUE(LEFT(dms_FRCP_y12,4)+1))</f>
        <v>2030</v>
      </c>
      <c r="J78" s="2797" t="s">
        <v>1254</v>
      </c>
      <c r="K78" s="2798">
        <f>IF(dms_RPT="financial",VALUE(LEFT(dms_CRCP_yO,4)-1)&amp;"-"&amp;TEXT(VALUE(MID(dms_CRCP_yO,3,2)),"00"),VALUE(LEFT(dms_CRCP_yO,4)-1))</f>
        <v>2005</v>
      </c>
      <c r="L78" s="2799" t="s">
        <v>1256</v>
      </c>
      <c r="M78" s="2800">
        <v>13</v>
      </c>
      <c r="W78" s="2801" t="s">
        <v>1213</v>
      </c>
      <c r="X78" s="2599"/>
      <c r="Y78" s="2599"/>
      <c r="Z78" s="2600"/>
      <c r="AA78" s="2757"/>
    </row>
    <row r="79" spans="2:38">
      <c r="B79" s="2275"/>
      <c r="E79" s="2794">
        <v>14</v>
      </c>
      <c r="F79" s="2809" t="s">
        <v>1257</v>
      </c>
      <c r="G79" s="2794">
        <v>14</v>
      </c>
      <c r="H79" s="2809" t="s">
        <v>1258</v>
      </c>
      <c r="I79" s="2796">
        <f>IF(dms_RPT="financial",VALUE(LEFT(dms_FRCP_y13,4)+1)&amp;"-"&amp;TEXT(VALUE(RIGHT(dms_FRCP_y13,2)+1),"00"),VALUE(LEFT(dms_FRCP_y13,4)+1))</f>
        <v>2031</v>
      </c>
      <c r="J79" s="2797" t="s">
        <v>1257</v>
      </c>
      <c r="K79" s="2798">
        <f>IF(dms_RPT="financial",VALUE(LEFT(dms_CRCP_yN,4)-1)&amp;"-"&amp;TEXT(VALUE(MID(dms_CRCP_yN,3,2)),"00"),VALUE(LEFT(dms_CRCP_yN,4)-1))</f>
        <v>2004</v>
      </c>
      <c r="L79" s="2799" t="s">
        <v>1259</v>
      </c>
      <c r="M79" s="2800">
        <v>14</v>
      </c>
      <c r="W79" s="2801" t="s">
        <v>118</v>
      </c>
      <c r="X79" s="2599"/>
      <c r="Y79" s="2599"/>
      <c r="Z79" s="2600"/>
      <c r="AA79" s="2757"/>
    </row>
    <row r="80" spans="2:38" ht="15.75" thickBot="1">
      <c r="B80" s="2275"/>
      <c r="E80" s="2794">
        <v>15</v>
      </c>
      <c r="F80" s="2809" t="s">
        <v>1260</v>
      </c>
      <c r="G80" s="2794">
        <v>15</v>
      </c>
      <c r="H80" s="2809" t="s">
        <v>1261</v>
      </c>
      <c r="I80" s="2796">
        <f>IF(dms_RPT="financial",VALUE(LEFT(dms_FRCP_y14,4)+1)&amp;"-"&amp;TEXT(VALUE(RIGHT(dms_FRCP_y14,2)+1),"00"),VALUE(LEFT(dms_FRCP_y14,4)+1))</f>
        <v>2032</v>
      </c>
      <c r="J80" s="2797" t="s">
        <v>1260</v>
      </c>
      <c r="K80" s="2798">
        <f>IF(dms_RPT="financial",VALUE(LEFT(dms_CRCP_yM,4)-1)&amp;"-"&amp;TEXT(VALUE(MID(dms_CRCP_yM,3,2)),"00"),VALUE(LEFT(dms_CRCP_yM,4)-1))</f>
        <v>2003</v>
      </c>
      <c r="L80" s="2799" t="s">
        <v>1262</v>
      </c>
      <c r="M80" s="2800">
        <v>15</v>
      </c>
      <c r="W80" s="2813" t="s">
        <v>1213</v>
      </c>
      <c r="X80" s="2814"/>
      <c r="Y80" s="2814"/>
      <c r="Z80" s="2815"/>
      <c r="AA80" s="2816"/>
    </row>
    <row r="81" spans="1:13">
      <c r="B81" s="2275"/>
      <c r="E81" s="2817"/>
      <c r="F81" s="2818"/>
      <c r="G81" s="2818"/>
      <c r="H81" s="2819"/>
      <c r="I81" s="2820"/>
      <c r="J81" s="2819"/>
      <c r="K81" s="2819"/>
      <c r="L81" s="2821"/>
      <c r="M81" s="2818"/>
    </row>
    <row r="82" spans="1:13" ht="15.75" thickBot="1">
      <c r="E82" s="4023" t="s">
        <v>1263</v>
      </c>
      <c r="F82" s="4023"/>
      <c r="G82" s="4023"/>
      <c r="H82" s="4023"/>
      <c r="I82" s="4023"/>
      <c r="J82" s="4023"/>
      <c r="K82" s="4023"/>
      <c r="L82" s="4023"/>
      <c r="M82" s="2818"/>
    </row>
    <row r="83" spans="1:13" ht="15.75" customHeight="1" thickBot="1">
      <c r="A83" s="2275"/>
      <c r="B83" s="2822" t="s">
        <v>1264</v>
      </c>
      <c r="C83" s="2275"/>
      <c r="E83" s="2823" t="s">
        <v>1265</v>
      </c>
      <c r="F83" s="2824" t="s">
        <v>1266</v>
      </c>
      <c r="G83" s="2824" t="s">
        <v>1267</v>
      </c>
      <c r="H83" s="2824" t="s">
        <v>1268</v>
      </c>
      <c r="I83" s="2825" t="s">
        <v>1269</v>
      </c>
      <c r="J83" s="2826" t="s">
        <v>1270</v>
      </c>
      <c r="K83" s="2827" t="s">
        <v>1271</v>
      </c>
      <c r="L83" s="2827" t="s">
        <v>1272</v>
      </c>
      <c r="M83" s="2818"/>
    </row>
    <row r="84" spans="1:13">
      <c r="A84" s="2275"/>
      <c r="B84" s="2828" t="s">
        <v>56</v>
      </c>
      <c r="C84" s="2275"/>
      <c r="E84" s="2829" t="s">
        <v>1273</v>
      </c>
      <c r="F84" s="2830" t="s">
        <v>101</v>
      </c>
      <c r="G84" s="2831">
        <v>2007</v>
      </c>
      <c r="H84" s="2832" t="s">
        <v>1274</v>
      </c>
      <c r="I84" s="2833" t="s">
        <v>1275</v>
      </c>
      <c r="J84" s="2834" t="s">
        <v>111</v>
      </c>
      <c r="K84" s="2835" t="s">
        <v>766</v>
      </c>
      <c r="L84" s="2836" t="s">
        <v>1276</v>
      </c>
      <c r="M84" s="2818"/>
    </row>
    <row r="85" spans="1:13">
      <c r="A85" s="2275"/>
      <c r="B85" s="2837" t="s">
        <v>410</v>
      </c>
      <c r="C85" s="2275"/>
      <c r="E85" s="2838" t="s">
        <v>1277</v>
      </c>
      <c r="F85" s="2830" t="s">
        <v>102</v>
      </c>
      <c r="G85" s="2831" t="s">
        <v>767</v>
      </c>
      <c r="H85" s="2839" t="s">
        <v>1278</v>
      </c>
      <c r="I85" s="2840" t="s">
        <v>1279</v>
      </c>
      <c r="J85" s="2841" t="s">
        <v>112</v>
      </c>
      <c r="K85" s="2835" t="s">
        <v>758</v>
      </c>
      <c r="L85" s="2842" t="s">
        <v>1280</v>
      </c>
      <c r="M85" s="2818"/>
    </row>
    <row r="86" spans="1:13">
      <c r="A86" s="2275"/>
      <c r="B86" s="2837" t="s">
        <v>337</v>
      </c>
      <c r="C86" s="2275"/>
      <c r="E86" s="2843" t="s">
        <v>1281</v>
      </c>
      <c r="F86" s="2830" t="s">
        <v>103</v>
      </c>
      <c r="G86" s="2831" t="s">
        <v>768</v>
      </c>
      <c r="H86" s="2832" t="s">
        <v>1282</v>
      </c>
      <c r="I86" s="2844" t="s">
        <v>1283</v>
      </c>
      <c r="J86" s="2841" t="s">
        <v>113</v>
      </c>
      <c r="K86" s="2835" t="s">
        <v>759</v>
      </c>
      <c r="L86" s="2836" t="s">
        <v>1284</v>
      </c>
      <c r="M86" s="2818"/>
    </row>
    <row r="87" spans="1:13">
      <c r="A87" s="2275"/>
      <c r="B87" s="2837" t="s">
        <v>1285</v>
      </c>
      <c r="C87" s="2275"/>
      <c r="E87" s="2838" t="s">
        <v>1286</v>
      </c>
      <c r="F87" s="2830" t="s">
        <v>104</v>
      </c>
      <c r="G87" s="2831" t="s">
        <v>769</v>
      </c>
      <c r="H87" s="2839" t="s">
        <v>1287</v>
      </c>
      <c r="I87" s="2840" t="s">
        <v>1288</v>
      </c>
      <c r="J87" s="2841" t="s">
        <v>114</v>
      </c>
      <c r="K87" s="2835" t="s">
        <v>760</v>
      </c>
      <c r="L87" s="2842" t="s">
        <v>1289</v>
      </c>
      <c r="M87" s="2818"/>
    </row>
    <row r="88" spans="1:13" ht="15.75" thickBot="1">
      <c r="A88" s="2275"/>
      <c r="B88" s="2845" t="s">
        <v>800</v>
      </c>
      <c r="C88" s="2275"/>
      <c r="E88" s="2843" t="s">
        <v>1290</v>
      </c>
      <c r="F88" s="2830" t="s">
        <v>105</v>
      </c>
      <c r="G88" s="2831" t="s">
        <v>770</v>
      </c>
      <c r="H88" s="2832" t="s">
        <v>1291</v>
      </c>
      <c r="I88" s="2844" t="s">
        <v>1292</v>
      </c>
      <c r="J88" s="2841" t="s">
        <v>217</v>
      </c>
      <c r="K88" s="2835" t="s">
        <v>761</v>
      </c>
      <c r="L88" s="2836" t="s">
        <v>1293</v>
      </c>
      <c r="M88" s="2818"/>
    </row>
    <row r="89" spans="1:13">
      <c r="A89" s="2275"/>
      <c r="B89" s="2275"/>
      <c r="C89" s="2275"/>
      <c r="D89" s="2275"/>
      <c r="E89" s="2838" t="s">
        <v>1294</v>
      </c>
      <c r="F89" s="2830" t="s">
        <v>106</v>
      </c>
      <c r="G89" s="2831" t="s">
        <v>771</v>
      </c>
      <c r="H89" s="2839" t="s">
        <v>1295</v>
      </c>
      <c r="I89" s="2840" t="s">
        <v>1296</v>
      </c>
      <c r="J89" s="2841" t="s">
        <v>1297</v>
      </c>
      <c r="K89" s="2835" t="s">
        <v>762</v>
      </c>
      <c r="L89" s="2842" t="s">
        <v>1298</v>
      </c>
      <c r="M89" s="2818"/>
    </row>
    <row r="90" spans="1:13">
      <c r="A90" s="2275"/>
      <c r="B90" s="2275"/>
      <c r="C90" s="2275"/>
      <c r="D90" s="2275"/>
      <c r="E90" s="2843" t="s">
        <v>1299</v>
      </c>
      <c r="F90" s="2830" t="s">
        <v>107</v>
      </c>
      <c r="G90" s="2831" t="s">
        <v>1300</v>
      </c>
      <c r="H90" s="2832" t="s">
        <v>1301</v>
      </c>
      <c r="I90" s="2844" t="s">
        <v>1302</v>
      </c>
      <c r="J90" s="2841" t="s">
        <v>1303</v>
      </c>
      <c r="K90" s="2835" t="s">
        <v>1304</v>
      </c>
      <c r="L90" s="2836" t="s">
        <v>1305</v>
      </c>
      <c r="M90" s="2818"/>
    </row>
    <row r="91" spans="1:13">
      <c r="A91" s="2275"/>
      <c r="B91" s="2275"/>
      <c r="C91" s="2275"/>
      <c r="D91" s="2275"/>
      <c r="E91" s="2838" t="s">
        <v>1306</v>
      </c>
      <c r="F91" s="2830" t="s">
        <v>108</v>
      </c>
      <c r="G91" s="2831" t="s">
        <v>763</v>
      </c>
      <c r="H91" s="2839" t="s">
        <v>1307</v>
      </c>
      <c r="I91" s="2840" t="s">
        <v>1308</v>
      </c>
      <c r="J91" s="2841" t="s">
        <v>1309</v>
      </c>
      <c r="K91" s="2835" t="s">
        <v>1310</v>
      </c>
      <c r="L91" s="2842" t="s">
        <v>1311</v>
      </c>
      <c r="M91" s="2818"/>
    </row>
    <row r="92" spans="1:13">
      <c r="A92" s="2275"/>
      <c r="B92" s="2275"/>
      <c r="C92" s="2275"/>
      <c r="D92" s="2275"/>
      <c r="E92" s="2843" t="s">
        <v>1312</v>
      </c>
      <c r="F92" s="2830" t="s">
        <v>109</v>
      </c>
      <c r="G92" s="2831" t="s">
        <v>764</v>
      </c>
      <c r="H92" s="2832" t="s">
        <v>1313</v>
      </c>
      <c r="I92" s="2844" t="s">
        <v>1314</v>
      </c>
      <c r="J92" s="2841" t="s">
        <v>1315</v>
      </c>
      <c r="K92" s="2835" t="s">
        <v>1316</v>
      </c>
      <c r="L92" s="2836" t="s">
        <v>1317</v>
      </c>
      <c r="M92" s="2818"/>
    </row>
    <row r="93" spans="1:13">
      <c r="A93" s="2275"/>
      <c r="B93" s="2275"/>
      <c r="C93" s="2275"/>
      <c r="D93" s="2275"/>
      <c r="E93" s="2838" t="s">
        <v>1318</v>
      </c>
      <c r="F93" s="2830" t="s">
        <v>110</v>
      </c>
      <c r="G93" s="2831" t="s">
        <v>765</v>
      </c>
      <c r="H93" s="2839" t="s">
        <v>1319</v>
      </c>
      <c r="I93" s="2840" t="s">
        <v>1320</v>
      </c>
      <c r="J93" s="2841" t="s">
        <v>1321</v>
      </c>
      <c r="K93" s="2835" t="s">
        <v>1322</v>
      </c>
      <c r="L93" s="2842" t="s">
        <v>1323</v>
      </c>
      <c r="M93" s="2818"/>
    </row>
    <row r="94" spans="1:13">
      <c r="A94" s="2275"/>
      <c r="B94" s="2275"/>
      <c r="C94" s="2275"/>
      <c r="D94" s="2275"/>
      <c r="E94" s="2843" t="s">
        <v>1324</v>
      </c>
      <c r="F94" s="2830" t="s">
        <v>111</v>
      </c>
      <c r="G94" s="2831" t="s">
        <v>766</v>
      </c>
      <c r="H94" s="2832" t="s">
        <v>1325</v>
      </c>
      <c r="I94" s="2844" t="s">
        <v>1326</v>
      </c>
      <c r="J94" s="2841" t="s">
        <v>1327</v>
      </c>
      <c r="K94" s="2835" t="s">
        <v>1328</v>
      </c>
      <c r="L94" s="2836" t="s">
        <v>1329</v>
      </c>
      <c r="M94" s="2818"/>
    </row>
    <row r="95" spans="1:13">
      <c r="A95" s="2275"/>
      <c r="B95" s="2275"/>
      <c r="C95" s="2275"/>
      <c r="D95" s="2275"/>
      <c r="E95" s="2838" t="s">
        <v>1330</v>
      </c>
      <c r="F95" s="2830" t="s">
        <v>112</v>
      </c>
      <c r="G95" s="2831" t="s">
        <v>758</v>
      </c>
      <c r="H95" s="2839" t="s">
        <v>1331</v>
      </c>
      <c r="I95" s="2840" t="s">
        <v>1332</v>
      </c>
      <c r="J95" s="2841" t="s">
        <v>1333</v>
      </c>
      <c r="K95" s="2835" t="s">
        <v>1334</v>
      </c>
      <c r="L95" s="2842" t="s">
        <v>1335</v>
      </c>
      <c r="M95" s="2818"/>
    </row>
    <row r="96" spans="1:13">
      <c r="A96" s="2275"/>
      <c r="B96" s="2275"/>
      <c r="C96" s="2275"/>
      <c r="D96" s="2275"/>
      <c r="E96" s="2843" t="s">
        <v>1336</v>
      </c>
      <c r="F96" s="2830" t="s">
        <v>113</v>
      </c>
      <c r="G96" s="2831">
        <v>2019</v>
      </c>
      <c r="H96" s="2832" t="s">
        <v>1337</v>
      </c>
      <c r="I96" s="2844" t="s">
        <v>1338</v>
      </c>
      <c r="J96" s="2841" t="s">
        <v>1339</v>
      </c>
      <c r="K96" s="2835" t="s">
        <v>1340</v>
      </c>
      <c r="L96" s="2836" t="s">
        <v>1341</v>
      </c>
      <c r="M96" s="2818"/>
    </row>
    <row r="97" spans="1:13">
      <c r="A97" s="2275"/>
      <c r="B97" s="2275"/>
      <c r="C97" s="2275"/>
      <c r="D97" s="2275"/>
      <c r="E97" s="2838" t="s">
        <v>1342</v>
      </c>
      <c r="F97" s="2830" t="s">
        <v>114</v>
      </c>
      <c r="G97" s="2831" t="s">
        <v>760</v>
      </c>
      <c r="H97" s="2839" t="s">
        <v>1343</v>
      </c>
      <c r="I97" s="2840" t="s">
        <v>1344</v>
      </c>
      <c r="J97" s="2841" t="s">
        <v>1345</v>
      </c>
      <c r="K97" s="2835" t="s">
        <v>1346</v>
      </c>
      <c r="L97" s="2842" t="s">
        <v>1347</v>
      </c>
      <c r="M97" s="2818"/>
    </row>
    <row r="98" spans="1:13" ht="15.75" thickBot="1">
      <c r="A98" s="2275"/>
      <c r="B98" s="2275"/>
      <c r="C98" s="2275"/>
      <c r="D98" s="2275"/>
      <c r="E98" s="2846" t="s">
        <v>1348</v>
      </c>
      <c r="F98" s="2847" t="s">
        <v>217</v>
      </c>
      <c r="G98" s="2848" t="s">
        <v>761</v>
      </c>
      <c r="H98" s="2849" t="s">
        <v>1349</v>
      </c>
      <c r="I98" s="2850" t="s">
        <v>1350</v>
      </c>
      <c r="J98" s="2851" t="s">
        <v>1351</v>
      </c>
      <c r="K98" s="2852" t="s">
        <v>1352</v>
      </c>
      <c r="L98" s="2853" t="s">
        <v>1353</v>
      </c>
      <c r="M98" s="2818"/>
    </row>
    <row r="99" spans="1:13">
      <c r="A99" s="2275"/>
      <c r="B99" s="2275"/>
      <c r="C99" s="2275"/>
      <c r="D99" s="2275"/>
      <c r="E99" s="2854"/>
      <c r="F99" s="2818"/>
      <c r="G99" s="2818"/>
      <c r="H99" s="2819"/>
      <c r="I99" s="2820"/>
      <c r="J99" s="2819"/>
      <c r="K99" s="2819"/>
      <c r="L99" s="2821"/>
      <c r="M99" s="2818"/>
    </row>
    <row r="100" spans="1:13">
      <c r="A100" s="2275"/>
      <c r="B100" s="2275"/>
      <c r="C100" s="2480"/>
      <c r="E100" s="2480"/>
      <c r="K100" s="2275"/>
      <c r="L100" s="2275"/>
      <c r="M100" s="2275"/>
    </row>
    <row r="101" spans="1:13">
      <c r="A101" s="2275"/>
      <c r="B101" s="2275"/>
      <c r="C101" s="2480"/>
      <c r="E101" s="2480"/>
      <c r="K101" s="2275"/>
      <c r="L101" s="2275"/>
      <c r="M101" s="2275"/>
    </row>
    <row r="102" spans="1:13">
      <c r="A102" s="2275"/>
      <c r="B102" s="2480"/>
      <c r="C102" s="2480"/>
      <c r="E102" s="2480"/>
      <c r="H102" s="2275"/>
      <c r="K102" s="2275"/>
      <c r="L102" s="2275"/>
      <c r="M102" s="2275"/>
    </row>
    <row r="103" spans="1:13">
      <c r="A103" s="2275"/>
      <c r="B103" s="2480"/>
      <c r="C103" s="2480"/>
      <c r="E103" s="2480"/>
      <c r="H103" s="2275"/>
      <c r="K103" s="2275"/>
      <c r="L103" s="2275"/>
      <c r="M103" s="2275"/>
    </row>
    <row r="104" spans="1:13">
      <c r="A104" s="2275"/>
      <c r="B104" s="2480"/>
      <c r="C104" s="2480"/>
      <c r="E104" s="2480"/>
      <c r="K104" s="2275"/>
      <c r="L104" s="2275"/>
      <c r="M104" s="2275"/>
    </row>
    <row r="105" spans="1:13">
      <c r="B105" s="2480"/>
      <c r="C105" s="2480"/>
      <c r="E105" s="2480"/>
    </row>
    <row r="106" spans="1:13">
      <c r="B106" s="2480"/>
      <c r="C106" s="2480"/>
      <c r="E106" s="2480"/>
    </row>
    <row r="107" spans="1:13">
      <c r="B107" s="2480"/>
      <c r="C107" s="2480"/>
      <c r="E107" s="2480"/>
    </row>
    <row r="108" spans="1:13">
      <c r="B108" s="2480"/>
      <c r="C108" s="2480"/>
      <c r="E108" s="2480"/>
    </row>
    <row r="109" spans="1:13">
      <c r="B109" s="2480"/>
      <c r="C109" s="2480"/>
      <c r="E109" s="2480"/>
    </row>
    <row r="110" spans="1:13">
      <c r="B110" s="2480"/>
      <c r="C110" s="2480"/>
      <c r="E110" s="2480"/>
    </row>
    <row r="111" spans="1:13">
      <c r="B111" s="2480"/>
      <c r="C111" s="2480"/>
      <c r="E111" s="2480"/>
    </row>
    <row r="112" spans="1:13">
      <c r="B112" s="2480"/>
      <c r="C112" s="2480"/>
      <c r="E112" s="2480"/>
    </row>
    <row r="113" spans="2:5">
      <c r="B113" s="2480"/>
      <c r="C113" s="2480"/>
      <c r="E113" s="2480"/>
    </row>
    <row r="114" spans="2:5">
      <c r="B114" s="2480"/>
      <c r="C114" s="2480"/>
      <c r="E114" s="2480"/>
    </row>
    <row r="115" spans="2:5">
      <c r="B115" s="2480"/>
      <c r="C115" s="2480"/>
      <c r="E115" s="2480"/>
    </row>
    <row r="116" spans="2:5">
      <c r="B116" s="2480"/>
      <c r="C116" s="2480"/>
      <c r="E116" s="2480"/>
    </row>
    <row r="117" spans="2:5">
      <c r="B117" s="2480"/>
      <c r="C117" s="2480"/>
      <c r="E117" s="2480"/>
    </row>
    <row r="118" spans="2:5">
      <c r="B118" s="2480"/>
      <c r="C118" s="2480"/>
      <c r="E118" s="2480"/>
    </row>
    <row r="119" spans="2:5">
      <c r="B119" s="2480"/>
      <c r="C119" s="2480"/>
      <c r="E119" s="2480"/>
    </row>
    <row r="120" spans="2:5">
      <c r="B120" s="2480"/>
      <c r="C120" s="2480"/>
      <c r="E120" s="2480"/>
    </row>
    <row r="121" spans="2:5">
      <c r="B121" s="2480"/>
      <c r="C121" s="2480"/>
      <c r="E121" s="2480"/>
    </row>
    <row r="122" spans="2:5">
      <c r="B122" s="2480"/>
      <c r="C122" s="2480"/>
      <c r="E122" s="2480"/>
    </row>
    <row r="123" spans="2:5">
      <c r="B123" s="2480"/>
      <c r="C123" s="2480"/>
      <c r="E123" s="2480"/>
    </row>
    <row r="124" spans="2:5">
      <c r="B124" s="2480"/>
      <c r="C124" s="2480"/>
      <c r="E124" s="2480"/>
    </row>
    <row r="125" spans="2:5">
      <c r="B125" s="2480"/>
      <c r="C125" s="2480"/>
      <c r="E125" s="2480"/>
    </row>
    <row r="126" spans="2:5">
      <c r="B126" s="2480"/>
      <c r="C126" s="2480"/>
      <c r="E126" s="2480"/>
    </row>
    <row r="127" spans="2:5">
      <c r="B127" s="2480"/>
      <c r="C127" s="2480"/>
      <c r="E127" s="2480"/>
    </row>
    <row r="128" spans="2:5">
      <c r="B128" s="2480"/>
      <c r="C128" s="2480"/>
      <c r="E128" s="2480"/>
    </row>
    <row r="129" spans="2:5">
      <c r="B129" s="2480"/>
      <c r="C129" s="2480"/>
      <c r="E129" s="2480"/>
    </row>
    <row r="130" spans="2:5">
      <c r="B130" s="2480"/>
      <c r="C130" s="2480"/>
    </row>
    <row r="131" spans="2:5">
      <c r="B131" s="2480"/>
    </row>
    <row r="132" spans="2:5">
      <c r="B132" s="2480"/>
    </row>
  </sheetData>
  <mergeCells count="14">
    <mergeCell ref="E82:L82"/>
    <mergeCell ref="B1:L1"/>
    <mergeCell ref="AC4:AM4"/>
    <mergeCell ref="AC5:AF5"/>
    <mergeCell ref="AI5:AM5"/>
    <mergeCell ref="W45:AA45"/>
    <mergeCell ref="B46:F46"/>
    <mergeCell ref="O46:V46"/>
    <mergeCell ref="W46:AA46"/>
    <mergeCell ref="C47:D47"/>
    <mergeCell ref="AI47:AI49"/>
    <mergeCell ref="AI50:AI54"/>
    <mergeCell ref="AI58:AI59"/>
    <mergeCell ref="W64:Z64"/>
  </mergeCells>
  <dataValidations count="1">
    <dataValidation type="textLength" operator="greaterThan" showInputMessage="1" showErrorMessage="1" sqref="Q15 O15">
      <formula1>1</formula1>
    </dataValidation>
  </dataValidations>
  <pageMargins left="0.7" right="0.7" top="0.75" bottom="0.75" header="0.3" footer="0.3"/>
  <pageSetup paperSize="9" orientation="portrait" r:id="rId1"/>
  <customProperties>
    <customPr name="layoutContexts" r:id="rId2"/>
  </customProperties>
  <drawing r:id="rId3"/>
  <legacyDrawing r:id="rId4"/>
  <tableParts count="1">
    <tablePart r:id="rId5"/>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autoPageBreaks="0"/>
  </sheetPr>
  <dimension ref="A1:BS158"/>
  <sheetViews>
    <sheetView showGridLines="0" topLeftCell="D13" zoomScale="70" zoomScaleNormal="70" workbookViewId="0">
      <pane xSplit="3" ySplit="9" topLeftCell="L28" activePane="bottomRight" state="frozen"/>
      <selection activeCell="D13" sqref="D13"/>
      <selection pane="topRight" activeCell="G13" sqref="G13"/>
      <selection pane="bottomLeft" activeCell="D22" sqref="D22"/>
      <selection pane="bottomRight" activeCell="P34" sqref="P34"/>
    </sheetView>
  </sheetViews>
  <sheetFormatPr defaultColWidth="9.140625" defaultRowHeight="12.75"/>
  <cols>
    <col min="1" max="3" width="13.28515625" style="87" hidden="1" customWidth="1"/>
    <col min="4" max="4" width="20.5703125" style="87" customWidth="1"/>
    <col min="5" max="5" width="58" style="87" customWidth="1"/>
    <col min="6" max="6" width="62.140625" style="87" customWidth="1"/>
    <col min="7" max="7" width="15.7109375" style="87" customWidth="1"/>
    <col min="8" max="11" width="15.28515625" style="87" customWidth="1"/>
    <col min="12" max="12" width="18.140625" style="87" bestFit="1" customWidth="1"/>
    <col min="13" max="13" width="18.140625" style="87" customWidth="1"/>
    <col min="14" max="14" width="19.7109375" style="87" customWidth="1"/>
    <col min="15" max="16" width="18.140625" style="87" customWidth="1"/>
    <col min="17" max="21" width="15.7109375" style="87" customWidth="1"/>
    <col min="22" max="22" width="12.28515625" customWidth="1"/>
    <col min="23" max="27" width="15.7109375" style="87" customWidth="1"/>
    <col min="28" max="28" width="17.42578125" style="429" customWidth="1"/>
    <col min="29" max="33" width="15.7109375" style="87" customWidth="1"/>
    <col min="34" max="34" width="17.7109375" style="429" customWidth="1"/>
    <col min="35" max="35" width="8.7109375"/>
    <col min="36" max="37" width="9.140625" style="106"/>
    <col min="38" max="38" width="15.7109375" style="501" customWidth="1"/>
    <col min="39" max="42" width="15.28515625" style="501" customWidth="1"/>
    <col min="43" max="43" width="18.140625" style="501" bestFit="1" customWidth="1"/>
    <col min="44" max="44" width="18.140625" style="501" customWidth="1"/>
    <col min="45" max="45" width="19.7109375" style="501" customWidth="1"/>
    <col min="46" max="71" width="9.140625" style="106"/>
    <col min="72" max="16384" width="9.140625" style="87"/>
  </cols>
  <sheetData>
    <row r="1" spans="1:71" s="217" customFormat="1" ht="24" customHeight="1">
      <c r="E1" s="2272" t="str">
        <f>IF(dms_DataQuality="backcast",INDEX(dms_Worksheet_List,MATCH(dms_Model,dms_Model_List))&amp;" BACKCAST",INDEX(dms_Worksheet_List,MATCH(dms_Model,dms_Model_List)))</f>
        <v>REGULATORY REPORTING STATEMENT</v>
      </c>
      <c r="F1" s="219"/>
      <c r="G1" s="219"/>
      <c r="H1" s="219"/>
      <c r="I1" s="219"/>
      <c r="J1" s="219"/>
      <c r="K1" s="219"/>
      <c r="L1" s="219"/>
      <c r="M1" s="219"/>
      <c r="N1" s="219"/>
      <c r="O1" s="219"/>
      <c r="P1" s="219"/>
      <c r="Q1" s="219"/>
      <c r="R1" s="219"/>
      <c r="S1" s="219"/>
      <c r="T1" s="219"/>
      <c r="U1" s="219"/>
      <c r="V1" s="219"/>
      <c r="W1" s="219"/>
      <c r="X1" s="219"/>
      <c r="Y1" s="157"/>
      <c r="Z1" s="157"/>
      <c r="AA1" s="157"/>
      <c r="AB1" s="157"/>
      <c r="AC1" s="157"/>
      <c r="AD1" s="157"/>
      <c r="AE1" s="157"/>
      <c r="AF1" s="157"/>
      <c r="AG1" s="157"/>
      <c r="AH1" s="157"/>
      <c r="AI1" s="219"/>
      <c r="AJ1" s="219"/>
      <c r="AK1" s="219"/>
      <c r="AL1" s="219"/>
      <c r="AM1" s="219"/>
      <c r="AN1" s="219"/>
      <c r="AO1" s="219"/>
      <c r="AP1" s="219"/>
      <c r="AQ1" s="219"/>
      <c r="AR1" s="219"/>
      <c r="AS1" s="219"/>
    </row>
    <row r="2" spans="1:71" s="217" customFormat="1" ht="24" customHeight="1">
      <c r="E2" s="2277" t="str">
        <f>INDEX(dms_TradingNameFull_List,MATCH(dms_TradingName,dms_TradingName_List))</f>
        <v>Multinet Gas (DB No.1) Pty Ltd (ACN 086 026 986), Multinet Gas (DB No.2) Pty Ltd (ACN 086 230 122)</v>
      </c>
      <c r="F2" s="219"/>
      <c r="G2" s="219"/>
      <c r="H2" s="219"/>
      <c r="I2" s="219"/>
      <c r="J2" s="219"/>
      <c r="K2" s="219"/>
      <c r="L2" s="219"/>
      <c r="M2" s="219"/>
      <c r="N2" s="219"/>
      <c r="O2" s="219"/>
      <c r="P2" s="219"/>
      <c r="Q2" s="219"/>
      <c r="R2" s="219"/>
      <c r="S2" s="219"/>
      <c r="T2" s="219"/>
      <c r="U2" s="219"/>
      <c r="V2" s="219"/>
      <c r="W2" s="219"/>
      <c r="X2" s="219"/>
      <c r="Y2" s="157"/>
      <c r="Z2" s="157"/>
      <c r="AA2" s="157"/>
      <c r="AB2" s="157"/>
      <c r="AC2" s="157"/>
      <c r="AD2" s="157"/>
      <c r="AE2" s="157"/>
      <c r="AF2" s="157"/>
      <c r="AG2" s="157"/>
      <c r="AH2" s="157"/>
      <c r="AI2" s="219"/>
      <c r="AJ2" s="219"/>
      <c r="AK2" s="219"/>
      <c r="AL2" s="219"/>
      <c r="AM2" s="219"/>
      <c r="AN2" s="219"/>
      <c r="AO2" s="219"/>
      <c r="AP2" s="219"/>
      <c r="AQ2" s="219"/>
      <c r="AR2" s="219"/>
      <c r="AS2" s="219"/>
    </row>
    <row r="3" spans="1:71" s="217" customFormat="1" ht="24" customHeight="1">
      <c r="E3" s="2277" t="str">
        <f ca="1">IF(SUM(dms_SingleYear_Model)&gt;0,CRY,CONCATENATE(FRCP_y1," to ",dms_MultiYear_FinalYear_Result))</f>
        <v>2018 to 2022</v>
      </c>
      <c r="F3" s="222" t="str">
        <f>CONCATENATE(LEFT(FRCP_y1,4),"-",LEFT(FRCP_y5,2),RIGHT(FRCP_y5,2))</f>
        <v>2018-2022</v>
      </c>
      <c r="G3" s="221"/>
      <c r="H3" s="221"/>
      <c r="I3" s="221"/>
      <c r="J3" s="221"/>
      <c r="K3" s="221"/>
      <c r="L3" s="221"/>
      <c r="M3" s="221"/>
      <c r="N3" s="221"/>
      <c r="O3" s="221"/>
      <c r="P3" s="221"/>
      <c r="Q3" s="221"/>
      <c r="R3" s="221"/>
      <c r="S3" s="221"/>
      <c r="T3" s="221"/>
      <c r="U3" s="221"/>
      <c r="V3" s="221"/>
      <c r="W3" s="221"/>
      <c r="X3" s="221"/>
      <c r="Y3" s="161"/>
      <c r="Z3" s="161"/>
      <c r="AA3" s="161"/>
      <c r="AB3" s="161"/>
      <c r="AC3" s="161"/>
      <c r="AD3" s="161"/>
      <c r="AE3" s="161"/>
      <c r="AF3" s="161"/>
      <c r="AG3" s="161"/>
      <c r="AH3" s="161"/>
      <c r="AI3" s="1265"/>
      <c r="AJ3" s="1265"/>
      <c r="AK3" s="1265"/>
      <c r="AL3" s="1265"/>
      <c r="AM3" s="1265"/>
      <c r="AN3" s="1265"/>
      <c r="AO3" s="1265"/>
      <c r="AP3" s="1265"/>
      <c r="AQ3" s="1265"/>
      <c r="AR3" s="1265"/>
      <c r="AS3" s="1265"/>
    </row>
    <row r="4" spans="1:71" s="159" customFormat="1" ht="24" customHeight="1">
      <c r="B4" s="10"/>
      <c r="C4" s="12"/>
      <c r="D4"/>
      <c r="E4" s="12" t="s">
        <v>451</v>
      </c>
      <c r="F4" s="12"/>
      <c r="G4" s="12"/>
      <c r="H4" s="12"/>
      <c r="I4" s="12"/>
      <c r="J4" s="12"/>
      <c r="K4" s="12"/>
      <c r="L4" s="12"/>
      <c r="M4" s="12"/>
      <c r="N4" s="12"/>
      <c r="O4" s="12"/>
      <c r="P4" s="12"/>
      <c r="Q4" s="12"/>
      <c r="R4" s="12"/>
      <c r="S4" s="12"/>
      <c r="T4" s="12"/>
      <c r="U4" s="12"/>
      <c r="V4" s="12"/>
      <c r="W4" s="12"/>
      <c r="X4" s="12"/>
      <c r="Y4" s="12"/>
      <c r="Z4" s="12"/>
      <c r="AA4" s="12"/>
      <c r="AB4" s="12"/>
      <c r="AC4" s="12"/>
      <c r="AD4" s="12"/>
      <c r="AE4" s="12"/>
      <c r="AF4" s="12"/>
      <c r="AG4" s="12"/>
      <c r="AH4" s="12"/>
      <c r="AI4" s="12"/>
      <c r="AJ4" s="12"/>
      <c r="AK4" s="12"/>
      <c r="AL4" s="12"/>
      <c r="AM4" s="12"/>
      <c r="AN4" s="12"/>
      <c r="AO4" s="12"/>
      <c r="AP4" s="12"/>
      <c r="AQ4" s="12"/>
      <c r="AR4" s="12"/>
      <c r="AS4" s="12"/>
    </row>
    <row r="5" spans="1:71" s="65" customFormat="1" ht="39.75" customHeight="1">
      <c r="A5" s="282"/>
      <c r="B5" s="282"/>
      <c r="C5" s="282"/>
      <c r="D5" s="282"/>
      <c r="E5" s="282"/>
      <c r="F5" s="282"/>
      <c r="G5" s="282"/>
      <c r="H5" s="282"/>
      <c r="I5" s="282"/>
      <c r="J5" s="1268"/>
      <c r="K5" s="1268"/>
      <c r="L5" s="1268"/>
      <c r="M5" s="1268"/>
      <c r="N5" s="1268"/>
      <c r="O5" s="1268"/>
      <c r="P5" s="1268"/>
      <c r="Q5" s="1268"/>
      <c r="R5" s="1268"/>
      <c r="S5" s="1268"/>
      <c r="T5" s="1268"/>
      <c r="U5" s="1268"/>
      <c r="V5" s="1268"/>
      <c r="W5" s="1268"/>
      <c r="X5" s="1268"/>
      <c r="Y5" s="1268"/>
      <c r="Z5" s="1268"/>
      <c r="AA5" s="1268"/>
      <c r="AB5" s="15"/>
      <c r="AC5" s="1268"/>
      <c r="AD5" s="1268"/>
      <c r="AE5" s="1268"/>
      <c r="AF5" s="1268"/>
      <c r="AG5" s="1268"/>
      <c r="AH5" s="15"/>
      <c r="AI5"/>
      <c r="AL5"/>
      <c r="AM5"/>
      <c r="AN5"/>
      <c r="AO5"/>
      <c r="AP5"/>
      <c r="AQ5"/>
      <c r="AR5"/>
      <c r="AS5" s="1268"/>
    </row>
    <row r="6" spans="1:71" s="89" customFormat="1" ht="12.75" customHeight="1" thickBot="1">
      <c r="A6" s="108" t="s">
        <v>192</v>
      </c>
      <c r="B6" s="77"/>
      <c r="E6" s="101" t="s">
        <v>61</v>
      </c>
      <c r="F6" s="101"/>
      <c r="G6" s="101"/>
      <c r="H6" s="101"/>
      <c r="I6" s="101"/>
      <c r="J6" s="1268"/>
      <c r="K6" s="1268"/>
      <c r="L6" s="1268"/>
      <c r="M6" s="1268"/>
      <c r="N6" s="1268"/>
      <c r="O6" s="1268"/>
      <c r="P6" s="1268"/>
      <c r="Q6" s="510"/>
      <c r="R6" s="510"/>
      <c r="S6" s="299"/>
      <c r="T6" s="299"/>
      <c r="U6" s="299"/>
      <c r="V6" s="1268"/>
      <c r="W6" s="299"/>
      <c r="X6" s="299"/>
      <c r="Y6" s="299"/>
      <c r="Z6" s="299"/>
      <c r="AA6" s="299"/>
      <c r="AB6" s="5"/>
      <c r="AC6" s="299"/>
      <c r="AD6" s="299"/>
      <c r="AE6" s="299"/>
      <c r="AF6" s="299"/>
      <c r="AG6" s="299"/>
      <c r="AH6" s="5"/>
      <c r="AI6"/>
      <c r="AJ6" s="106"/>
      <c r="AK6" s="106"/>
      <c r="AL6"/>
      <c r="AM6"/>
      <c r="AN6"/>
      <c r="AO6"/>
      <c r="AP6"/>
      <c r="AQ6"/>
      <c r="AR6"/>
      <c r="AS6" s="1268"/>
      <c r="AT6" s="106"/>
      <c r="AU6" s="106"/>
      <c r="AV6" s="106"/>
      <c r="AW6" s="106"/>
      <c r="AX6" s="106"/>
      <c r="AY6" s="106"/>
      <c r="AZ6" s="106"/>
      <c r="BA6" s="106"/>
      <c r="BB6" s="106"/>
      <c r="BC6" s="106"/>
      <c r="BD6" s="106"/>
      <c r="BE6" s="106"/>
      <c r="BF6" s="106"/>
      <c r="BG6" s="106"/>
      <c r="BH6" s="106"/>
      <c r="BI6" s="106"/>
      <c r="BJ6" s="106"/>
      <c r="BK6" s="106"/>
      <c r="BL6" s="106"/>
      <c r="BM6" s="106"/>
      <c r="BN6" s="106"/>
      <c r="BO6" s="106"/>
      <c r="BP6" s="106"/>
      <c r="BQ6" s="106"/>
      <c r="BR6" s="106"/>
      <c r="BS6" s="106"/>
    </row>
    <row r="7" spans="1:71" s="89" customFormat="1" ht="12.75" customHeight="1">
      <c r="A7" s="991" t="s">
        <v>196</v>
      </c>
      <c r="B7" s="994" t="s">
        <v>202</v>
      </c>
      <c r="E7" s="151" t="s">
        <v>453</v>
      </c>
      <c r="F7" s="151"/>
      <c r="G7" s="151"/>
      <c r="H7" s="151"/>
      <c r="I7" s="151"/>
      <c r="J7" s="1268"/>
      <c r="K7" s="1268"/>
      <c r="L7" s="1268"/>
      <c r="M7" s="1268"/>
      <c r="N7" s="1268"/>
      <c r="O7" s="1268"/>
      <c r="P7" s="1268"/>
      <c r="Q7" s="510"/>
      <c r="R7" s="510"/>
      <c r="S7" s="299"/>
      <c r="T7" s="299"/>
      <c r="U7" s="299"/>
      <c r="V7" s="1268"/>
      <c r="W7" s="299"/>
      <c r="X7" s="299"/>
      <c r="Y7" s="299"/>
      <c r="Z7" s="299"/>
      <c r="AA7" s="299"/>
      <c r="AB7" s="5"/>
      <c r="AC7" s="299"/>
      <c r="AD7" s="299"/>
      <c r="AE7" s="299"/>
      <c r="AF7" s="299"/>
      <c r="AG7" s="299"/>
      <c r="AH7" s="5"/>
      <c r="AI7"/>
      <c r="AJ7" s="106"/>
      <c r="AK7" s="106"/>
      <c r="AL7"/>
      <c r="AM7"/>
      <c r="AN7"/>
      <c r="AO7"/>
      <c r="AP7"/>
      <c r="AQ7"/>
      <c r="AR7"/>
      <c r="AS7" s="1268"/>
      <c r="AT7" s="106"/>
      <c r="AU7" s="106"/>
      <c r="AV7" s="106"/>
      <c r="AW7" s="106"/>
      <c r="AX7" s="106"/>
      <c r="AY7" s="106"/>
      <c r="AZ7" s="106"/>
      <c r="BA7" s="106"/>
      <c r="BB7" s="106"/>
      <c r="BC7" s="106"/>
      <c r="BD7" s="106"/>
      <c r="BE7" s="106"/>
      <c r="BF7" s="106"/>
      <c r="BG7" s="106"/>
      <c r="BH7" s="106"/>
      <c r="BI7" s="106"/>
      <c r="BJ7" s="106"/>
      <c r="BK7" s="106"/>
      <c r="BL7" s="106"/>
      <c r="BM7" s="106"/>
      <c r="BN7" s="106"/>
      <c r="BO7" s="106"/>
      <c r="BP7" s="106"/>
      <c r="BQ7" s="106"/>
      <c r="BR7" s="106"/>
      <c r="BS7" s="106"/>
    </row>
    <row r="8" spans="1:71" s="89" customFormat="1" ht="36" customHeight="1">
      <c r="A8" s="992" t="s">
        <v>280</v>
      </c>
      <c r="B8" s="995" t="s">
        <v>274</v>
      </c>
      <c r="E8" s="4220" t="str">
        <f>CONCATENATE("As set out in cl.6.1 of the ", dms_TradingName, " RIN, for tables 6.1.1 to 6.1.3, where the requested data is captured in the ", dms_TradingName, " capex model it is not required to be reentered in the RIN template tables.  If the requested data has not been provided in the ", dms_TradingName, " capex model please enter into the tables below. This may require the insertion of new lines in each table.")</f>
        <v>As set out in cl.6.1 of the Multinet Gas RIN, for tables 6.1.1 to 6.1.3, where the requested data is captured in the Multinet Gas capex model it is not required to be reentered in the RIN template tables.  If the requested data has not been provided in the Multinet Gas capex model please enter into the tables below. This may require the insertion of new lines in each table.</v>
      </c>
      <c r="F8" s="4221"/>
      <c r="G8" s="4221"/>
      <c r="H8" s="4222"/>
      <c r="I8" s="4222"/>
      <c r="J8" s="1268"/>
      <c r="K8" s="1268"/>
      <c r="L8" s="1268"/>
      <c r="M8" s="1268"/>
      <c r="N8" s="1268"/>
      <c r="O8" s="1268"/>
      <c r="P8" s="1268"/>
      <c r="Q8" s="299"/>
      <c r="R8" s="299"/>
      <c r="S8" s="299"/>
      <c r="T8" s="299"/>
      <c r="U8" s="299"/>
      <c r="V8" s="1268"/>
      <c r="W8" s="299"/>
      <c r="X8" s="299"/>
      <c r="Y8" s="299"/>
      <c r="Z8" s="299"/>
      <c r="AA8" s="299"/>
      <c r="AB8" s="5"/>
      <c r="AC8" s="299"/>
      <c r="AD8" s="299"/>
      <c r="AE8" s="299"/>
      <c r="AF8" s="299"/>
      <c r="AG8" s="299"/>
      <c r="AH8" s="5"/>
      <c r="AI8"/>
      <c r="AJ8" s="106"/>
      <c r="AK8" s="106"/>
      <c r="AL8"/>
      <c r="AM8"/>
      <c r="AN8"/>
      <c r="AO8"/>
      <c r="AP8"/>
      <c r="AQ8"/>
      <c r="AR8"/>
      <c r="AS8" s="1268"/>
      <c r="AT8" s="106"/>
      <c r="AU8" s="106"/>
      <c r="AV8" s="106"/>
      <c r="AW8" s="106"/>
      <c r="AX8" s="106"/>
      <c r="AY8" s="106"/>
      <c r="AZ8" s="106"/>
      <c r="BA8" s="106"/>
      <c r="BB8" s="106"/>
      <c r="BC8" s="106"/>
      <c r="BD8" s="106"/>
      <c r="BE8" s="106"/>
      <c r="BF8" s="106"/>
      <c r="BG8" s="106"/>
      <c r="BH8" s="106"/>
      <c r="BI8" s="106"/>
      <c r="BJ8" s="106"/>
      <c r="BK8" s="106"/>
      <c r="BL8" s="106"/>
      <c r="BM8" s="106"/>
      <c r="BN8" s="106"/>
      <c r="BO8" s="106"/>
      <c r="BP8" s="106"/>
      <c r="BQ8" s="106"/>
      <c r="BR8" s="106"/>
      <c r="BS8" s="106"/>
    </row>
    <row r="9" spans="1:71" s="78" customFormat="1" ht="42" customHeight="1">
      <c r="A9" s="992" t="s">
        <v>195</v>
      </c>
      <c r="B9" s="995" t="s">
        <v>201</v>
      </c>
      <c r="E9" s="4220" t="s">
        <v>445</v>
      </c>
      <c r="F9" s="4221"/>
      <c r="G9" s="4221"/>
      <c r="H9" s="4222"/>
      <c r="I9" s="4222"/>
      <c r="J9" s="533"/>
      <c r="K9" s="509"/>
      <c r="L9" s="510"/>
      <c r="M9" s="509"/>
      <c r="N9" s="510"/>
      <c r="O9" s="510"/>
      <c r="P9" s="510"/>
      <c r="Q9" s="533"/>
      <c r="R9" s="533"/>
      <c r="S9" s="533"/>
      <c r="T9" s="299"/>
      <c r="U9" s="299"/>
      <c r="V9" s="1268"/>
      <c r="W9" s="299"/>
      <c r="X9" s="299"/>
      <c r="Y9" s="299"/>
      <c r="Z9" s="299"/>
      <c r="AA9" s="299"/>
      <c r="AB9" s="5"/>
      <c r="AC9" s="299"/>
      <c r="AD9" s="299"/>
      <c r="AE9" s="299"/>
      <c r="AF9" s="299"/>
      <c r="AG9" s="299"/>
      <c r="AH9" s="5"/>
      <c r="AI9"/>
      <c r="AJ9" s="129"/>
      <c r="AK9" s="129"/>
      <c r="AL9" s="129"/>
      <c r="AM9" s="129"/>
      <c r="AN9" s="129"/>
      <c r="AO9" s="533"/>
      <c r="AP9" s="880"/>
      <c r="AQ9" s="510"/>
      <c r="AR9" s="880"/>
      <c r="AS9" s="510"/>
      <c r="AT9" s="129"/>
      <c r="AU9" s="129"/>
      <c r="AV9" s="129"/>
      <c r="AW9" s="129"/>
      <c r="AX9" s="129"/>
      <c r="AY9" s="129"/>
      <c r="AZ9" s="129"/>
      <c r="BA9" s="129"/>
      <c r="BB9" s="129"/>
      <c r="BC9" s="129"/>
      <c r="BD9" s="129"/>
      <c r="BE9" s="129"/>
      <c r="BF9" s="129"/>
      <c r="BG9" s="129"/>
      <c r="BH9" s="129"/>
      <c r="BI9" s="129"/>
      <c r="BJ9" s="129"/>
      <c r="BK9" s="129"/>
      <c r="BL9" s="129"/>
      <c r="BM9" s="129"/>
      <c r="BN9" s="129"/>
      <c r="BO9" s="129"/>
      <c r="BP9" s="129"/>
      <c r="BQ9" s="129"/>
      <c r="BR9" s="129"/>
      <c r="BS9" s="129"/>
    </row>
    <row r="10" spans="1:71" s="78" customFormat="1" ht="36" customHeight="1">
      <c r="A10" s="992" t="s">
        <v>282</v>
      </c>
      <c r="B10" s="995" t="s">
        <v>283</v>
      </c>
      <c r="E10" s="4220" t="str">
        <f>CONCATENATE("Subject to cl.7.1 of the ", dms_TradingName, " RIN, where linked/adjustable overhead expenditure and related party margin expenditure is not provided in the ", dms_TradingName, " capex model, overhead expenditure and related party margin expenditure should be linked to allocations derived in tabs '14. Overheads' and '15. Related party transactions'.")</f>
        <v>Subject to cl.7.1 of the Multinet Gas RIN, where linked/adjustable overhead expenditure and related party margin expenditure is not provided in the Multinet Gas capex model, overhead expenditure and related party margin expenditure should be linked to allocations derived in tabs '14. Overheads' and '15. Related party transactions'.</v>
      </c>
      <c r="F10" s="4221"/>
      <c r="G10" s="4221"/>
      <c r="H10" s="4222"/>
      <c r="I10" s="4222"/>
      <c r="J10" s="533"/>
      <c r="K10" s="509"/>
      <c r="L10" s="510"/>
      <c r="M10" s="509"/>
      <c r="N10" s="510"/>
      <c r="O10" s="510"/>
      <c r="P10" s="510"/>
      <c r="Q10" s="533"/>
      <c r="R10" s="533"/>
      <c r="S10" s="533"/>
      <c r="T10" s="299"/>
      <c r="U10" s="299"/>
      <c r="V10" s="1268"/>
      <c r="W10" s="299"/>
      <c r="X10" s="299"/>
      <c r="Y10" s="299"/>
      <c r="Z10" s="299"/>
      <c r="AA10" s="299"/>
      <c r="AB10" s="5"/>
      <c r="AC10" s="299"/>
      <c r="AD10" s="299"/>
      <c r="AE10" s="299"/>
      <c r="AF10" s="299"/>
      <c r="AG10" s="299"/>
      <c r="AH10" s="5"/>
      <c r="AI10"/>
      <c r="AJ10" s="129"/>
      <c r="AK10" s="129"/>
      <c r="AL10" s="129"/>
      <c r="AM10" s="129"/>
      <c r="AN10" s="129"/>
      <c r="AO10" s="533"/>
      <c r="AP10" s="880"/>
      <c r="AQ10" s="510"/>
      <c r="AR10" s="880"/>
      <c r="AS10" s="510"/>
      <c r="AT10" s="129"/>
      <c r="AU10" s="129"/>
      <c r="AV10" s="129"/>
      <c r="AW10" s="129"/>
      <c r="AX10" s="129"/>
      <c r="AY10" s="129"/>
      <c r="AZ10" s="129"/>
      <c r="BA10" s="129"/>
      <c r="BB10" s="129"/>
      <c r="BC10" s="129"/>
      <c r="BD10" s="129"/>
      <c r="BE10" s="129"/>
      <c r="BF10" s="129"/>
      <c r="BG10" s="129"/>
      <c r="BH10" s="129"/>
      <c r="BI10" s="129"/>
      <c r="BJ10" s="129"/>
      <c r="BK10" s="129"/>
      <c r="BL10" s="129"/>
      <c r="BM10" s="129"/>
      <c r="BN10" s="129"/>
      <c r="BO10" s="129"/>
      <c r="BP10" s="129"/>
      <c r="BQ10" s="129"/>
      <c r="BR10" s="129"/>
      <c r="BS10" s="129"/>
    </row>
    <row r="11" spans="1:71" s="78" customFormat="1" ht="35.25" customHeight="1" thickBot="1">
      <c r="A11" s="993" t="s">
        <v>284</v>
      </c>
      <c r="B11" s="996" t="s">
        <v>623</v>
      </c>
      <c r="E11" s="4220" t="s">
        <v>161</v>
      </c>
      <c r="F11" s="4221"/>
      <c r="G11" s="4221"/>
      <c r="H11" s="4222"/>
      <c r="I11" s="4222"/>
      <c r="J11" s="533"/>
      <c r="K11" s="509"/>
      <c r="L11" s="510"/>
      <c r="M11" s="509"/>
      <c r="N11" s="510"/>
      <c r="O11" s="510"/>
      <c r="P11" s="510"/>
      <c r="Q11" s="533"/>
      <c r="R11" s="533"/>
      <c r="S11" s="533"/>
      <c r="T11" s="299"/>
      <c r="U11" s="299"/>
      <c r="V11" s="1268"/>
      <c r="W11" s="299"/>
      <c r="X11" s="299"/>
      <c r="Y11" s="299"/>
      <c r="Z11" s="299"/>
      <c r="AA11" s="299"/>
      <c r="AB11" s="5"/>
      <c r="AC11" s="299"/>
      <c r="AD11" s="299"/>
      <c r="AE11" s="299"/>
      <c r="AF11" s="299"/>
      <c r="AG11" s="299"/>
      <c r="AH11" s="5"/>
      <c r="AI11"/>
      <c r="AJ11" s="129"/>
      <c r="AK11" s="129"/>
      <c r="AL11" s="129"/>
      <c r="AM11" s="129"/>
      <c r="AN11" s="129"/>
      <c r="AO11" s="533"/>
      <c r="AP11" s="880"/>
      <c r="AQ11" s="510"/>
      <c r="AR11" s="880"/>
      <c r="AS11" s="510"/>
      <c r="AT11" s="129"/>
      <c r="AU11" s="129"/>
      <c r="AV11" s="129"/>
      <c r="AW11" s="129"/>
      <c r="AX11" s="129"/>
      <c r="AY11" s="129"/>
      <c r="AZ11" s="129"/>
      <c r="BA11" s="129"/>
      <c r="BB11" s="129"/>
      <c r="BC11" s="129"/>
      <c r="BD11" s="129"/>
      <c r="BE11" s="129"/>
      <c r="BF11" s="129"/>
      <c r="BG11" s="129"/>
      <c r="BH11" s="129"/>
      <c r="BI11" s="129"/>
      <c r="BJ11" s="129"/>
      <c r="BK11" s="129"/>
      <c r="BL11" s="129"/>
      <c r="BM11" s="129"/>
      <c r="BN11" s="129"/>
      <c r="BO11" s="129"/>
      <c r="BP11" s="129"/>
      <c r="BQ11" s="129"/>
      <c r="BR11" s="129"/>
      <c r="BS11" s="129"/>
    </row>
    <row r="12" spans="1:71" s="89" customFormat="1" ht="20.25">
      <c r="E12" s="90"/>
      <c r="F12" s="90"/>
      <c r="G12" s="90"/>
      <c r="H12" s="90"/>
      <c r="I12" s="90"/>
      <c r="J12" s="1300"/>
      <c r="K12" s="1300"/>
      <c r="L12" s="516"/>
      <c r="M12" s="516"/>
      <c r="N12" s="516"/>
      <c r="O12" s="516"/>
      <c r="P12" s="516"/>
      <c r="Q12" s="516"/>
      <c r="R12" s="516"/>
      <c r="S12" s="516"/>
      <c r="T12" s="516"/>
      <c r="U12" s="516"/>
      <c r="V12" s="1268"/>
      <c r="W12" s="516"/>
      <c r="X12" s="516"/>
      <c r="Y12" s="516"/>
      <c r="Z12" s="516"/>
      <c r="AA12" s="516"/>
      <c r="AB12" s="6"/>
      <c r="AC12" s="516"/>
      <c r="AD12" s="516"/>
      <c r="AE12" s="516"/>
      <c r="AF12" s="516"/>
      <c r="AG12" s="516"/>
      <c r="AH12" s="6"/>
      <c r="AI12"/>
      <c r="AJ12" s="106"/>
      <c r="AK12" s="106"/>
      <c r="AL12" s="224"/>
      <c r="AM12" s="224"/>
      <c r="AN12" s="224"/>
      <c r="AO12" s="1300"/>
      <c r="AP12" s="1300"/>
      <c r="AQ12" s="516"/>
      <c r="AR12" s="516"/>
      <c r="AS12" s="516"/>
      <c r="AT12" s="106"/>
      <c r="AU12" s="106"/>
      <c r="AV12" s="106"/>
      <c r="AW12" s="106"/>
      <c r="AX12" s="106"/>
      <c r="AY12" s="106"/>
      <c r="AZ12" s="106"/>
      <c r="BA12" s="106"/>
      <c r="BB12" s="106"/>
      <c r="BC12" s="106"/>
      <c r="BD12" s="106"/>
      <c r="BE12" s="106"/>
      <c r="BF12" s="106"/>
      <c r="BG12" s="106"/>
      <c r="BH12" s="106"/>
      <c r="BI12" s="106"/>
      <c r="BJ12" s="106"/>
      <c r="BK12" s="106"/>
      <c r="BL12" s="106"/>
      <c r="BM12" s="106"/>
      <c r="BN12" s="106"/>
      <c r="BO12" s="106"/>
      <c r="BP12" s="106"/>
      <c r="BQ12" s="106"/>
      <c r="BR12" s="106"/>
      <c r="BS12" s="106"/>
    </row>
    <row r="13" spans="1:71" s="425" customFormat="1">
      <c r="J13" s="7"/>
      <c r="K13" s="7"/>
      <c r="L13" s="7"/>
      <c r="M13" s="7"/>
      <c r="N13" s="7"/>
      <c r="O13" s="7"/>
      <c r="P13" s="7"/>
      <c r="Q13" s="7"/>
      <c r="R13" s="7"/>
      <c r="S13" s="7"/>
      <c r="T13" s="7"/>
      <c r="U13" s="7"/>
      <c r="V13" s="1268"/>
      <c r="W13" s="1268"/>
      <c r="X13" s="7"/>
      <c r="Y13" s="7"/>
      <c r="Z13" s="7"/>
      <c r="AA13" s="7"/>
      <c r="AB13" s="11"/>
      <c r="AC13" s="11"/>
      <c r="AD13" s="7"/>
      <c r="AE13" s="7"/>
      <c r="AF13" s="7"/>
      <c r="AG13" s="7"/>
      <c r="AH13" s="11"/>
      <c r="AI13"/>
      <c r="AJ13" s="424"/>
      <c r="AO13" s="7"/>
      <c r="AP13" s="7"/>
      <c r="AQ13" s="7"/>
      <c r="AR13" s="7"/>
      <c r="AS13" s="7"/>
    </row>
    <row r="14" spans="1:71" s="425" customFormat="1" ht="13.5" thickBot="1">
      <c r="V14"/>
      <c r="W14" s="65"/>
      <c r="AB14" s="426"/>
      <c r="AC14" s="426"/>
      <c r="AH14" s="426"/>
      <c r="AI14"/>
      <c r="AJ14" s="424"/>
    </row>
    <row r="15" spans="1:71" s="423" customFormat="1" ht="28.5" customHeight="1" thickBot="1">
      <c r="E15" s="769" t="s">
        <v>504</v>
      </c>
      <c r="F15" s="769"/>
      <c r="G15" s="769"/>
      <c r="H15" s="769"/>
      <c r="I15" s="769"/>
      <c r="J15" s="769"/>
      <c r="K15" s="769"/>
      <c r="L15" s="769"/>
      <c r="M15" s="769"/>
      <c r="N15" s="769"/>
      <c r="O15" s="769"/>
      <c r="P15" s="769"/>
      <c r="Q15" s="769"/>
      <c r="R15" s="769"/>
      <c r="S15" s="769"/>
      <c r="T15" s="769"/>
      <c r="U15" s="769"/>
      <c r="V15" s="1266"/>
      <c r="W15" s="769"/>
      <c r="X15" s="769"/>
      <c r="Y15" s="769"/>
      <c r="Z15" s="769"/>
      <c r="AA15" s="769"/>
      <c r="AB15" s="769"/>
      <c r="AC15" s="769"/>
      <c r="AD15" s="769"/>
      <c r="AE15" s="769"/>
      <c r="AF15" s="769"/>
      <c r="AG15" s="769"/>
      <c r="AH15" s="769"/>
      <c r="AI15" s="1266"/>
      <c r="AL15" s="769" t="s">
        <v>674</v>
      </c>
      <c r="AM15" s="769"/>
      <c r="AN15" s="769"/>
      <c r="AO15" s="769"/>
      <c r="AP15" s="769"/>
      <c r="AQ15" s="769"/>
      <c r="AR15" s="769"/>
      <c r="AS15" s="1303"/>
    </row>
    <row r="16" spans="1:71" s="423" customFormat="1" ht="28.5" customHeight="1" thickBot="1">
      <c r="E16" s="2867" t="s">
        <v>671</v>
      </c>
      <c r="F16" s="1375"/>
      <c r="G16" s="1375"/>
      <c r="H16" s="1375"/>
      <c r="I16" s="1375"/>
      <c r="J16" s="1375"/>
      <c r="K16" s="1375"/>
      <c r="L16" s="1375"/>
      <c r="M16" s="1375"/>
      <c r="N16" s="1375"/>
      <c r="O16" s="1375"/>
      <c r="P16" s="1375"/>
      <c r="Q16" s="1375"/>
      <c r="R16" s="1375"/>
      <c r="S16" s="1375"/>
      <c r="T16" s="1375"/>
      <c r="U16" s="1375"/>
      <c r="V16" s="476"/>
      <c r="W16" s="1375"/>
      <c r="X16" s="1375"/>
      <c r="Y16" s="1375"/>
      <c r="Z16" s="1375"/>
      <c r="AA16" s="1375"/>
      <c r="AB16" s="1375"/>
      <c r="AC16" s="1375"/>
      <c r="AD16" s="1375"/>
      <c r="AE16" s="1375"/>
      <c r="AF16" s="1375"/>
      <c r="AG16" s="1375"/>
      <c r="AH16" s="1376"/>
      <c r="AI16"/>
      <c r="AL16" s="1787"/>
      <c r="AM16" s="1375"/>
      <c r="AN16" s="1375"/>
      <c r="AO16" s="1375"/>
      <c r="AP16" s="1375"/>
      <c r="AQ16" s="1375"/>
      <c r="AR16" s="1375"/>
      <c r="AS16" s="1376"/>
    </row>
    <row r="17" spans="5:45" s="425" customFormat="1" ht="24" customHeight="1" thickBot="1">
      <c r="E17" s="292" t="s">
        <v>670</v>
      </c>
      <c r="F17" s="306"/>
      <c r="G17" s="481"/>
      <c r="H17" s="481"/>
      <c r="I17" s="481"/>
      <c r="J17" s="481"/>
      <c r="K17" s="481"/>
      <c r="L17" s="481"/>
      <c r="M17" s="481"/>
      <c r="N17" s="481"/>
      <c r="O17" s="481"/>
      <c r="P17" s="481"/>
      <c r="Q17" s="481"/>
      <c r="R17" s="481"/>
      <c r="S17" s="481"/>
      <c r="T17" s="481"/>
      <c r="U17" s="453"/>
      <c r="V17" s="1266"/>
      <c r="W17" s="292"/>
      <c r="X17" s="306"/>
      <c r="Y17" s="306"/>
      <c r="Z17" s="306"/>
      <c r="AA17" s="306"/>
      <c r="AB17" s="308"/>
      <c r="AC17" s="306"/>
      <c r="AD17" s="306"/>
      <c r="AE17" s="306"/>
      <c r="AF17" s="306"/>
      <c r="AG17" s="306"/>
      <c r="AH17" s="309"/>
      <c r="AI17"/>
      <c r="AL17" s="481"/>
      <c r="AM17" s="481"/>
      <c r="AN17" s="481"/>
      <c r="AO17" s="481"/>
      <c r="AP17" s="481"/>
      <c r="AQ17" s="481"/>
      <c r="AR17" s="481"/>
      <c r="AS17" s="481"/>
    </row>
    <row r="18" spans="5:45" s="65" customFormat="1" ht="18" customHeight="1">
      <c r="E18" s="4223"/>
      <c r="F18" s="4224"/>
      <c r="G18" s="4186" t="s">
        <v>36</v>
      </c>
      <c r="H18" s="4137"/>
      <c r="I18" s="4137"/>
      <c r="J18" s="4137"/>
      <c r="K18" s="4137"/>
      <c r="L18" s="4187" t="s">
        <v>37</v>
      </c>
      <c r="M18" s="4188"/>
      <c r="N18" s="4188"/>
      <c r="O18" s="4188"/>
      <c r="P18" s="4188"/>
      <c r="Q18" s="4105" t="s">
        <v>75</v>
      </c>
      <c r="R18" s="4105"/>
      <c r="S18" s="4105"/>
      <c r="T18" s="4105"/>
      <c r="U18" s="4229"/>
      <c r="V18" s="1266"/>
      <c r="W18" s="4186" t="s">
        <v>36</v>
      </c>
      <c r="X18" s="4232"/>
      <c r="Y18" s="4232"/>
      <c r="Z18" s="4232"/>
      <c r="AA18" s="4232"/>
      <c r="AB18" s="4233"/>
      <c r="AC18" s="4187" t="s">
        <v>37</v>
      </c>
      <c r="AD18" s="4230"/>
      <c r="AE18" s="4230"/>
      <c r="AF18" s="4230"/>
      <c r="AG18" s="4230"/>
      <c r="AH18" s="4231"/>
      <c r="AI18"/>
      <c r="AL18" s="4186" t="s">
        <v>36</v>
      </c>
      <c r="AM18" s="4137"/>
      <c r="AN18" s="4137"/>
      <c r="AO18" s="4137"/>
      <c r="AP18" s="4137"/>
      <c r="AQ18" s="4187" t="s">
        <v>37</v>
      </c>
      <c r="AR18" s="4188"/>
      <c r="AS18" s="4189"/>
    </row>
    <row r="19" spans="5:45" s="65" customFormat="1" ht="15" customHeight="1">
      <c r="E19" s="4225"/>
      <c r="F19" s="4226"/>
      <c r="G19" s="4125" t="s">
        <v>569</v>
      </c>
      <c r="H19" s="4126"/>
      <c r="I19" s="4126"/>
      <c r="J19" s="4126"/>
      <c r="K19" s="4126"/>
      <c r="L19" s="4126"/>
      <c r="M19" s="4126"/>
      <c r="N19" s="4127"/>
      <c r="O19" s="4128" t="str">
        <f>CONCATENATE("$0's, real ",dms_DollarReal)</f>
        <v>$0's, real December 2017</v>
      </c>
      <c r="P19" s="4129"/>
      <c r="Q19" s="4129"/>
      <c r="R19" s="4129"/>
      <c r="S19" s="4129"/>
      <c r="T19" s="4129"/>
      <c r="U19" s="4130"/>
      <c r="V19" s="1266"/>
      <c r="W19" s="4131" t="str">
        <f>CONCATENATE("$0's, real ",dms_DollarReal)</f>
        <v>$0's, real December 2017</v>
      </c>
      <c r="X19" s="4132"/>
      <c r="Y19" s="4132"/>
      <c r="Z19" s="4132"/>
      <c r="AA19" s="4132"/>
      <c r="AB19" s="435" t="s">
        <v>120</v>
      </c>
      <c r="AC19" s="4133" t="str">
        <f>CONCATENATE("$0's, real ",dms_DollarReal)</f>
        <v>$0's, real December 2017</v>
      </c>
      <c r="AD19" s="4133"/>
      <c r="AE19" s="4133"/>
      <c r="AF19" s="4133"/>
      <c r="AG19" s="4133"/>
      <c r="AH19" s="434" t="s">
        <v>120</v>
      </c>
      <c r="AI19"/>
      <c r="AL19" s="4125" t="str">
        <f>CONCATENATE("$0's, real ",dms_DollarReal)</f>
        <v>$0's, real December 2017</v>
      </c>
      <c r="AM19" s="4126"/>
      <c r="AN19" s="4126"/>
      <c r="AO19" s="4126"/>
      <c r="AP19" s="4126"/>
      <c r="AQ19" s="4126"/>
      <c r="AR19" s="4126"/>
      <c r="AS19" s="4169"/>
    </row>
    <row r="20" spans="5:45" s="65" customFormat="1" ht="25.5">
      <c r="E20" s="4225"/>
      <c r="F20" s="4226"/>
      <c r="G20" s="4125" t="s">
        <v>56</v>
      </c>
      <c r="H20" s="4126"/>
      <c r="I20" s="4126"/>
      <c r="J20" s="4126"/>
      <c r="K20" s="4126"/>
      <c r="L20" s="4126"/>
      <c r="M20" s="4126"/>
      <c r="N20" s="4127"/>
      <c r="O20" s="4128" t="s">
        <v>57</v>
      </c>
      <c r="P20" s="4129"/>
      <c r="Q20" s="4129"/>
      <c r="R20" s="4129"/>
      <c r="S20" s="4129"/>
      <c r="T20" s="4129"/>
      <c r="U20" s="4130"/>
      <c r="V20" s="1266"/>
      <c r="W20" s="4131" t="s">
        <v>76</v>
      </c>
      <c r="X20" s="4132"/>
      <c r="Y20" s="4132"/>
      <c r="Z20" s="4132"/>
      <c r="AA20" s="4132"/>
      <c r="AB20" s="383" t="s">
        <v>119</v>
      </c>
      <c r="AC20" s="4133" t="s">
        <v>76</v>
      </c>
      <c r="AD20" s="4133"/>
      <c r="AE20" s="4133"/>
      <c r="AF20" s="4133"/>
      <c r="AG20" s="4133"/>
      <c r="AH20" s="383" t="s">
        <v>119</v>
      </c>
      <c r="AI20"/>
      <c r="AL20" s="4125" t="s">
        <v>56</v>
      </c>
      <c r="AM20" s="4126"/>
      <c r="AN20" s="4126"/>
      <c r="AO20" s="4126"/>
      <c r="AP20" s="4126"/>
      <c r="AQ20" s="4126"/>
      <c r="AR20" s="4126"/>
      <c r="AS20" s="4169"/>
    </row>
    <row r="21" spans="5:45" s="65" customFormat="1" ht="15.75" customHeight="1" thickBot="1">
      <c r="E21" s="4227"/>
      <c r="F21" s="4228"/>
      <c r="G21" s="1521">
        <f t="array" ref="G21:K21">PRCP</f>
        <v>2008</v>
      </c>
      <c r="H21" s="374">
        <v>2009</v>
      </c>
      <c r="I21" s="374">
        <v>2010</v>
      </c>
      <c r="J21" s="374">
        <v>2011</v>
      </c>
      <c r="K21" s="374">
        <v>2012</v>
      </c>
      <c r="L21" s="376">
        <f>CRCP_y1</f>
        <v>2013</v>
      </c>
      <c r="M21" s="376">
        <f>CRCP_y2</f>
        <v>2014</v>
      </c>
      <c r="N21" s="376">
        <f>CRCP_y3</f>
        <v>2015</v>
      </c>
      <c r="O21" s="376">
        <f>CRCP_y4</f>
        <v>2016</v>
      </c>
      <c r="P21" s="376">
        <f>CRCP_y5</f>
        <v>2017</v>
      </c>
      <c r="Q21" s="374" t="str">
        <f t="array" ref="Q21:U21">FRCP</f>
        <v>2018</v>
      </c>
      <c r="R21" s="374">
        <v>2019</v>
      </c>
      <c r="S21" s="374">
        <v>2020</v>
      </c>
      <c r="T21" s="374">
        <v>2021</v>
      </c>
      <c r="U21" s="470">
        <v>2022</v>
      </c>
      <c r="V21" s="1266"/>
      <c r="W21" s="1521">
        <f t="array" ref="W21:AA21">PRCP</f>
        <v>2008</v>
      </c>
      <c r="X21" s="374">
        <v>2009</v>
      </c>
      <c r="Y21" s="374">
        <v>2010</v>
      </c>
      <c r="Z21" s="374">
        <v>2011</v>
      </c>
      <c r="AA21" s="374">
        <v>2012</v>
      </c>
      <c r="AB21" s="16" t="s">
        <v>118</v>
      </c>
      <c r="AC21" s="376">
        <f>CRCP_y1</f>
        <v>2013</v>
      </c>
      <c r="AD21" s="376">
        <f>CRCP_y2</f>
        <v>2014</v>
      </c>
      <c r="AE21" s="376">
        <f>CRCP_y3</f>
        <v>2015</v>
      </c>
      <c r="AF21" s="376">
        <f>CRCP_y4</f>
        <v>2016</v>
      </c>
      <c r="AG21" s="376">
        <f>CRCP_y5</f>
        <v>2017</v>
      </c>
      <c r="AH21" s="16" t="s">
        <v>118</v>
      </c>
      <c r="AI21"/>
      <c r="AL21" s="1521">
        <f t="array" ref="AL21:AP21">PRCP</f>
        <v>2008</v>
      </c>
      <c r="AM21" s="374">
        <v>2009</v>
      </c>
      <c r="AN21" s="374">
        <v>2010</v>
      </c>
      <c r="AO21" s="374">
        <v>2011</v>
      </c>
      <c r="AP21" s="374">
        <v>2012</v>
      </c>
      <c r="AQ21" s="376">
        <f>CRCP_y1</f>
        <v>2013</v>
      </c>
      <c r="AR21" s="376">
        <f>CRCP_y2</f>
        <v>2014</v>
      </c>
      <c r="AS21" s="568">
        <f>CRCP_y3</f>
        <v>2015</v>
      </c>
    </row>
    <row r="22" spans="5:45" ht="12.75" customHeight="1">
      <c r="E22" s="4237" t="s">
        <v>1535</v>
      </c>
      <c r="F22" s="461" t="s">
        <v>117</v>
      </c>
      <c r="G22" s="1693"/>
      <c r="H22" s="451"/>
      <c r="I22" s="451"/>
      <c r="J22" s="451"/>
      <c r="K22" s="1140"/>
      <c r="L22" s="1693"/>
      <c r="M22" s="451"/>
      <c r="N22" s="451"/>
      <c r="O22" s="451"/>
      <c r="P22" s="1140">
        <f t="shared" ref="P22:U22" si="0">P28</f>
        <v>127993</v>
      </c>
      <c r="Q22" s="1176">
        <f t="shared" si="0"/>
        <v>126435</v>
      </c>
      <c r="R22" s="1177">
        <f t="shared" si="0"/>
        <v>127702</v>
      </c>
      <c r="S22" s="1177">
        <f t="shared" si="0"/>
        <v>127824</v>
      </c>
      <c r="T22" s="1177">
        <f t="shared" si="0"/>
        <v>135363</v>
      </c>
      <c r="U22" s="1140">
        <f t="shared" si="0"/>
        <v>107381</v>
      </c>
      <c r="V22" s="1266"/>
      <c r="W22" s="1693"/>
      <c r="X22" s="451"/>
      <c r="Y22" s="451"/>
      <c r="Z22" s="451"/>
      <c r="AA22" s="1140"/>
      <c r="AB22" s="1141" t="e">
        <f t="shared" ref="AB22:AB27" si="1">SUM(G22:K22)/SUM(W22:AA22)-1</f>
        <v>#DIV/0!</v>
      </c>
      <c r="AC22" s="1693"/>
      <c r="AD22" s="451"/>
      <c r="AE22" s="451"/>
      <c r="AF22" s="451"/>
      <c r="AG22" s="451"/>
      <c r="AH22" s="1142" t="e">
        <f t="shared" ref="AH22:AH27" si="2">SUM(L22:P22)/SUM(AC22:AG22)-1</f>
        <v>#DIV/0!</v>
      </c>
      <c r="AI22" s="65"/>
      <c r="AL22" s="1173"/>
      <c r="AM22" s="1174"/>
      <c r="AN22" s="1174"/>
      <c r="AO22" s="1174"/>
      <c r="AP22" s="1175"/>
      <c r="AQ22" s="1693"/>
      <c r="AR22" s="451"/>
      <c r="AS22" s="1140"/>
    </row>
    <row r="23" spans="5:45" ht="12.75" customHeight="1">
      <c r="E23" s="4238"/>
      <c r="F23" s="1463" t="s">
        <v>614</v>
      </c>
      <c r="G23" s="294">
        <v>50158</v>
      </c>
      <c r="H23" s="488">
        <v>58076</v>
      </c>
      <c r="I23" s="488">
        <v>28757</v>
      </c>
      <c r="J23" s="488">
        <v>19381</v>
      </c>
      <c r="K23" s="317">
        <v>103300</v>
      </c>
      <c r="L23" s="294">
        <v>56652.1</v>
      </c>
      <c r="M23" s="488">
        <v>110310</v>
      </c>
      <c r="N23" s="488">
        <v>85407</v>
      </c>
      <c r="O23" s="488">
        <f>'[5]2.1 Mains'!$C$31*1000</f>
        <v>112908.99999999999</v>
      </c>
      <c r="P23" s="317">
        <v>127993</v>
      </c>
      <c r="Q23" s="1047">
        <v>126435</v>
      </c>
      <c r="R23" s="488">
        <v>127702</v>
      </c>
      <c r="S23" s="488">
        <v>127824</v>
      </c>
      <c r="T23" s="488">
        <v>135363</v>
      </c>
      <c r="U23" s="317">
        <v>107381</v>
      </c>
      <c r="V23" s="1266"/>
      <c r="W23" s="294"/>
      <c r="X23" s="488"/>
      <c r="Y23" s="488"/>
      <c r="Z23" s="488"/>
      <c r="AA23" s="317"/>
      <c r="AB23" s="1138" t="e">
        <f t="shared" si="1"/>
        <v>#DIV/0!</v>
      </c>
      <c r="AC23" s="294"/>
      <c r="AD23" s="488"/>
      <c r="AE23" s="488"/>
      <c r="AF23" s="488"/>
      <c r="AG23" s="488"/>
      <c r="AH23" s="1143" t="e">
        <f t="shared" si="2"/>
        <v>#DIV/0!</v>
      </c>
      <c r="AI23" s="65"/>
      <c r="AL23" s="1178"/>
      <c r="AM23" s="1179"/>
      <c r="AN23" s="1179"/>
      <c r="AO23" s="1179"/>
      <c r="AP23" s="1180"/>
      <c r="AQ23" s="297"/>
      <c r="AR23" s="493"/>
      <c r="AS23" s="319"/>
    </row>
    <row r="24" spans="5:45" ht="12.75" customHeight="1">
      <c r="E24" s="4238"/>
      <c r="F24" s="1463" t="s">
        <v>615</v>
      </c>
      <c r="G24" s="294"/>
      <c r="H24" s="488"/>
      <c r="I24" s="488"/>
      <c r="J24" s="488"/>
      <c r="K24" s="317"/>
      <c r="L24" s="294"/>
      <c r="M24" s="488"/>
      <c r="N24" s="488"/>
      <c r="O24" s="488"/>
      <c r="P24" s="317"/>
      <c r="Q24" s="1047"/>
      <c r="R24" s="488"/>
      <c r="S24" s="488"/>
      <c r="T24" s="488"/>
      <c r="U24" s="317"/>
      <c r="V24" s="1266"/>
      <c r="W24" s="294"/>
      <c r="X24" s="488"/>
      <c r="Y24" s="488"/>
      <c r="Z24" s="488"/>
      <c r="AA24" s="317"/>
      <c r="AB24" s="1138" t="e">
        <f t="shared" si="1"/>
        <v>#DIV/0!</v>
      </c>
      <c r="AC24" s="294"/>
      <c r="AD24" s="488"/>
      <c r="AE24" s="488"/>
      <c r="AF24" s="488"/>
      <c r="AG24" s="488"/>
      <c r="AH24" s="1143" t="e">
        <f t="shared" si="2"/>
        <v>#DIV/0!</v>
      </c>
      <c r="AI24" s="65"/>
      <c r="AL24" s="1178"/>
      <c r="AM24" s="1179"/>
      <c r="AN24" s="1179"/>
      <c r="AO24" s="1179"/>
      <c r="AP24" s="1180"/>
      <c r="AQ24" s="297"/>
      <c r="AR24" s="493"/>
      <c r="AS24" s="319"/>
    </row>
    <row r="25" spans="5:45" ht="12.75" customHeight="1">
      <c r="E25" s="4238"/>
      <c r="F25" s="1463" t="s">
        <v>616</v>
      </c>
      <c r="G25" s="294"/>
      <c r="H25" s="488"/>
      <c r="I25" s="488"/>
      <c r="J25" s="488"/>
      <c r="K25" s="317"/>
      <c r="L25" s="294"/>
      <c r="M25" s="488"/>
      <c r="N25" s="488"/>
      <c r="O25" s="488"/>
      <c r="P25" s="317"/>
      <c r="Q25" s="1047"/>
      <c r="R25" s="488"/>
      <c r="S25" s="488"/>
      <c r="T25" s="488"/>
      <c r="U25" s="317"/>
      <c r="V25" s="1266"/>
      <c r="W25" s="294"/>
      <c r="X25" s="488"/>
      <c r="Y25" s="488"/>
      <c r="Z25" s="488"/>
      <c r="AA25" s="317"/>
      <c r="AB25" s="1138" t="e">
        <f t="shared" si="1"/>
        <v>#DIV/0!</v>
      </c>
      <c r="AC25" s="294"/>
      <c r="AD25" s="488"/>
      <c r="AE25" s="488"/>
      <c r="AF25" s="488"/>
      <c r="AG25" s="488"/>
      <c r="AH25" s="1143" t="e">
        <f t="shared" si="2"/>
        <v>#DIV/0!</v>
      </c>
      <c r="AI25" s="65"/>
      <c r="AL25" s="1178"/>
      <c r="AM25" s="1179"/>
      <c r="AN25" s="1179"/>
      <c r="AO25" s="1179"/>
      <c r="AP25" s="1180"/>
      <c r="AQ25" s="297"/>
      <c r="AR25" s="493"/>
      <c r="AS25" s="319"/>
    </row>
    <row r="26" spans="5:45" ht="12.75" customHeight="1">
      <c r="E26" s="4238"/>
      <c r="F26" s="1463" t="s">
        <v>617</v>
      </c>
      <c r="G26" s="294"/>
      <c r="H26" s="488"/>
      <c r="I26" s="488"/>
      <c r="J26" s="488"/>
      <c r="K26" s="317"/>
      <c r="L26" s="294"/>
      <c r="M26" s="488"/>
      <c r="N26" s="488"/>
      <c r="O26" s="488"/>
      <c r="P26" s="317"/>
      <c r="Q26" s="1047"/>
      <c r="R26" s="488"/>
      <c r="S26" s="488"/>
      <c r="T26" s="488"/>
      <c r="U26" s="317"/>
      <c r="V26" s="1266"/>
      <c r="W26" s="294"/>
      <c r="X26" s="488"/>
      <c r="Y26" s="488"/>
      <c r="Z26" s="488"/>
      <c r="AA26" s="317"/>
      <c r="AB26" s="1138" t="e">
        <f t="shared" si="1"/>
        <v>#DIV/0!</v>
      </c>
      <c r="AC26" s="294"/>
      <c r="AD26" s="488"/>
      <c r="AE26" s="488"/>
      <c r="AF26" s="488"/>
      <c r="AG26" s="488"/>
      <c r="AH26" s="1143" t="e">
        <f t="shared" si="2"/>
        <v>#DIV/0!</v>
      </c>
      <c r="AI26" s="65"/>
      <c r="AL26" s="1178"/>
      <c r="AM26" s="1179"/>
      <c r="AN26" s="1179"/>
      <c r="AO26" s="1179"/>
      <c r="AP26" s="1180"/>
      <c r="AQ26" s="297"/>
      <c r="AR26" s="493"/>
      <c r="AS26" s="319"/>
    </row>
    <row r="27" spans="5:45" ht="12.75" customHeight="1">
      <c r="E27" s="4238"/>
      <c r="F27" s="1463" t="s">
        <v>618</v>
      </c>
      <c r="G27" s="247"/>
      <c r="H27" s="483"/>
      <c r="I27" s="483"/>
      <c r="J27" s="483"/>
      <c r="K27" s="484"/>
      <c r="L27" s="247"/>
      <c r="M27" s="483"/>
      <c r="N27" s="483"/>
      <c r="O27" s="483"/>
      <c r="P27" s="484"/>
      <c r="Q27" s="264"/>
      <c r="R27" s="483"/>
      <c r="S27" s="483"/>
      <c r="T27" s="483"/>
      <c r="U27" s="484"/>
      <c r="V27" s="1266"/>
      <c r="W27" s="247">
        <f>SUM(W22:W26)</f>
        <v>0</v>
      </c>
      <c r="X27" s="483">
        <f>SUM(X22:X26)</f>
        <v>0</v>
      </c>
      <c r="Y27" s="483">
        <f>SUM(Y22:Y26)</f>
        <v>0</v>
      </c>
      <c r="Z27" s="483">
        <f>SUM(Z22:Z26)</f>
        <v>0</v>
      </c>
      <c r="AA27" s="484">
        <f>SUM(AA22:AA26)</f>
        <v>0</v>
      </c>
      <c r="AB27" s="1138" t="e">
        <f t="shared" si="1"/>
        <v>#DIV/0!</v>
      </c>
      <c r="AC27" s="247">
        <f>SUM(AC22:AC26)</f>
        <v>0</v>
      </c>
      <c r="AD27" s="483">
        <f>SUM(AD22:AD26)</f>
        <v>0</v>
      </c>
      <c r="AE27" s="483">
        <f>SUM(AE22:AE26)</f>
        <v>0</v>
      </c>
      <c r="AF27" s="483">
        <f>SUM(AF22:AF26)</f>
        <v>0</v>
      </c>
      <c r="AG27" s="483">
        <f>SUM(AG22:AG26)</f>
        <v>0</v>
      </c>
      <c r="AH27" s="1144" t="e">
        <f t="shared" si="2"/>
        <v>#DIV/0!</v>
      </c>
      <c r="AI27" s="65"/>
      <c r="AL27" s="1178"/>
      <c r="AM27" s="1179"/>
      <c r="AN27" s="1179"/>
      <c r="AO27" s="1179"/>
      <c r="AP27" s="1180"/>
      <c r="AQ27" s="247">
        <f>SUM(AQ22:AQ26)</f>
        <v>0</v>
      </c>
      <c r="AR27" s="483">
        <f t="shared" ref="AR27:AS27" si="3">SUM(AR22:AR26)</f>
        <v>0</v>
      </c>
      <c r="AS27" s="484">
        <f t="shared" si="3"/>
        <v>0</v>
      </c>
    </row>
    <row r="28" spans="5:45">
      <c r="E28" s="4238"/>
      <c r="F28" s="1464" t="s">
        <v>613</v>
      </c>
      <c r="G28" s="296">
        <v>50158</v>
      </c>
      <c r="H28" s="492">
        <v>58076</v>
      </c>
      <c r="I28" s="492">
        <v>28757</v>
      </c>
      <c r="J28" s="492">
        <v>19381</v>
      </c>
      <c r="K28" s="318">
        <v>103300</v>
      </c>
      <c r="L28" s="296">
        <v>56652.1</v>
      </c>
      <c r="M28" s="492">
        <v>110310</v>
      </c>
      <c r="N28" s="492">
        <v>85407</v>
      </c>
      <c r="O28" s="492">
        <f>SUM(O23:O27)</f>
        <v>112908.99999999999</v>
      </c>
      <c r="P28" s="318">
        <f t="shared" ref="P28:U28" si="4">SUM(P23:P27)</f>
        <v>127993</v>
      </c>
      <c r="Q28" s="1055">
        <f t="shared" si="4"/>
        <v>126435</v>
      </c>
      <c r="R28" s="1055">
        <f t="shared" si="4"/>
        <v>127702</v>
      </c>
      <c r="S28" s="1055">
        <f t="shared" si="4"/>
        <v>127824</v>
      </c>
      <c r="T28" s="1055">
        <f t="shared" si="4"/>
        <v>135363</v>
      </c>
      <c r="U28" s="318">
        <f t="shared" si="4"/>
        <v>107381</v>
      </c>
      <c r="V28" s="1266"/>
      <c r="W28" s="296"/>
      <c r="X28" s="492"/>
      <c r="Y28" s="492"/>
      <c r="Z28" s="492"/>
      <c r="AA28" s="318"/>
      <c r="AB28" s="1085"/>
      <c r="AC28" s="296"/>
      <c r="AD28" s="492"/>
      <c r="AE28" s="492"/>
      <c r="AF28" s="492"/>
      <c r="AG28" s="492"/>
      <c r="AH28" s="1145"/>
      <c r="AI28" s="65"/>
      <c r="AL28" s="1181"/>
      <c r="AM28" s="1182"/>
      <c r="AN28" s="1182"/>
      <c r="AO28" s="1182"/>
      <c r="AP28" s="1183"/>
      <c r="AQ28" s="296"/>
      <c r="AR28" s="492"/>
      <c r="AS28" s="318"/>
    </row>
    <row r="29" spans="5:45">
      <c r="E29" s="4238"/>
      <c r="F29" s="1465" t="s">
        <v>619</v>
      </c>
      <c r="G29" s="294"/>
      <c r="H29" s="488"/>
      <c r="I29" s="488"/>
      <c r="J29" s="488"/>
      <c r="K29" s="317"/>
      <c r="L29" s="294"/>
      <c r="M29" s="488"/>
      <c r="N29" s="488"/>
      <c r="O29" s="488"/>
      <c r="P29" s="317"/>
      <c r="Q29" s="1047"/>
      <c r="R29" s="488"/>
      <c r="S29" s="488"/>
      <c r="T29" s="488"/>
      <c r="U29" s="317"/>
      <c r="V29" s="1266"/>
      <c r="W29" s="294"/>
      <c r="X29" s="488"/>
      <c r="Y29" s="488"/>
      <c r="Z29" s="488"/>
      <c r="AA29" s="317"/>
      <c r="AB29" s="1138"/>
      <c r="AC29" s="294"/>
      <c r="AD29" s="488"/>
      <c r="AE29" s="488"/>
      <c r="AF29" s="488"/>
      <c r="AG29" s="488"/>
      <c r="AH29" s="1143"/>
      <c r="AI29" s="65"/>
      <c r="AL29" s="1178"/>
      <c r="AM29" s="1179"/>
      <c r="AN29" s="1179"/>
      <c r="AO29" s="1179"/>
      <c r="AP29" s="1180"/>
      <c r="AQ29" s="297"/>
      <c r="AR29" s="493"/>
      <c r="AS29" s="319"/>
    </row>
    <row r="30" spans="5:45">
      <c r="E30" s="4238"/>
      <c r="F30" s="459" t="s">
        <v>584</v>
      </c>
      <c r="G30" s="294">
        <v>99817.225879262638</v>
      </c>
      <c r="H30" s="488">
        <v>48084.185396849847</v>
      </c>
      <c r="I30" s="488">
        <v>119722.35750959897</v>
      </c>
      <c r="J30" s="488">
        <v>199218.8069426484</v>
      </c>
      <c r="K30" s="317">
        <v>434753.71858763712</v>
      </c>
      <c r="L30" s="294">
        <v>10568045.924244972</v>
      </c>
      <c r="M30" s="488">
        <v>22629966.539999999</v>
      </c>
      <c r="N30" s="488">
        <v>19908426.319999997</v>
      </c>
      <c r="O30" s="488">
        <f>'[5]2.1 Mains'!$D$21*1000</f>
        <v>30675668.669999991</v>
      </c>
      <c r="P30" s="317">
        <f>'[6]Detailed Capex Inputs'!$N$20*1000000</f>
        <v>42600000</v>
      </c>
      <c r="Q30" s="488">
        <v>45300457.174258351</v>
      </c>
      <c r="R30" s="488">
        <v>42527485.634484805</v>
      </c>
      <c r="S30" s="488">
        <v>42281206.574585438</v>
      </c>
      <c r="T30" s="488">
        <v>43209480.045848459</v>
      </c>
      <c r="U30" s="317">
        <v>37391728.42256669</v>
      </c>
      <c r="V30" s="1266"/>
      <c r="W30" s="294"/>
      <c r="X30" s="488"/>
      <c r="Y30" s="488"/>
      <c r="Z30" s="488"/>
      <c r="AA30" s="317"/>
      <c r="AB30" s="1138"/>
      <c r="AC30" s="294"/>
      <c r="AD30" s="488"/>
      <c r="AE30" s="488"/>
      <c r="AF30" s="488"/>
      <c r="AG30" s="488"/>
      <c r="AH30" s="1143"/>
      <c r="AI30" s="65"/>
      <c r="AL30" s="1178"/>
      <c r="AM30" s="1179"/>
      <c r="AN30" s="1179"/>
      <c r="AO30" s="1179"/>
      <c r="AP30" s="1180"/>
      <c r="AQ30" s="297"/>
      <c r="AR30" s="493"/>
      <c r="AS30" s="319"/>
    </row>
    <row r="31" spans="5:45">
      <c r="E31" s="4238"/>
      <c r="F31" s="459" t="s">
        <v>585</v>
      </c>
      <c r="G31" s="294"/>
      <c r="H31" s="488"/>
      <c r="I31" s="488"/>
      <c r="J31" s="488"/>
      <c r="K31" s="317"/>
      <c r="L31" s="294"/>
      <c r="M31" s="488"/>
      <c r="N31" s="488"/>
      <c r="O31" s="488"/>
      <c r="P31" s="317"/>
      <c r="Q31" s="1047"/>
      <c r="R31" s="488"/>
      <c r="S31" s="488"/>
      <c r="T31" s="488"/>
      <c r="U31" s="317"/>
      <c r="V31" s="1266"/>
      <c r="W31" s="294"/>
      <c r="X31" s="488"/>
      <c r="Y31" s="488"/>
      <c r="Z31" s="488"/>
      <c r="AA31" s="317"/>
      <c r="AB31" s="1138"/>
      <c r="AC31" s="294"/>
      <c r="AD31" s="488"/>
      <c r="AE31" s="488"/>
      <c r="AF31" s="488"/>
      <c r="AG31" s="488"/>
      <c r="AH31" s="1143"/>
      <c r="AI31" s="65"/>
      <c r="AL31" s="1178"/>
      <c r="AM31" s="1179"/>
      <c r="AN31" s="1179"/>
      <c r="AO31" s="1179"/>
      <c r="AP31" s="1180"/>
      <c r="AQ31" s="297"/>
      <c r="AR31" s="493"/>
      <c r="AS31" s="319"/>
    </row>
    <row r="32" spans="5:45">
      <c r="E32" s="4238"/>
      <c r="F32" s="459" t="s">
        <v>604</v>
      </c>
      <c r="G32" s="297"/>
      <c r="H32" s="483"/>
      <c r="I32" s="483"/>
      <c r="J32" s="483"/>
      <c r="K32" s="484"/>
      <c r="L32" s="297"/>
      <c r="M32" s="483"/>
      <c r="N32" s="483"/>
      <c r="O32" s="483"/>
      <c r="P32" s="484"/>
      <c r="Q32" s="264"/>
      <c r="R32" s="483"/>
      <c r="S32" s="483"/>
      <c r="T32" s="483"/>
      <c r="U32" s="484"/>
      <c r="V32" s="1266"/>
      <c r="W32" s="247"/>
      <c r="X32" s="483"/>
      <c r="Y32" s="483"/>
      <c r="Z32" s="483"/>
      <c r="AA32" s="484"/>
      <c r="AB32" s="1138"/>
      <c r="AC32" s="247"/>
      <c r="AD32" s="483"/>
      <c r="AE32" s="483"/>
      <c r="AF32" s="483"/>
      <c r="AG32" s="483"/>
      <c r="AH32" s="1144"/>
      <c r="AI32" s="65"/>
      <c r="AL32" s="1184"/>
      <c r="AM32" s="1185"/>
      <c r="AN32" s="1185"/>
      <c r="AO32" s="1185"/>
      <c r="AP32" s="1186"/>
      <c r="AQ32" s="297"/>
      <c r="AR32" s="483"/>
      <c r="AS32" s="484"/>
    </row>
    <row r="33" spans="5:70">
      <c r="E33" s="4238"/>
      <c r="F33" s="1466" t="s">
        <v>605</v>
      </c>
      <c r="G33" s="296">
        <f>SUM(G29:G32)</f>
        <v>99817.225879262638</v>
      </c>
      <c r="H33" s="492">
        <f>SUM(H29:H32)</f>
        <v>48084.185396849847</v>
      </c>
      <c r="I33" s="492">
        <f>SUM(I29:I32)</f>
        <v>119722.35750959897</v>
      </c>
      <c r="J33" s="492">
        <f>SUM(J29:J32)</f>
        <v>199218.8069426484</v>
      </c>
      <c r="K33" s="318">
        <f>SUM(K29:K32)</f>
        <v>434753.71858763712</v>
      </c>
      <c r="L33" s="296">
        <f t="shared" ref="L33:Z33" si="5">SUM(L30:L32)</f>
        <v>10568045.924244972</v>
      </c>
      <c r="M33" s="492">
        <f t="shared" si="5"/>
        <v>22629966.539999999</v>
      </c>
      <c r="N33" s="492">
        <f t="shared" si="5"/>
        <v>19908426.319999997</v>
      </c>
      <c r="O33" s="492">
        <f t="shared" si="5"/>
        <v>30675668.669999991</v>
      </c>
      <c r="P33" s="318">
        <f t="shared" si="5"/>
        <v>42600000</v>
      </c>
      <c r="Q33" s="1055">
        <f t="shared" si="5"/>
        <v>45300457.174258351</v>
      </c>
      <c r="R33" s="492">
        <f t="shared" si="5"/>
        <v>42527485.634484805</v>
      </c>
      <c r="S33" s="492">
        <f t="shared" si="5"/>
        <v>42281206.574585438</v>
      </c>
      <c r="T33" s="492">
        <f t="shared" si="5"/>
        <v>43209480.045848459</v>
      </c>
      <c r="U33" s="318">
        <f t="shared" si="5"/>
        <v>37391728.42256669</v>
      </c>
      <c r="V33" s="1266"/>
      <c r="W33" s="296">
        <f t="shared" si="5"/>
        <v>0</v>
      </c>
      <c r="X33" s="492">
        <f t="shared" si="5"/>
        <v>0</v>
      </c>
      <c r="Y33" s="492">
        <f t="shared" si="5"/>
        <v>0</v>
      </c>
      <c r="Z33" s="492">
        <f t="shared" si="5"/>
        <v>0</v>
      </c>
      <c r="AA33" s="318">
        <f>SUM(AA30:AA32)</f>
        <v>0</v>
      </c>
      <c r="AB33" s="1085" t="e">
        <f>SUM(G33:K33)/SUM(W33:AA33)-1</f>
        <v>#DIV/0!</v>
      </c>
      <c r="AC33" s="296">
        <f>SUM(AC30:AC32)</f>
        <v>0</v>
      </c>
      <c r="AD33" s="492">
        <f>SUM(AD30:AD32)</f>
        <v>0</v>
      </c>
      <c r="AE33" s="492">
        <f>SUM(AE30:AE32)</f>
        <v>0</v>
      </c>
      <c r="AF33" s="492">
        <f>SUM(AF30:AF32)</f>
        <v>0</v>
      </c>
      <c r="AG33" s="492">
        <f>SUM(AG30:AG32)</f>
        <v>0</v>
      </c>
      <c r="AH33" s="1145" t="e">
        <f>SUM(L33:P33)/SUM(AC33:AG33)-1</f>
        <v>#DIV/0!</v>
      </c>
      <c r="AI33" s="65"/>
      <c r="AL33" s="1181"/>
      <c r="AM33" s="1182"/>
      <c r="AN33" s="1182"/>
      <c r="AO33" s="1182"/>
      <c r="AP33" s="1183"/>
      <c r="AQ33" s="296">
        <f>SUM(AQ30:AQ32)</f>
        <v>0</v>
      </c>
      <c r="AR33" s="492">
        <f t="shared" ref="AR33:AS33" si="6">SUM(AR30:AR32)</f>
        <v>0</v>
      </c>
      <c r="AS33" s="318">
        <f t="shared" si="6"/>
        <v>0</v>
      </c>
    </row>
    <row r="34" spans="5:70" ht="13.5" thickBot="1">
      <c r="E34" s="4238"/>
      <c r="F34" s="1132" t="s">
        <v>609</v>
      </c>
      <c r="G34" s="294">
        <v>11090.802875473628</v>
      </c>
      <c r="H34" s="488">
        <v>5342.6872663166496</v>
      </c>
      <c r="I34" s="488">
        <v>13302.484167733219</v>
      </c>
      <c r="J34" s="488">
        <v>22135.422993627599</v>
      </c>
      <c r="K34" s="317">
        <v>33925.485428304979</v>
      </c>
      <c r="L34" s="294">
        <v>284983.32575502939</v>
      </c>
      <c r="M34" s="488">
        <v>1089197.7599999998</v>
      </c>
      <c r="N34" s="488">
        <v>1047133.6799999999</v>
      </c>
      <c r="O34" s="488">
        <f>1791.51024*1000</f>
        <v>1791510.24</v>
      </c>
      <c r="P34" s="317">
        <f>P33*0.06</f>
        <v>2556000</v>
      </c>
      <c r="Q34" s="1047">
        <f t="shared" ref="Q34:U34" si="7">Q33*0.06</f>
        <v>2718027.4304555012</v>
      </c>
      <c r="R34" s="488">
        <f t="shared" si="7"/>
        <v>2551649.1380690881</v>
      </c>
      <c r="S34" s="488">
        <f t="shared" si="7"/>
        <v>2536872.3944751262</v>
      </c>
      <c r="T34" s="488">
        <f t="shared" si="7"/>
        <v>2592568.8027509074</v>
      </c>
      <c r="U34" s="317">
        <f t="shared" si="7"/>
        <v>2243503.7053540014</v>
      </c>
      <c r="V34" s="1266"/>
      <c r="W34" s="1730"/>
      <c r="X34" s="1731"/>
      <c r="Y34" s="1731"/>
      <c r="Z34" s="1731"/>
      <c r="AA34" s="1732"/>
      <c r="AB34" s="1733" t="e">
        <f>SUM(G34:K34)/SUM(W34:AA34)-1</f>
        <v>#DIV/0!</v>
      </c>
      <c r="AC34" s="1730"/>
      <c r="AD34" s="1734"/>
      <c r="AE34" s="1734"/>
      <c r="AF34" s="1734"/>
      <c r="AG34" s="1734"/>
      <c r="AH34" s="1735" t="e">
        <f>SUM(L34:P34)/SUM(AC34:AG34)-1</f>
        <v>#DIV/0!</v>
      </c>
      <c r="AI34" s="65"/>
      <c r="AL34" s="297"/>
      <c r="AM34" s="493"/>
      <c r="AN34" s="493"/>
      <c r="AO34" s="493"/>
      <c r="AP34" s="319"/>
      <c r="AQ34" s="297"/>
      <c r="AR34" s="493"/>
      <c r="AS34" s="319"/>
    </row>
    <row r="35" spans="5:70" ht="13.5" thickBot="1">
      <c r="E35" s="4238"/>
      <c r="F35" s="1469" t="s">
        <v>607</v>
      </c>
      <c r="G35" s="1726"/>
      <c r="H35" s="1727"/>
      <c r="I35" s="1727"/>
      <c r="J35" s="1727"/>
      <c r="K35" s="1728"/>
      <c r="L35" s="1726"/>
      <c r="M35" s="1727"/>
      <c r="N35" s="1727"/>
      <c r="O35" s="1727"/>
      <c r="P35" s="1728"/>
      <c r="Q35" s="1729"/>
      <c r="R35" s="1727"/>
      <c r="S35" s="1727"/>
      <c r="T35" s="1727"/>
      <c r="U35" s="1728"/>
      <c r="V35" s="1266"/>
      <c r="W35" s="1741"/>
      <c r="X35" s="1742"/>
      <c r="Y35" s="1742"/>
      <c r="Z35" s="1742"/>
      <c r="AA35" s="1742"/>
      <c r="AB35" s="1742"/>
      <c r="AC35" s="1742"/>
      <c r="AD35" s="1742"/>
      <c r="AE35" s="1742"/>
      <c r="AF35" s="1742"/>
      <c r="AG35" s="1742"/>
      <c r="AH35" s="1743"/>
      <c r="AI35" s="65"/>
      <c r="AL35" s="297"/>
      <c r="AM35" s="493"/>
      <c r="AN35" s="493"/>
      <c r="AO35" s="493"/>
      <c r="AP35" s="319"/>
      <c r="AQ35" s="297"/>
      <c r="AR35" s="493"/>
      <c r="AS35" s="319"/>
    </row>
    <row r="36" spans="5:70">
      <c r="E36" s="4238"/>
      <c r="F36" s="1467" t="s">
        <v>610</v>
      </c>
      <c r="G36" s="296">
        <f>SUM(G33:G35)</f>
        <v>110908.02875473627</v>
      </c>
      <c r="H36" s="492">
        <f t="shared" ref="H36:K36" si="8">SUM(H33:H35)</f>
        <v>53426.872663166498</v>
      </c>
      <c r="I36" s="492">
        <f t="shared" si="8"/>
        <v>133024.84167733218</v>
      </c>
      <c r="J36" s="492">
        <f t="shared" si="8"/>
        <v>221354.22993627601</v>
      </c>
      <c r="K36" s="318">
        <f t="shared" si="8"/>
        <v>468679.20401594212</v>
      </c>
      <c r="L36" s="1146">
        <f t="shared" ref="L36:U36" si="9">SUM(L33:L35)</f>
        <v>10853029.250000002</v>
      </c>
      <c r="M36" s="1146">
        <f t="shared" si="9"/>
        <v>23719164.299999997</v>
      </c>
      <c r="N36" s="1146">
        <f t="shared" si="9"/>
        <v>20955559.999999996</v>
      </c>
      <c r="O36" s="1146">
        <f t="shared" si="9"/>
        <v>32467178.909999989</v>
      </c>
      <c r="P36" s="1148">
        <f t="shared" si="9"/>
        <v>45156000</v>
      </c>
      <c r="Q36" s="1187">
        <f t="shared" si="9"/>
        <v>48018484.60471385</v>
      </c>
      <c r="R36" s="1187">
        <f t="shared" si="9"/>
        <v>45079134.772553891</v>
      </c>
      <c r="S36" s="1187">
        <f t="shared" si="9"/>
        <v>44818078.969060563</v>
      </c>
      <c r="T36" s="1187">
        <f t="shared" si="9"/>
        <v>45802048.848599367</v>
      </c>
      <c r="U36" s="1187">
        <f t="shared" si="9"/>
        <v>39635232.127920687</v>
      </c>
      <c r="V36" s="1266"/>
      <c r="W36" s="1736">
        <f>SUM(W34:W35)</f>
        <v>0</v>
      </c>
      <c r="X36" s="1737">
        <f>SUM(X34:X35)</f>
        <v>0</v>
      </c>
      <c r="Y36" s="1737">
        <f>SUM(Y34:Y35)</f>
        <v>0</v>
      </c>
      <c r="Z36" s="1737">
        <f>SUM(Z34:Z35)</f>
        <v>0</v>
      </c>
      <c r="AA36" s="1738">
        <f>SUM(AA34:AA35)</f>
        <v>0</v>
      </c>
      <c r="AB36" s="1739" t="e">
        <f>SUM(G36:K36)/SUM(W36:AA36)-1</f>
        <v>#DIV/0!</v>
      </c>
      <c r="AC36" s="1736">
        <f>SUM(AC34:AC35)</f>
        <v>0</v>
      </c>
      <c r="AD36" s="1737">
        <f>SUM(AD34:AD35)</f>
        <v>0</v>
      </c>
      <c r="AE36" s="1737">
        <f>SUM(AE34:AE35)</f>
        <v>0</v>
      </c>
      <c r="AF36" s="1737">
        <f>SUM(AF34:AF35)</f>
        <v>0</v>
      </c>
      <c r="AG36" s="1737">
        <f>SUM(AG34:AG35)</f>
        <v>0</v>
      </c>
      <c r="AH36" s="1740" t="e">
        <f>SUM(L36:P36)/SUM(AC36:AG36)-1</f>
        <v>#DIV/0!</v>
      </c>
      <c r="AI36" s="65"/>
      <c r="AJ36" s="130"/>
      <c r="AK36" s="130"/>
      <c r="AL36" s="1146">
        <f t="shared" ref="AL36:AS36" si="10">SUM(AL34:AL35)</f>
        <v>0</v>
      </c>
      <c r="AM36" s="1147">
        <f t="shared" si="10"/>
        <v>0</v>
      </c>
      <c r="AN36" s="1147">
        <f t="shared" si="10"/>
        <v>0</v>
      </c>
      <c r="AO36" s="1147">
        <f t="shared" si="10"/>
        <v>0</v>
      </c>
      <c r="AP36" s="1148">
        <f t="shared" si="10"/>
        <v>0</v>
      </c>
      <c r="AQ36" s="1146">
        <f t="shared" si="10"/>
        <v>0</v>
      </c>
      <c r="AR36" s="1147">
        <f t="shared" si="10"/>
        <v>0</v>
      </c>
      <c r="AS36" s="1148">
        <f t="shared" si="10"/>
        <v>0</v>
      </c>
      <c r="AT36" s="130"/>
      <c r="AU36" s="130"/>
      <c r="AV36" s="130"/>
      <c r="AW36" s="130"/>
      <c r="AX36" s="130"/>
      <c r="AY36" s="130"/>
      <c r="AZ36" s="130"/>
      <c r="BA36" s="130"/>
      <c r="BB36" s="130"/>
      <c r="BC36" s="130"/>
      <c r="BD36" s="130"/>
      <c r="BE36" s="130"/>
      <c r="BF36" s="130"/>
      <c r="BG36" s="130"/>
      <c r="BH36" s="130"/>
      <c r="BI36" s="130"/>
      <c r="BJ36" s="130"/>
      <c r="BK36" s="130"/>
      <c r="BL36" s="130"/>
      <c r="BM36" s="130"/>
      <c r="BN36" s="130"/>
      <c r="BO36" s="130"/>
      <c r="BP36" s="130"/>
      <c r="BQ36" s="130"/>
      <c r="BR36" s="130"/>
    </row>
    <row r="37" spans="5:70">
      <c r="E37" s="4238"/>
      <c r="F37" s="1478" t="s">
        <v>35</v>
      </c>
      <c r="G37" s="294"/>
      <c r="H37" s="488"/>
      <c r="I37" s="488"/>
      <c r="J37" s="488"/>
      <c r="K37" s="317"/>
      <c r="L37" s="294"/>
      <c r="M37" s="488"/>
      <c r="N37" s="488"/>
      <c r="O37" s="488"/>
      <c r="P37" s="317"/>
      <c r="Q37" s="1047"/>
      <c r="R37" s="488"/>
      <c r="S37" s="488"/>
      <c r="T37" s="488"/>
      <c r="U37" s="317"/>
      <c r="V37" s="1266"/>
      <c r="W37" s="294"/>
      <c r="X37" s="488"/>
      <c r="Y37" s="488"/>
      <c r="Z37" s="488"/>
      <c r="AA37" s="317"/>
      <c r="AB37" s="1098"/>
      <c r="AC37" s="294"/>
      <c r="AD37" s="488"/>
      <c r="AE37" s="488"/>
      <c r="AF37" s="488"/>
      <c r="AG37" s="488"/>
      <c r="AH37" s="1143"/>
      <c r="AI37" s="65"/>
      <c r="AL37" s="297"/>
      <c r="AM37" s="493"/>
      <c r="AN37" s="493"/>
      <c r="AO37" s="493"/>
      <c r="AP37" s="319"/>
      <c r="AQ37" s="297"/>
      <c r="AR37" s="493"/>
      <c r="AS37" s="319"/>
    </row>
    <row r="38" spans="5:70" ht="13.5" thickBot="1">
      <c r="E38" s="4239"/>
      <c r="F38" s="1476" t="s">
        <v>611</v>
      </c>
      <c r="G38" s="1694">
        <f>G36-G37</f>
        <v>110908.02875473627</v>
      </c>
      <c r="H38" s="1151">
        <f t="shared" ref="H38:K38" si="11">H36-H37</f>
        <v>53426.872663166498</v>
      </c>
      <c r="I38" s="1151">
        <f t="shared" si="11"/>
        <v>133024.84167733218</v>
      </c>
      <c r="J38" s="1151">
        <f t="shared" si="11"/>
        <v>221354.22993627601</v>
      </c>
      <c r="K38" s="1151">
        <f t="shared" si="11"/>
        <v>468679.20401594212</v>
      </c>
      <c r="L38" s="1694">
        <f t="shared" ref="L38:U38" si="12">L36-L37</f>
        <v>10853029.250000002</v>
      </c>
      <c r="M38" s="1151">
        <f t="shared" si="12"/>
        <v>23719164.299999997</v>
      </c>
      <c r="N38" s="1151">
        <f t="shared" si="12"/>
        <v>20955559.999999996</v>
      </c>
      <c r="O38" s="1151">
        <f t="shared" si="12"/>
        <v>32467178.909999989</v>
      </c>
      <c r="P38" s="1151">
        <f t="shared" si="12"/>
        <v>45156000</v>
      </c>
      <c r="Q38" s="1188">
        <f t="shared" si="12"/>
        <v>48018484.60471385</v>
      </c>
      <c r="R38" s="1188">
        <f t="shared" si="12"/>
        <v>45079134.772553891</v>
      </c>
      <c r="S38" s="1188">
        <f t="shared" si="12"/>
        <v>44818078.969060563</v>
      </c>
      <c r="T38" s="1188">
        <f t="shared" si="12"/>
        <v>45802048.848599367</v>
      </c>
      <c r="U38" s="1188">
        <f t="shared" si="12"/>
        <v>39635232.127920687</v>
      </c>
      <c r="V38" s="1266"/>
      <c r="W38" s="1694">
        <f>W36-W37</f>
        <v>0</v>
      </c>
      <c r="X38" s="1151">
        <f>X36-X37</f>
        <v>0</v>
      </c>
      <c r="Y38" s="1151">
        <f>Y36-Y37</f>
        <v>0</v>
      </c>
      <c r="Z38" s="1151">
        <f>Z36-Z37</f>
        <v>0</v>
      </c>
      <c r="AA38" s="1152">
        <f>AA36-AA37</f>
        <v>0</v>
      </c>
      <c r="AB38" s="1171" t="e">
        <f t="shared" ref="AB38:AB44" si="13">SUM(G38:K38)/SUM(W38:AA38)-1</f>
        <v>#DIV/0!</v>
      </c>
      <c r="AC38" s="1694">
        <f>AC36-AC37</f>
        <v>0</v>
      </c>
      <c r="AD38" s="1151">
        <f>AD36-AD37</f>
        <v>0</v>
      </c>
      <c r="AE38" s="1151">
        <f>AE36-AE37</f>
        <v>0</v>
      </c>
      <c r="AF38" s="1151">
        <f>AF36-AF37</f>
        <v>0</v>
      </c>
      <c r="AG38" s="1151">
        <f>AG36-AG37</f>
        <v>0</v>
      </c>
      <c r="AH38" s="1153" t="e">
        <f t="shared" ref="AH38:AH44" si="14">SUM(L38:P38)/SUM(AC38:AG38)-1</f>
        <v>#DIV/0!</v>
      </c>
      <c r="AI38" s="65"/>
      <c r="AL38" s="1694">
        <f>AL36-AL37</f>
        <v>0</v>
      </c>
      <c r="AM38" s="1151">
        <f t="shared" ref="AM38:AR38" si="15">AM36-AM37</f>
        <v>0</v>
      </c>
      <c r="AN38" s="1151">
        <f t="shared" si="15"/>
        <v>0</v>
      </c>
      <c r="AO38" s="1151">
        <f t="shared" si="15"/>
        <v>0</v>
      </c>
      <c r="AP38" s="1152">
        <f t="shared" si="15"/>
        <v>0</v>
      </c>
      <c r="AQ38" s="1694">
        <f t="shared" si="15"/>
        <v>0</v>
      </c>
      <c r="AR38" s="1151">
        <f t="shared" si="15"/>
        <v>0</v>
      </c>
      <c r="AS38" s="1152" t="e">
        <f>#REF!-#REF!</f>
        <v>#REF!</v>
      </c>
    </row>
    <row r="39" spans="5:70" ht="12.75" customHeight="1">
      <c r="E39" s="4237" t="s">
        <v>1536</v>
      </c>
      <c r="F39" s="461" t="s">
        <v>117</v>
      </c>
      <c r="G39" s="1693"/>
      <c r="H39" s="451"/>
      <c r="I39" s="451"/>
      <c r="J39" s="451"/>
      <c r="K39" s="1140"/>
      <c r="L39" s="296"/>
      <c r="M39" s="492"/>
      <c r="N39" s="492"/>
      <c r="O39" s="492">
        <f t="shared" ref="O39:U39" si="16">O45</f>
        <v>0</v>
      </c>
      <c r="P39" s="1140">
        <f t="shared" si="16"/>
        <v>0</v>
      </c>
      <c r="Q39" s="1176">
        <f t="shared" si="16"/>
        <v>10204</v>
      </c>
      <c r="R39" s="1177">
        <f t="shared" si="16"/>
        <v>5471</v>
      </c>
      <c r="S39" s="1177">
        <f t="shared" si="16"/>
        <v>8082</v>
      </c>
      <c r="T39" s="1177">
        <f t="shared" si="16"/>
        <v>0</v>
      </c>
      <c r="U39" s="1140">
        <f t="shared" si="16"/>
        <v>0</v>
      </c>
      <c r="V39" s="1266"/>
      <c r="W39" s="1693"/>
      <c r="X39" s="451"/>
      <c r="Y39" s="451"/>
      <c r="Z39" s="451"/>
      <c r="AA39" s="1140"/>
      <c r="AB39" s="1141" t="e">
        <f t="shared" si="13"/>
        <v>#DIV/0!</v>
      </c>
      <c r="AC39" s="1693"/>
      <c r="AD39" s="451"/>
      <c r="AE39" s="451"/>
      <c r="AF39" s="451"/>
      <c r="AG39" s="451"/>
      <c r="AH39" s="1142" t="e">
        <f t="shared" si="14"/>
        <v>#DIV/0!</v>
      </c>
      <c r="AI39" s="65"/>
      <c r="AL39" s="1181"/>
      <c r="AM39" s="1182"/>
      <c r="AN39" s="1182"/>
      <c r="AO39" s="1182"/>
      <c r="AP39" s="1183"/>
      <c r="AQ39" s="296"/>
      <c r="AR39" s="492"/>
      <c r="AS39" s="318"/>
    </row>
    <row r="40" spans="5:70" ht="12.75" customHeight="1">
      <c r="E40" s="4238"/>
      <c r="F40" s="1463" t="s">
        <v>614</v>
      </c>
      <c r="G40" s="294"/>
      <c r="H40" s="488"/>
      <c r="I40" s="488"/>
      <c r="J40" s="488"/>
      <c r="K40" s="317"/>
      <c r="L40" s="294"/>
      <c r="M40" s="488"/>
      <c r="N40" s="488"/>
      <c r="O40" s="488"/>
      <c r="P40" s="317"/>
      <c r="Q40" s="1047"/>
      <c r="R40" s="488"/>
      <c r="S40" s="488"/>
      <c r="T40" s="488"/>
      <c r="U40" s="317"/>
      <c r="V40" s="1266"/>
      <c r="W40" s="294"/>
      <c r="X40" s="488"/>
      <c r="Y40" s="488"/>
      <c r="Z40" s="488"/>
      <c r="AA40" s="317"/>
      <c r="AB40" s="1138" t="e">
        <f t="shared" si="13"/>
        <v>#DIV/0!</v>
      </c>
      <c r="AC40" s="294"/>
      <c r="AD40" s="488"/>
      <c r="AE40" s="488"/>
      <c r="AF40" s="488"/>
      <c r="AG40" s="488"/>
      <c r="AH40" s="1143" t="e">
        <f t="shared" si="14"/>
        <v>#DIV/0!</v>
      </c>
      <c r="AI40" s="65"/>
      <c r="AL40" s="1178"/>
      <c r="AM40" s="1179"/>
      <c r="AN40" s="1179"/>
      <c r="AO40" s="1179"/>
      <c r="AP40" s="1180"/>
      <c r="AQ40" s="297"/>
      <c r="AR40" s="493"/>
      <c r="AS40" s="319"/>
    </row>
    <row r="41" spans="5:70" ht="12.75" customHeight="1">
      <c r="E41" s="4238"/>
      <c r="F41" s="1463" t="s">
        <v>615</v>
      </c>
      <c r="G41" s="294"/>
      <c r="H41" s="488"/>
      <c r="I41" s="488"/>
      <c r="J41" s="488"/>
      <c r="K41" s="317"/>
      <c r="L41" s="294"/>
      <c r="M41" s="488"/>
      <c r="N41" s="488"/>
      <c r="O41" s="488"/>
      <c r="P41" s="317">
        <v>0</v>
      </c>
      <c r="Q41" s="1047">
        <v>10204</v>
      </c>
      <c r="R41" s="488">
        <v>5471</v>
      </c>
      <c r="S41" s="488">
        <v>8082</v>
      </c>
      <c r="T41" s="488">
        <v>0</v>
      </c>
      <c r="U41" s="317">
        <v>0</v>
      </c>
      <c r="V41" s="1266"/>
      <c r="W41" s="294"/>
      <c r="X41" s="488"/>
      <c r="Y41" s="488"/>
      <c r="Z41" s="488"/>
      <c r="AA41" s="317"/>
      <c r="AB41" s="1138" t="e">
        <f t="shared" si="13"/>
        <v>#DIV/0!</v>
      </c>
      <c r="AC41" s="294"/>
      <c r="AD41" s="488"/>
      <c r="AE41" s="488"/>
      <c r="AF41" s="488"/>
      <c r="AG41" s="488"/>
      <c r="AH41" s="1143" t="e">
        <f t="shared" si="14"/>
        <v>#DIV/0!</v>
      </c>
      <c r="AI41" s="65"/>
      <c r="AL41" s="1178"/>
      <c r="AM41" s="1179"/>
      <c r="AN41" s="1179"/>
      <c r="AO41" s="1179"/>
      <c r="AP41" s="1180"/>
      <c r="AQ41" s="297"/>
      <c r="AR41" s="493"/>
      <c r="AS41" s="319"/>
    </row>
    <row r="42" spans="5:70" ht="12.75" customHeight="1">
      <c r="E42" s="4238"/>
      <c r="F42" s="1463" t="s">
        <v>616</v>
      </c>
      <c r="G42" s="294"/>
      <c r="H42" s="488"/>
      <c r="I42" s="488"/>
      <c r="J42" s="488"/>
      <c r="K42" s="317"/>
      <c r="L42" s="294"/>
      <c r="M42" s="488"/>
      <c r="N42" s="488"/>
      <c r="O42" s="488"/>
      <c r="P42" s="317"/>
      <c r="Q42" s="1047"/>
      <c r="R42" s="488"/>
      <c r="S42" s="488"/>
      <c r="T42" s="488"/>
      <c r="U42" s="317"/>
      <c r="V42" s="1266"/>
      <c r="W42" s="294"/>
      <c r="X42" s="488"/>
      <c r="Y42" s="488"/>
      <c r="Z42" s="488"/>
      <c r="AA42" s="317"/>
      <c r="AB42" s="1138" t="e">
        <f t="shared" si="13"/>
        <v>#DIV/0!</v>
      </c>
      <c r="AC42" s="294"/>
      <c r="AD42" s="488"/>
      <c r="AE42" s="488"/>
      <c r="AF42" s="488"/>
      <c r="AG42" s="488"/>
      <c r="AH42" s="1143" t="e">
        <f t="shared" si="14"/>
        <v>#DIV/0!</v>
      </c>
      <c r="AI42" s="65"/>
      <c r="AL42" s="1178"/>
      <c r="AM42" s="1179"/>
      <c r="AN42" s="1179"/>
      <c r="AO42" s="1179"/>
      <c r="AP42" s="1180"/>
      <c r="AQ42" s="297"/>
      <c r="AR42" s="493"/>
      <c r="AS42" s="319"/>
    </row>
    <row r="43" spans="5:70" ht="12.75" customHeight="1">
      <c r="E43" s="4238"/>
      <c r="F43" s="1463" t="s">
        <v>617</v>
      </c>
      <c r="G43" s="294"/>
      <c r="H43" s="488"/>
      <c r="I43" s="488"/>
      <c r="J43" s="488"/>
      <c r="K43" s="317"/>
      <c r="L43" s="294"/>
      <c r="M43" s="488"/>
      <c r="N43" s="488"/>
      <c r="O43" s="488"/>
      <c r="P43" s="317"/>
      <c r="Q43" s="1047"/>
      <c r="R43" s="488"/>
      <c r="S43" s="488"/>
      <c r="T43" s="488"/>
      <c r="U43" s="317"/>
      <c r="V43" s="1266"/>
      <c r="W43" s="294"/>
      <c r="X43" s="488"/>
      <c r="Y43" s="488"/>
      <c r="Z43" s="488"/>
      <c r="AA43" s="317"/>
      <c r="AB43" s="1138" t="e">
        <f t="shared" si="13"/>
        <v>#DIV/0!</v>
      </c>
      <c r="AC43" s="294"/>
      <c r="AD43" s="488"/>
      <c r="AE43" s="488"/>
      <c r="AF43" s="488"/>
      <c r="AG43" s="488"/>
      <c r="AH43" s="1143" t="e">
        <f t="shared" si="14"/>
        <v>#DIV/0!</v>
      </c>
      <c r="AI43" s="65"/>
      <c r="AL43" s="1178"/>
      <c r="AM43" s="1179"/>
      <c r="AN43" s="1179"/>
      <c r="AO43" s="1179"/>
      <c r="AP43" s="1180"/>
      <c r="AQ43" s="297"/>
      <c r="AR43" s="493"/>
      <c r="AS43" s="319"/>
    </row>
    <row r="44" spans="5:70" ht="12.75" customHeight="1">
      <c r="E44" s="4238"/>
      <c r="F44" s="1463" t="s">
        <v>618</v>
      </c>
      <c r="G44" s="247">
        <v>12882</v>
      </c>
      <c r="H44" s="483">
        <v>789</v>
      </c>
      <c r="I44" s="483">
        <v>19463</v>
      </c>
      <c r="J44" s="483">
        <v>7207</v>
      </c>
      <c r="K44" s="484"/>
      <c r="L44" s="247">
        <f>SUM(L39:L43)</f>
        <v>0</v>
      </c>
      <c r="M44" s="483">
        <f>SUM(M39:M43)</f>
        <v>0</v>
      </c>
      <c r="N44" s="483">
        <f>SUM(N39:N43)</f>
        <v>0</v>
      </c>
      <c r="O44" s="483"/>
      <c r="P44" s="484"/>
      <c r="Q44" s="264"/>
      <c r="R44" s="483"/>
      <c r="S44" s="483"/>
      <c r="T44" s="483"/>
      <c r="U44" s="484"/>
      <c r="V44" s="1266"/>
      <c r="W44" s="247">
        <f>SUM(W39:W43)</f>
        <v>0</v>
      </c>
      <c r="X44" s="483">
        <f>SUM(X39:X43)</f>
        <v>0</v>
      </c>
      <c r="Y44" s="483">
        <f>SUM(Y39:Y43)</f>
        <v>0</v>
      </c>
      <c r="Z44" s="483">
        <f>SUM(Z39:Z43)</f>
        <v>0</v>
      </c>
      <c r="AA44" s="484">
        <f>SUM(AA39:AA43)</f>
        <v>0</v>
      </c>
      <c r="AB44" s="1138" t="e">
        <f t="shared" si="13"/>
        <v>#DIV/0!</v>
      </c>
      <c r="AC44" s="247">
        <f>SUM(AC39:AC43)</f>
        <v>0</v>
      </c>
      <c r="AD44" s="483">
        <f>SUM(AD39:AD43)</f>
        <v>0</v>
      </c>
      <c r="AE44" s="483">
        <f>SUM(AE39:AE43)</f>
        <v>0</v>
      </c>
      <c r="AF44" s="483">
        <f>SUM(AF39:AF43)</f>
        <v>0</v>
      </c>
      <c r="AG44" s="483">
        <f>SUM(AG39:AG43)</f>
        <v>0</v>
      </c>
      <c r="AH44" s="1144" t="e">
        <f t="shared" si="14"/>
        <v>#DIV/0!</v>
      </c>
      <c r="AI44" s="65"/>
      <c r="AL44" s="1178"/>
      <c r="AM44" s="1179"/>
      <c r="AN44" s="1179"/>
      <c r="AO44" s="1179"/>
      <c r="AP44" s="1180"/>
      <c r="AQ44" s="247">
        <f>SUM(AQ39:AQ43)</f>
        <v>0</v>
      </c>
      <c r="AR44" s="483">
        <f t="shared" ref="AR44:AS44" si="17">SUM(AR39:AR43)</f>
        <v>0</v>
      </c>
      <c r="AS44" s="484">
        <f t="shared" si="17"/>
        <v>0</v>
      </c>
    </row>
    <row r="45" spans="5:70">
      <c r="E45" s="4238"/>
      <c r="F45" s="1464" t="s">
        <v>613</v>
      </c>
      <c r="G45" s="296">
        <v>12882</v>
      </c>
      <c r="H45" s="492">
        <v>789</v>
      </c>
      <c r="I45" s="492">
        <v>19463</v>
      </c>
      <c r="J45" s="492">
        <v>7207</v>
      </c>
      <c r="K45" s="318"/>
      <c r="L45" s="296"/>
      <c r="M45" s="492"/>
      <c r="N45" s="492"/>
      <c r="O45" s="492">
        <f t="shared" ref="O45:U45" si="18">SUM(O40:O44)</f>
        <v>0</v>
      </c>
      <c r="P45" s="318">
        <f t="shared" si="18"/>
        <v>0</v>
      </c>
      <c r="Q45" s="1055">
        <f t="shared" si="18"/>
        <v>10204</v>
      </c>
      <c r="R45" s="1055">
        <f t="shared" si="18"/>
        <v>5471</v>
      </c>
      <c r="S45" s="1055">
        <f t="shared" si="18"/>
        <v>8082</v>
      </c>
      <c r="T45" s="1055">
        <f t="shared" si="18"/>
        <v>0</v>
      </c>
      <c r="U45" s="318">
        <f t="shared" si="18"/>
        <v>0</v>
      </c>
      <c r="V45" s="1266"/>
      <c r="W45" s="296"/>
      <c r="X45" s="492"/>
      <c r="Y45" s="492"/>
      <c r="Z45" s="492"/>
      <c r="AA45" s="318"/>
      <c r="AB45" s="1085"/>
      <c r="AC45" s="296"/>
      <c r="AD45" s="492"/>
      <c r="AE45" s="492"/>
      <c r="AF45" s="492"/>
      <c r="AG45" s="492"/>
      <c r="AH45" s="1145"/>
      <c r="AI45" s="65"/>
      <c r="AL45" s="1181"/>
      <c r="AM45" s="1182"/>
      <c r="AN45" s="1182"/>
      <c r="AO45" s="1182"/>
      <c r="AP45" s="1183"/>
      <c r="AQ45" s="296"/>
      <c r="AR45" s="492"/>
      <c r="AS45" s="318"/>
    </row>
    <row r="46" spans="5:70">
      <c r="E46" s="4238"/>
      <c r="F46" s="1465" t="s">
        <v>619</v>
      </c>
      <c r="G46" s="294"/>
      <c r="H46" s="488"/>
      <c r="I46" s="488"/>
      <c r="J46" s="488"/>
      <c r="K46" s="317"/>
      <c r="L46" s="294"/>
      <c r="M46" s="488"/>
      <c r="N46" s="488"/>
      <c r="O46" s="488"/>
      <c r="P46" s="317"/>
      <c r="Q46" s="1047"/>
      <c r="R46" s="488"/>
      <c r="S46" s="488"/>
      <c r="T46" s="488"/>
      <c r="U46" s="317"/>
      <c r="V46" s="1266"/>
      <c r="W46" s="294"/>
      <c r="X46" s="488"/>
      <c r="Y46" s="488"/>
      <c r="Z46" s="488"/>
      <c r="AA46" s="317"/>
      <c r="AB46" s="1138"/>
      <c r="AC46" s="294"/>
      <c r="AD46" s="488"/>
      <c r="AE46" s="488"/>
      <c r="AF46" s="488"/>
      <c r="AG46" s="488"/>
      <c r="AH46" s="1143"/>
      <c r="AI46" s="65"/>
      <c r="AL46" s="1178"/>
      <c r="AM46" s="1179"/>
      <c r="AN46" s="1179"/>
      <c r="AO46" s="1179"/>
      <c r="AP46" s="1180"/>
      <c r="AQ46" s="297"/>
      <c r="AR46" s="493"/>
      <c r="AS46" s="319"/>
    </row>
    <row r="47" spans="5:70">
      <c r="E47" s="4238"/>
      <c r="F47" s="459" t="s">
        <v>584</v>
      </c>
      <c r="G47" s="294">
        <v>34715.434343738118</v>
      </c>
      <c r="H47" s="488">
        <v>43910.287803439453</v>
      </c>
      <c r="I47" s="488">
        <v>44435.73427121251</v>
      </c>
      <c r="J47" s="488">
        <v>192004.63062286293</v>
      </c>
      <c r="K47" s="317">
        <v>419010.2753369378</v>
      </c>
      <c r="L47" s="294"/>
      <c r="M47" s="488"/>
      <c r="N47" s="488"/>
      <c r="O47" s="488"/>
      <c r="P47" s="317">
        <v>0</v>
      </c>
      <c r="Q47" s="488">
        <v>7289465.2570771268</v>
      </c>
      <c r="R47" s="488">
        <v>4630191.1651811088</v>
      </c>
      <c r="S47" s="488">
        <v>6321330.4646687564</v>
      </c>
      <c r="T47" s="488">
        <v>0</v>
      </c>
      <c r="U47" s="317">
        <v>0</v>
      </c>
      <c r="V47" s="1266"/>
      <c r="W47" s="294"/>
      <c r="X47" s="488"/>
      <c r="Y47" s="488"/>
      <c r="Z47" s="488"/>
      <c r="AA47" s="317"/>
      <c r="AB47" s="1138"/>
      <c r="AC47" s="294"/>
      <c r="AD47" s="488"/>
      <c r="AE47" s="488"/>
      <c r="AF47" s="488"/>
      <c r="AG47" s="488"/>
      <c r="AH47" s="1143"/>
      <c r="AI47" s="65"/>
      <c r="AL47" s="1178"/>
      <c r="AM47" s="1179"/>
      <c r="AN47" s="1179"/>
      <c r="AO47" s="1179"/>
      <c r="AP47" s="1180"/>
      <c r="AQ47" s="297"/>
      <c r="AR47" s="493"/>
      <c r="AS47" s="319"/>
    </row>
    <row r="48" spans="5:70">
      <c r="E48" s="4238"/>
      <c r="F48" s="459" t="s">
        <v>585</v>
      </c>
      <c r="G48" s="294"/>
      <c r="H48" s="488"/>
      <c r="I48" s="488"/>
      <c r="J48" s="488"/>
      <c r="K48" s="317"/>
      <c r="L48" s="294"/>
      <c r="M48" s="488"/>
      <c r="N48" s="488"/>
      <c r="O48" s="488"/>
      <c r="P48" s="317"/>
      <c r="Q48" s="1047"/>
      <c r="R48" s="488"/>
      <c r="S48" s="488"/>
      <c r="T48" s="488"/>
      <c r="U48" s="317"/>
      <c r="V48" s="1266"/>
      <c r="W48" s="294"/>
      <c r="X48" s="488"/>
      <c r="Y48" s="488"/>
      <c r="Z48" s="488"/>
      <c r="AA48" s="317"/>
      <c r="AB48" s="1138"/>
      <c r="AC48" s="294"/>
      <c r="AD48" s="488"/>
      <c r="AE48" s="488"/>
      <c r="AF48" s="488"/>
      <c r="AG48" s="488"/>
      <c r="AH48" s="1143"/>
      <c r="AI48" s="65"/>
      <c r="AL48" s="1178"/>
      <c r="AM48" s="1179"/>
      <c r="AN48" s="1179"/>
      <c r="AO48" s="1179"/>
      <c r="AP48" s="1180"/>
      <c r="AQ48" s="297"/>
      <c r="AR48" s="493"/>
      <c r="AS48" s="319"/>
    </row>
    <row r="49" spans="5:70">
      <c r="E49" s="4238"/>
      <c r="F49" s="459" t="s">
        <v>604</v>
      </c>
      <c r="G49" s="297"/>
      <c r="H49" s="483"/>
      <c r="I49" s="483"/>
      <c r="J49" s="483"/>
      <c r="K49" s="484"/>
      <c r="L49" s="297"/>
      <c r="M49" s="483"/>
      <c r="N49" s="483"/>
      <c r="O49" s="483"/>
      <c r="P49" s="484"/>
      <c r="Q49" s="264"/>
      <c r="R49" s="483"/>
      <c r="S49" s="483"/>
      <c r="T49" s="483"/>
      <c r="U49" s="484"/>
      <c r="V49" s="1266"/>
      <c r="W49" s="247"/>
      <c r="X49" s="483"/>
      <c r="Y49" s="483"/>
      <c r="Z49" s="483"/>
      <c r="AA49" s="484"/>
      <c r="AB49" s="1138"/>
      <c r="AC49" s="247"/>
      <c r="AD49" s="483"/>
      <c r="AE49" s="483"/>
      <c r="AF49" s="483"/>
      <c r="AG49" s="483"/>
      <c r="AH49" s="1144"/>
      <c r="AI49" s="65"/>
      <c r="AL49" s="1184"/>
      <c r="AM49" s="1185"/>
      <c r="AN49" s="1185"/>
      <c r="AO49" s="1185"/>
      <c r="AP49" s="1186"/>
      <c r="AQ49" s="297"/>
      <c r="AR49" s="493"/>
      <c r="AS49" s="319"/>
    </row>
    <row r="50" spans="5:70">
      <c r="E50" s="4238"/>
      <c r="F50" s="1466" t="s">
        <v>605</v>
      </c>
      <c r="G50" s="296">
        <f>SUM(G46:G49)</f>
        <v>34715.434343738118</v>
      </c>
      <c r="H50" s="492">
        <f>SUM(H46:H49)</f>
        <v>43910.287803439453</v>
      </c>
      <c r="I50" s="492">
        <f>SUM(I46:I49)</f>
        <v>44435.73427121251</v>
      </c>
      <c r="J50" s="492">
        <f>SUM(J46:J49)</f>
        <v>192004.63062286293</v>
      </c>
      <c r="K50" s="318">
        <f>SUM(K46:K49)</f>
        <v>419010.2753369378</v>
      </c>
      <c r="L50" s="296">
        <f t="shared" ref="L50:Z50" si="19">SUM(L47:L49)</f>
        <v>0</v>
      </c>
      <c r="M50" s="492">
        <f t="shared" si="19"/>
        <v>0</v>
      </c>
      <c r="N50" s="492">
        <f t="shared" si="19"/>
        <v>0</v>
      </c>
      <c r="O50" s="492">
        <f t="shared" si="19"/>
        <v>0</v>
      </c>
      <c r="P50" s="318">
        <f t="shared" si="19"/>
        <v>0</v>
      </c>
      <c r="Q50" s="1055">
        <f t="shared" si="19"/>
        <v>7289465.2570771268</v>
      </c>
      <c r="R50" s="492">
        <f t="shared" si="19"/>
        <v>4630191.1651811088</v>
      </c>
      <c r="S50" s="492">
        <f t="shared" si="19"/>
        <v>6321330.4646687564</v>
      </c>
      <c r="T50" s="492">
        <f t="shared" si="19"/>
        <v>0</v>
      </c>
      <c r="U50" s="318">
        <f t="shared" si="19"/>
        <v>0</v>
      </c>
      <c r="V50" s="1266"/>
      <c r="W50" s="296">
        <f t="shared" si="19"/>
        <v>0</v>
      </c>
      <c r="X50" s="492">
        <f t="shared" si="19"/>
        <v>0</v>
      </c>
      <c r="Y50" s="492">
        <f t="shared" si="19"/>
        <v>0</v>
      </c>
      <c r="Z50" s="492">
        <f t="shared" si="19"/>
        <v>0</v>
      </c>
      <c r="AA50" s="318">
        <f>SUM(AA47:AA49)</f>
        <v>0</v>
      </c>
      <c r="AB50" s="1085" t="e">
        <f>SUM(G50:K50)/SUM(W50:AA50)-1</f>
        <v>#DIV/0!</v>
      </c>
      <c r="AC50" s="296">
        <f>SUM(AC47:AC49)</f>
        <v>0</v>
      </c>
      <c r="AD50" s="492">
        <f>SUM(AD47:AD49)</f>
        <v>0</v>
      </c>
      <c r="AE50" s="492">
        <f>SUM(AE47:AE49)</f>
        <v>0</v>
      </c>
      <c r="AF50" s="492">
        <f>SUM(AF47:AF49)</f>
        <v>0</v>
      </c>
      <c r="AG50" s="492">
        <f>SUM(AG47:AG49)</f>
        <v>0</v>
      </c>
      <c r="AH50" s="1145" t="e">
        <f>SUM(L50:P50)/SUM(AC50:AG50)-1</f>
        <v>#DIV/0!</v>
      </c>
      <c r="AI50" s="65"/>
      <c r="AL50" s="1181"/>
      <c r="AM50" s="1182"/>
      <c r="AN50" s="1182"/>
      <c r="AO50" s="1182"/>
      <c r="AP50" s="1183"/>
      <c r="AQ50" s="296">
        <f>SUM(AQ47:AQ49)</f>
        <v>0</v>
      </c>
      <c r="AR50" s="492">
        <f t="shared" ref="AR50:AS50" si="20">SUM(AR47:AR49)</f>
        <v>0</v>
      </c>
      <c r="AS50" s="318">
        <f t="shared" si="20"/>
        <v>0</v>
      </c>
    </row>
    <row r="51" spans="5:70" ht="13.5" thickBot="1">
      <c r="E51" s="4238"/>
      <c r="F51" s="1132" t="s">
        <v>609</v>
      </c>
      <c r="G51" s="294">
        <v>3857.2704826375689</v>
      </c>
      <c r="H51" s="488">
        <v>4878.9208670488279</v>
      </c>
      <c r="I51" s="488">
        <v>4937.3038079125017</v>
      </c>
      <c r="J51" s="488">
        <v>21333.847846984769</v>
      </c>
      <c r="K51" s="317">
        <v>32696.96470091923</v>
      </c>
      <c r="L51" s="294"/>
      <c r="M51" s="488"/>
      <c r="N51" s="488"/>
      <c r="O51" s="488">
        <f t="shared" ref="O51:U51" si="21">O50*0.06</f>
        <v>0</v>
      </c>
      <c r="P51" s="317">
        <f t="shared" si="21"/>
        <v>0</v>
      </c>
      <c r="Q51" s="1047">
        <f t="shared" si="21"/>
        <v>437367.9154246276</v>
      </c>
      <c r="R51" s="488">
        <f t="shared" si="21"/>
        <v>277811.46991086652</v>
      </c>
      <c r="S51" s="488">
        <f t="shared" si="21"/>
        <v>379279.82788012538</v>
      </c>
      <c r="T51" s="488">
        <f t="shared" si="21"/>
        <v>0</v>
      </c>
      <c r="U51" s="317">
        <f t="shared" si="21"/>
        <v>0</v>
      </c>
      <c r="V51" s="1266"/>
      <c r="W51" s="247"/>
      <c r="X51" s="488"/>
      <c r="Y51" s="488"/>
      <c r="Z51" s="488"/>
      <c r="AA51" s="317"/>
      <c r="AB51" s="1138" t="e">
        <f>SUM(G51:K51)/SUM(W51:AA51)-1</f>
        <v>#DIV/0!</v>
      </c>
      <c r="AC51" s="247"/>
      <c r="AD51" s="483"/>
      <c r="AE51" s="483"/>
      <c r="AF51" s="483"/>
      <c r="AG51" s="483"/>
      <c r="AH51" s="1144" t="e">
        <f>SUM(L51:P51)/SUM(AC51:AG51)-1</f>
        <v>#DIV/0!</v>
      </c>
      <c r="AI51" s="65"/>
      <c r="AL51" s="297"/>
      <c r="AM51" s="493"/>
      <c r="AN51" s="493"/>
      <c r="AO51" s="493"/>
      <c r="AP51" s="319"/>
      <c r="AQ51" s="297"/>
      <c r="AR51" s="493"/>
      <c r="AS51" s="319"/>
    </row>
    <row r="52" spans="5:70" ht="13.5" thickBot="1">
      <c r="E52" s="4238"/>
      <c r="F52" s="1469" t="s">
        <v>607</v>
      </c>
      <c r="G52" s="1726">
        <v>0</v>
      </c>
      <c r="H52" s="1727">
        <v>0</v>
      </c>
      <c r="I52" s="1727">
        <v>0</v>
      </c>
      <c r="J52" s="1727">
        <v>0</v>
      </c>
      <c r="K52" s="1728"/>
      <c r="L52" s="1726"/>
      <c r="M52" s="1727"/>
      <c r="N52" s="1727"/>
      <c r="O52" s="1727"/>
      <c r="P52" s="1728"/>
      <c r="Q52" s="1729"/>
      <c r="R52" s="1727"/>
      <c r="S52" s="1727"/>
      <c r="T52" s="1727"/>
      <c r="U52" s="1728"/>
      <c r="V52" s="1266"/>
      <c r="W52" s="1741"/>
      <c r="X52" s="1742"/>
      <c r="Y52" s="1742"/>
      <c r="Z52" s="1742"/>
      <c r="AA52" s="1742"/>
      <c r="AB52" s="1742"/>
      <c r="AC52" s="1742"/>
      <c r="AD52" s="1742"/>
      <c r="AE52" s="1742"/>
      <c r="AF52" s="1742"/>
      <c r="AG52" s="1742"/>
      <c r="AH52" s="1743"/>
      <c r="AI52" s="65"/>
      <c r="AL52" s="297"/>
      <c r="AM52" s="493"/>
      <c r="AN52" s="493"/>
      <c r="AO52" s="493"/>
      <c r="AP52" s="319"/>
      <c r="AQ52" s="297"/>
      <c r="AR52" s="493"/>
      <c r="AS52" s="319"/>
    </row>
    <row r="53" spans="5:70">
      <c r="E53" s="4238"/>
      <c r="F53" s="1467" t="s">
        <v>610</v>
      </c>
      <c r="G53" s="296">
        <f>SUM(G50:G52)</f>
        <v>38572.704826375688</v>
      </c>
      <c r="H53" s="492">
        <f t="shared" ref="H53:K53" si="22">SUM(H50:H52)</f>
        <v>48789.208670488282</v>
      </c>
      <c r="I53" s="492">
        <f t="shared" si="22"/>
        <v>49373.038079125014</v>
      </c>
      <c r="J53" s="492">
        <f t="shared" si="22"/>
        <v>213338.4784698477</v>
      </c>
      <c r="K53" s="318">
        <f t="shared" si="22"/>
        <v>451707.24003785703</v>
      </c>
      <c r="L53" s="1146">
        <f t="shared" ref="L53:P53" si="23">SUM(L51:L52)</f>
        <v>0</v>
      </c>
      <c r="M53" s="1147">
        <f t="shared" si="23"/>
        <v>0</v>
      </c>
      <c r="N53" s="1147">
        <f t="shared" si="23"/>
        <v>0</v>
      </c>
      <c r="O53" s="1147">
        <f t="shared" si="23"/>
        <v>0</v>
      </c>
      <c r="P53" s="1148">
        <f t="shared" si="23"/>
        <v>0</v>
      </c>
      <c r="Q53" s="1187">
        <f>SUM(Q50:Q52)</f>
        <v>7726833.172501754</v>
      </c>
      <c r="R53" s="1187">
        <f>SUM(R50:R52)</f>
        <v>4908002.6350919753</v>
      </c>
      <c r="S53" s="1187">
        <f>SUM(S50:S52)</f>
        <v>6700610.2925488818</v>
      </c>
      <c r="T53" s="1187">
        <f>SUM(T50:T52)</f>
        <v>0</v>
      </c>
      <c r="U53" s="1187">
        <f>SUM(U50:U52)</f>
        <v>0</v>
      </c>
      <c r="V53" s="1266"/>
      <c r="W53" s="1146">
        <f>SUM(W51:W52)</f>
        <v>0</v>
      </c>
      <c r="X53" s="1147">
        <f>SUM(X51:X52)</f>
        <v>0</v>
      </c>
      <c r="Y53" s="1147">
        <f>SUM(Y51:Y52)</f>
        <v>0</v>
      </c>
      <c r="Z53" s="1147">
        <f>SUM(Z51:Z52)</f>
        <v>0</v>
      </c>
      <c r="AA53" s="1148">
        <f>SUM(AA51:AA52)</f>
        <v>0</v>
      </c>
      <c r="AB53" s="1149" t="e">
        <f>SUM(G53:K53)/SUM(W53:AA53)-1</f>
        <v>#DIV/0!</v>
      </c>
      <c r="AC53" s="1146">
        <f>SUM(AC51:AC52)</f>
        <v>0</v>
      </c>
      <c r="AD53" s="1147">
        <f>SUM(AD51:AD52)</f>
        <v>0</v>
      </c>
      <c r="AE53" s="1147">
        <f>SUM(AE51:AE52)</f>
        <v>0</v>
      </c>
      <c r="AF53" s="1147">
        <f>SUM(AF51:AF52)</f>
        <v>0</v>
      </c>
      <c r="AG53" s="1147">
        <f>SUM(AG51:AG52)</f>
        <v>0</v>
      </c>
      <c r="AH53" s="1150" t="e">
        <f>SUM(L53:P53)/SUM(AC53:AG53)-1</f>
        <v>#DIV/0!</v>
      </c>
      <c r="AI53" s="65"/>
      <c r="AJ53" s="130"/>
      <c r="AK53" s="130"/>
      <c r="AL53" s="1146">
        <f t="shared" ref="AL53:AS53" si="24">SUM(AL51:AL52)</f>
        <v>0</v>
      </c>
      <c r="AM53" s="1147">
        <f t="shared" si="24"/>
        <v>0</v>
      </c>
      <c r="AN53" s="1147">
        <f t="shared" si="24"/>
        <v>0</v>
      </c>
      <c r="AO53" s="1147">
        <f t="shared" si="24"/>
        <v>0</v>
      </c>
      <c r="AP53" s="1148">
        <f t="shared" si="24"/>
        <v>0</v>
      </c>
      <c r="AQ53" s="1146">
        <f t="shared" si="24"/>
        <v>0</v>
      </c>
      <c r="AR53" s="1147">
        <f t="shared" si="24"/>
        <v>0</v>
      </c>
      <c r="AS53" s="1148">
        <f t="shared" si="24"/>
        <v>0</v>
      </c>
      <c r="AT53" s="130"/>
      <c r="AU53" s="130"/>
      <c r="AV53" s="130"/>
      <c r="AW53" s="130"/>
      <c r="AX53" s="130"/>
      <c r="AY53" s="130"/>
      <c r="AZ53" s="130"/>
      <c r="BA53" s="130"/>
      <c r="BB53" s="130"/>
      <c r="BC53" s="130"/>
      <c r="BD53" s="130"/>
      <c r="BE53" s="130"/>
      <c r="BF53" s="130"/>
      <c r="BG53" s="130"/>
      <c r="BH53" s="130"/>
      <c r="BI53" s="130"/>
      <c r="BJ53" s="130"/>
      <c r="BK53" s="130"/>
      <c r="BL53" s="130"/>
      <c r="BM53" s="130"/>
      <c r="BN53" s="130"/>
      <c r="BO53" s="130"/>
      <c r="BP53" s="130"/>
      <c r="BQ53" s="130"/>
      <c r="BR53" s="130"/>
    </row>
    <row r="54" spans="5:70">
      <c r="E54" s="4238"/>
      <c r="F54" s="1478" t="s">
        <v>35</v>
      </c>
      <c r="G54" s="294"/>
      <c r="H54" s="488"/>
      <c r="I54" s="488"/>
      <c r="J54" s="488"/>
      <c r="K54" s="317"/>
      <c r="L54" s="294"/>
      <c r="M54" s="488"/>
      <c r="N54" s="488"/>
      <c r="O54" s="488"/>
      <c r="P54" s="317"/>
      <c r="Q54" s="1047"/>
      <c r="R54" s="488"/>
      <c r="S54" s="488"/>
      <c r="T54" s="488"/>
      <c r="U54" s="317"/>
      <c r="V54" s="1266"/>
      <c r="W54" s="294"/>
      <c r="X54" s="488"/>
      <c r="Y54" s="488"/>
      <c r="Z54" s="488"/>
      <c r="AA54" s="317"/>
      <c r="AB54" s="1098"/>
      <c r="AC54" s="294"/>
      <c r="AD54" s="488"/>
      <c r="AE54" s="488"/>
      <c r="AF54" s="488"/>
      <c r="AG54" s="488"/>
      <c r="AH54" s="1143"/>
      <c r="AI54" s="65"/>
      <c r="AL54" s="297"/>
      <c r="AM54" s="493"/>
      <c r="AN54" s="493"/>
      <c r="AO54" s="493"/>
      <c r="AP54" s="319"/>
      <c r="AQ54" s="297"/>
      <c r="AR54" s="493"/>
      <c r="AS54" s="319"/>
    </row>
    <row r="55" spans="5:70" ht="13.5" thickBot="1">
      <c r="E55" s="4239"/>
      <c r="F55" s="1476" t="s">
        <v>611</v>
      </c>
      <c r="G55" s="1694">
        <f>G53-G54</f>
        <v>38572.704826375688</v>
      </c>
      <c r="H55" s="1151">
        <f t="shared" ref="H55:K55" si="25">H53-H54</f>
        <v>48789.208670488282</v>
      </c>
      <c r="I55" s="1151">
        <f t="shared" si="25"/>
        <v>49373.038079125014</v>
      </c>
      <c r="J55" s="1151">
        <f t="shared" si="25"/>
        <v>213338.4784698477</v>
      </c>
      <c r="K55" s="1151">
        <f t="shared" si="25"/>
        <v>451707.24003785703</v>
      </c>
      <c r="L55" s="1694">
        <f>L53-L54</f>
        <v>0</v>
      </c>
      <c r="M55" s="1151">
        <f>M53-M54</f>
        <v>0</v>
      </c>
      <c r="N55" s="1151">
        <f>O53-O54</f>
        <v>0</v>
      </c>
      <c r="O55" s="1151">
        <f t="shared" ref="O55:U55" si="26">O53-O54</f>
        <v>0</v>
      </c>
      <c r="P55" s="1151">
        <f t="shared" si="26"/>
        <v>0</v>
      </c>
      <c r="Q55" s="1188">
        <f t="shared" si="26"/>
        <v>7726833.172501754</v>
      </c>
      <c r="R55" s="1188">
        <f t="shared" si="26"/>
        <v>4908002.6350919753</v>
      </c>
      <c r="S55" s="1188">
        <f t="shared" si="26"/>
        <v>6700610.2925488818</v>
      </c>
      <c r="T55" s="1188">
        <f t="shared" si="26"/>
        <v>0</v>
      </c>
      <c r="U55" s="1188">
        <f t="shared" si="26"/>
        <v>0</v>
      </c>
      <c r="V55" s="1266"/>
      <c r="W55" s="1694">
        <f>W53-W54</f>
        <v>0</v>
      </c>
      <c r="X55" s="1151">
        <f>X53-X54</f>
        <v>0</v>
      </c>
      <c r="Y55" s="1151">
        <f>Y53-Y54</f>
        <v>0</v>
      </c>
      <c r="Z55" s="1151">
        <f>Z53-Z54</f>
        <v>0</v>
      </c>
      <c r="AA55" s="1152">
        <f>AA53-AA54</f>
        <v>0</v>
      </c>
      <c r="AB55" s="1171" t="e">
        <f t="shared" ref="AB55:AB61" si="27">SUM(G55:K55)/SUM(W55:AA55)-1</f>
        <v>#DIV/0!</v>
      </c>
      <c r="AC55" s="1694">
        <f>AC53-AC54</f>
        <v>0</v>
      </c>
      <c r="AD55" s="1151">
        <f>AD53-AD54</f>
        <v>0</v>
      </c>
      <c r="AE55" s="1151">
        <f>AE53-AE54</f>
        <v>0</v>
      </c>
      <c r="AF55" s="1151">
        <f>AF53-AF54</f>
        <v>0</v>
      </c>
      <c r="AG55" s="1151">
        <f>AG53-AG54</f>
        <v>0</v>
      </c>
      <c r="AH55" s="1153" t="e">
        <f t="shared" ref="AH55:AH61" si="28">SUM(L55:P55)/SUM(AC55:AG55)-1</f>
        <v>#DIV/0!</v>
      </c>
      <c r="AI55" s="65"/>
      <c r="AL55" s="1694">
        <f>AL53-AL54</f>
        <v>0</v>
      </c>
      <c r="AM55" s="1151">
        <f t="shared" ref="AM55:AR55" si="29">AM53-AM54</f>
        <v>0</v>
      </c>
      <c r="AN55" s="1151">
        <f t="shared" si="29"/>
        <v>0</v>
      </c>
      <c r="AO55" s="1151">
        <f t="shared" si="29"/>
        <v>0</v>
      </c>
      <c r="AP55" s="1152">
        <f t="shared" si="29"/>
        <v>0</v>
      </c>
      <c r="AQ55" s="1694">
        <f t="shared" si="29"/>
        <v>0</v>
      </c>
      <c r="AR55" s="1151">
        <f t="shared" si="29"/>
        <v>0</v>
      </c>
      <c r="AS55" s="1152" t="e">
        <f>#REF!-#REF!</f>
        <v>#REF!</v>
      </c>
    </row>
    <row r="56" spans="5:70" ht="12.75" customHeight="1">
      <c r="E56" s="4237" t="s">
        <v>1537</v>
      </c>
      <c r="F56" s="461" t="s">
        <v>117</v>
      </c>
      <c r="G56" s="1693"/>
      <c r="H56" s="451"/>
      <c r="I56" s="451"/>
      <c r="J56" s="451"/>
      <c r="K56" s="1140"/>
      <c r="L56" s="296"/>
      <c r="M56" s="492"/>
      <c r="N56" s="492"/>
      <c r="O56" s="492">
        <f t="shared" ref="O56:U56" si="30">O62</f>
        <v>0</v>
      </c>
      <c r="P56" s="1140">
        <f t="shared" si="30"/>
        <v>0</v>
      </c>
      <c r="Q56" s="1176">
        <f t="shared" si="30"/>
        <v>0</v>
      </c>
      <c r="R56" s="1177">
        <f t="shared" si="30"/>
        <v>0</v>
      </c>
      <c r="S56" s="1177">
        <f t="shared" si="30"/>
        <v>0</v>
      </c>
      <c r="T56" s="1177">
        <f t="shared" si="30"/>
        <v>0</v>
      </c>
      <c r="U56" s="1140">
        <f t="shared" si="30"/>
        <v>0</v>
      </c>
      <c r="V56" s="1266"/>
      <c r="W56" s="1693"/>
      <c r="X56" s="451"/>
      <c r="Y56" s="451"/>
      <c r="Z56" s="451"/>
      <c r="AA56" s="1140"/>
      <c r="AB56" s="1141" t="e">
        <f t="shared" si="27"/>
        <v>#DIV/0!</v>
      </c>
      <c r="AC56" s="1693"/>
      <c r="AD56" s="451"/>
      <c r="AE56" s="451"/>
      <c r="AF56" s="451"/>
      <c r="AG56" s="451"/>
      <c r="AH56" s="1142" t="e">
        <f t="shared" si="28"/>
        <v>#DIV/0!</v>
      </c>
      <c r="AI56" s="65"/>
      <c r="AL56" s="1181"/>
      <c r="AM56" s="1182"/>
      <c r="AN56" s="1182"/>
      <c r="AO56" s="1182"/>
      <c r="AP56" s="1183"/>
      <c r="AQ56" s="296"/>
      <c r="AR56" s="492"/>
      <c r="AS56" s="318"/>
    </row>
    <row r="57" spans="5:70" ht="12.75" customHeight="1">
      <c r="E57" s="4238"/>
      <c r="F57" s="1463" t="s">
        <v>614</v>
      </c>
      <c r="G57" s="294"/>
      <c r="H57" s="488"/>
      <c r="I57" s="488"/>
      <c r="J57" s="488"/>
      <c r="K57" s="317"/>
      <c r="L57" s="294"/>
      <c r="M57" s="488"/>
      <c r="N57" s="488"/>
      <c r="O57" s="488"/>
      <c r="P57" s="317"/>
      <c r="Q57" s="1047"/>
      <c r="R57" s="488"/>
      <c r="S57" s="488"/>
      <c r="T57" s="488"/>
      <c r="U57" s="317"/>
      <c r="V57" s="1266"/>
      <c r="W57" s="294"/>
      <c r="X57" s="488"/>
      <c r="Y57" s="488"/>
      <c r="Z57" s="488"/>
      <c r="AA57" s="317"/>
      <c r="AB57" s="1138" t="e">
        <f t="shared" si="27"/>
        <v>#DIV/0!</v>
      </c>
      <c r="AC57" s="294"/>
      <c r="AD57" s="488"/>
      <c r="AE57" s="488"/>
      <c r="AF57" s="488"/>
      <c r="AG57" s="488"/>
      <c r="AH57" s="1143" t="e">
        <f t="shared" si="28"/>
        <v>#DIV/0!</v>
      </c>
      <c r="AI57" s="65"/>
      <c r="AL57" s="1178"/>
      <c r="AM57" s="1179"/>
      <c r="AN57" s="1179"/>
      <c r="AO57" s="1179"/>
      <c r="AP57" s="1180"/>
      <c r="AQ57" s="297"/>
      <c r="AR57" s="493"/>
      <c r="AS57" s="319"/>
    </row>
    <row r="58" spans="5:70" ht="12.75" customHeight="1">
      <c r="E58" s="4238"/>
      <c r="F58" s="1463" t="s">
        <v>615</v>
      </c>
      <c r="G58" s="294"/>
      <c r="H58" s="488"/>
      <c r="I58" s="488"/>
      <c r="J58" s="488"/>
      <c r="K58" s="317"/>
      <c r="L58" s="294"/>
      <c r="M58" s="488"/>
      <c r="N58" s="488"/>
      <c r="O58" s="488"/>
      <c r="P58" s="317">
        <v>0</v>
      </c>
      <c r="Q58" s="1047">
        <v>0</v>
      </c>
      <c r="R58" s="488">
        <v>0</v>
      </c>
      <c r="S58" s="488">
        <v>0</v>
      </c>
      <c r="T58" s="488">
        <v>22349</v>
      </c>
      <c r="U58" s="488">
        <v>17659</v>
      </c>
      <c r="V58" s="1266"/>
      <c r="W58" s="294"/>
      <c r="X58" s="488"/>
      <c r="Y58" s="488"/>
      <c r="Z58" s="488"/>
      <c r="AA58" s="317"/>
      <c r="AB58" s="1138" t="e">
        <f t="shared" si="27"/>
        <v>#DIV/0!</v>
      </c>
      <c r="AC58" s="294"/>
      <c r="AD58" s="488"/>
      <c r="AE58" s="488"/>
      <c r="AF58" s="488"/>
      <c r="AG58" s="488"/>
      <c r="AH58" s="1143" t="e">
        <f t="shared" si="28"/>
        <v>#DIV/0!</v>
      </c>
      <c r="AI58" s="65"/>
      <c r="AL58" s="1178"/>
      <c r="AM58" s="1179"/>
      <c r="AN58" s="1179"/>
      <c r="AO58" s="1179"/>
      <c r="AP58" s="1180"/>
      <c r="AQ58" s="297"/>
      <c r="AR58" s="493"/>
      <c r="AS58" s="319"/>
    </row>
    <row r="59" spans="5:70" ht="12.75" customHeight="1">
      <c r="E59" s="4238"/>
      <c r="F59" s="1463" t="s">
        <v>616</v>
      </c>
      <c r="G59" s="294"/>
      <c r="H59" s="488"/>
      <c r="I59" s="488"/>
      <c r="J59" s="488"/>
      <c r="K59" s="317"/>
      <c r="L59" s="294"/>
      <c r="M59" s="488"/>
      <c r="N59" s="488"/>
      <c r="O59" s="488"/>
      <c r="P59" s="317"/>
      <c r="Q59" s="1047"/>
      <c r="R59" s="488"/>
      <c r="S59" s="488"/>
      <c r="T59" s="488"/>
      <c r="U59" s="317"/>
      <c r="V59" s="1266"/>
      <c r="W59" s="294"/>
      <c r="X59" s="488"/>
      <c r="Y59" s="488"/>
      <c r="Z59" s="488"/>
      <c r="AA59" s="317"/>
      <c r="AB59" s="1138" t="e">
        <f t="shared" si="27"/>
        <v>#DIV/0!</v>
      </c>
      <c r="AC59" s="294"/>
      <c r="AD59" s="488"/>
      <c r="AE59" s="488"/>
      <c r="AF59" s="488"/>
      <c r="AG59" s="488"/>
      <c r="AH59" s="1143" t="e">
        <f t="shared" si="28"/>
        <v>#DIV/0!</v>
      </c>
      <c r="AI59" s="65"/>
      <c r="AL59" s="1178"/>
      <c r="AM59" s="1179"/>
      <c r="AN59" s="1179"/>
      <c r="AO59" s="1179"/>
      <c r="AP59" s="1180"/>
      <c r="AQ59" s="297"/>
      <c r="AR59" s="493"/>
      <c r="AS59" s="319"/>
    </row>
    <row r="60" spans="5:70" ht="12.75" customHeight="1">
      <c r="E60" s="4238"/>
      <c r="F60" s="1463" t="s">
        <v>617</v>
      </c>
      <c r="G60" s="294"/>
      <c r="H60" s="488"/>
      <c r="I60" s="488"/>
      <c r="J60" s="488"/>
      <c r="K60" s="317"/>
      <c r="L60" s="294"/>
      <c r="M60" s="488"/>
      <c r="N60" s="488"/>
      <c r="O60" s="488"/>
      <c r="P60" s="317"/>
      <c r="Q60" s="1047"/>
      <c r="R60" s="488"/>
      <c r="S60" s="488"/>
      <c r="T60" s="488"/>
      <c r="U60" s="317"/>
      <c r="V60" s="1266"/>
      <c r="W60" s="294"/>
      <c r="X60" s="488"/>
      <c r="Y60" s="488"/>
      <c r="Z60" s="488"/>
      <c r="AA60" s="317"/>
      <c r="AB60" s="1138" t="e">
        <f t="shared" si="27"/>
        <v>#DIV/0!</v>
      </c>
      <c r="AC60" s="294"/>
      <c r="AD60" s="488"/>
      <c r="AE60" s="488"/>
      <c r="AF60" s="488"/>
      <c r="AG60" s="488"/>
      <c r="AH60" s="1143" t="e">
        <f t="shared" si="28"/>
        <v>#DIV/0!</v>
      </c>
      <c r="AI60" s="65"/>
      <c r="AL60" s="1178"/>
      <c r="AM60" s="1179"/>
      <c r="AN60" s="1179"/>
      <c r="AO60" s="1179"/>
      <c r="AP60" s="1180"/>
      <c r="AQ60" s="297"/>
      <c r="AR60" s="493"/>
      <c r="AS60" s="319"/>
    </row>
    <row r="61" spans="5:70" ht="12.75" customHeight="1">
      <c r="E61" s="4238"/>
      <c r="F61" s="1463" t="s">
        <v>618</v>
      </c>
      <c r="G61" s="247"/>
      <c r="H61" s="483"/>
      <c r="I61" s="483"/>
      <c r="J61" s="483"/>
      <c r="K61" s="484"/>
      <c r="L61" s="247">
        <f>SUM(L56:L60)</f>
        <v>0</v>
      </c>
      <c r="M61" s="483">
        <f t="shared" ref="M61:AA61" si="31">SUM(M56:M60)</f>
        <v>0</v>
      </c>
      <c r="N61" s="483">
        <f t="shared" si="31"/>
        <v>0</v>
      </c>
      <c r="O61" s="483">
        <f t="shared" si="31"/>
        <v>0</v>
      </c>
      <c r="P61" s="484">
        <f t="shared" si="31"/>
        <v>0</v>
      </c>
      <c r="Q61" s="264">
        <f t="shared" si="31"/>
        <v>0</v>
      </c>
      <c r="R61" s="483">
        <f t="shared" si="31"/>
        <v>0</v>
      </c>
      <c r="S61" s="483">
        <f t="shared" si="31"/>
        <v>0</v>
      </c>
      <c r="T61" s="483">
        <f t="shared" si="31"/>
        <v>22349</v>
      </c>
      <c r="U61" s="484">
        <f t="shared" si="31"/>
        <v>17659</v>
      </c>
      <c r="V61" s="1266"/>
      <c r="W61" s="247">
        <f t="shared" si="31"/>
        <v>0</v>
      </c>
      <c r="X61" s="483">
        <f t="shared" si="31"/>
        <v>0</v>
      </c>
      <c r="Y61" s="483">
        <f t="shared" si="31"/>
        <v>0</v>
      </c>
      <c r="Z61" s="483">
        <f t="shared" si="31"/>
        <v>0</v>
      </c>
      <c r="AA61" s="484">
        <f t="shared" si="31"/>
        <v>0</v>
      </c>
      <c r="AB61" s="1138" t="e">
        <f t="shared" si="27"/>
        <v>#DIV/0!</v>
      </c>
      <c r="AC61" s="247">
        <f>SUM(AC56:AC60)</f>
        <v>0</v>
      </c>
      <c r="AD61" s="483">
        <f>SUM(AD56:AD60)</f>
        <v>0</v>
      </c>
      <c r="AE61" s="483">
        <f>SUM(AE56:AE60)</f>
        <v>0</v>
      </c>
      <c r="AF61" s="483">
        <f>SUM(AF56:AF60)</f>
        <v>0</v>
      </c>
      <c r="AG61" s="483">
        <f>SUM(AG56:AG60)</f>
        <v>0</v>
      </c>
      <c r="AH61" s="1144" t="e">
        <f t="shared" si="28"/>
        <v>#DIV/0!</v>
      </c>
      <c r="AI61" s="65"/>
      <c r="AL61" s="1178"/>
      <c r="AM61" s="1179"/>
      <c r="AN61" s="1179"/>
      <c r="AO61" s="1179"/>
      <c r="AP61" s="1180"/>
      <c r="AQ61" s="247">
        <f>SUM(AQ56:AQ60)</f>
        <v>0</v>
      </c>
      <c r="AR61" s="483">
        <f t="shared" ref="AR61:AS61" si="32">SUM(AR56:AR60)</f>
        <v>0</v>
      </c>
      <c r="AS61" s="484">
        <f t="shared" si="32"/>
        <v>0</v>
      </c>
    </row>
    <row r="62" spans="5:70">
      <c r="E62" s="4238"/>
      <c r="F62" s="1464" t="s">
        <v>613</v>
      </c>
      <c r="G62" s="296"/>
      <c r="H62" s="492"/>
      <c r="I62" s="492"/>
      <c r="J62" s="492"/>
      <c r="K62" s="318"/>
      <c r="L62" s="296"/>
      <c r="M62" s="492"/>
      <c r="N62" s="492"/>
      <c r="O62" s="492"/>
      <c r="P62" s="318"/>
      <c r="Q62" s="1055"/>
      <c r="R62" s="492"/>
      <c r="S62" s="492"/>
      <c r="T62" s="492"/>
      <c r="U62" s="318"/>
      <c r="V62" s="1266"/>
      <c r="W62" s="296"/>
      <c r="X62" s="492"/>
      <c r="Y62" s="492"/>
      <c r="Z62" s="492"/>
      <c r="AA62" s="318"/>
      <c r="AB62" s="1085"/>
      <c r="AC62" s="296"/>
      <c r="AD62" s="492"/>
      <c r="AE62" s="492"/>
      <c r="AF62" s="492"/>
      <c r="AG62" s="492"/>
      <c r="AH62" s="1145"/>
      <c r="AI62" s="65"/>
      <c r="AL62" s="1181"/>
      <c r="AM62" s="1182"/>
      <c r="AN62" s="1182"/>
      <c r="AO62" s="1182"/>
      <c r="AP62" s="1183"/>
      <c r="AQ62" s="296"/>
      <c r="AR62" s="492"/>
      <c r="AS62" s="318"/>
    </row>
    <row r="63" spans="5:70">
      <c r="E63" s="4238"/>
      <c r="F63" s="1465" t="s">
        <v>619</v>
      </c>
      <c r="G63" s="294"/>
      <c r="H63" s="488"/>
      <c r="I63" s="488"/>
      <c r="J63" s="488"/>
      <c r="K63" s="317"/>
      <c r="L63" s="294"/>
      <c r="M63" s="488"/>
      <c r="N63" s="488"/>
      <c r="O63" s="488"/>
      <c r="P63" s="317"/>
      <c r="Q63" s="1047"/>
      <c r="R63" s="488"/>
      <c r="S63" s="488"/>
      <c r="T63" s="488"/>
      <c r="U63" s="317"/>
      <c r="V63" s="1266"/>
      <c r="W63" s="294"/>
      <c r="X63" s="488"/>
      <c r="Y63" s="488"/>
      <c r="Z63" s="488"/>
      <c r="AA63" s="317"/>
      <c r="AB63" s="1138"/>
      <c r="AC63" s="294"/>
      <c r="AD63" s="488"/>
      <c r="AE63" s="488"/>
      <c r="AF63" s="488"/>
      <c r="AG63" s="488"/>
      <c r="AH63" s="1143"/>
      <c r="AI63" s="65"/>
      <c r="AL63" s="1178"/>
      <c r="AM63" s="1179"/>
      <c r="AN63" s="1179"/>
      <c r="AO63" s="1179"/>
      <c r="AP63" s="1180"/>
      <c r="AQ63" s="297"/>
      <c r="AR63" s="493"/>
      <c r="AS63" s="319"/>
    </row>
    <row r="64" spans="5:70">
      <c r="E64" s="4238"/>
      <c r="F64" s="459" t="s">
        <v>584</v>
      </c>
      <c r="G64" s="294"/>
      <c r="H64" s="488"/>
      <c r="I64" s="488"/>
      <c r="J64" s="488"/>
      <c r="K64" s="317"/>
      <c r="L64" s="294"/>
      <c r="M64" s="488"/>
      <c r="N64" s="488"/>
      <c r="O64" s="488"/>
      <c r="P64" s="317"/>
      <c r="Q64" s="1047">
        <v>0</v>
      </c>
      <c r="R64" s="488">
        <v>0</v>
      </c>
      <c r="S64" s="488">
        <v>0</v>
      </c>
      <c r="T64" s="488">
        <v>8746140.0368281156</v>
      </c>
      <c r="U64" s="488">
        <v>7314314.6615098314</v>
      </c>
      <c r="V64" s="1266"/>
      <c r="W64" s="294"/>
      <c r="X64" s="488"/>
      <c r="Y64" s="488"/>
      <c r="Z64" s="488"/>
      <c r="AA64" s="317"/>
      <c r="AB64" s="1138"/>
      <c r="AC64" s="294"/>
      <c r="AD64" s="488"/>
      <c r="AE64" s="488"/>
      <c r="AF64" s="488"/>
      <c r="AG64" s="488"/>
      <c r="AH64" s="1143"/>
      <c r="AI64" s="65"/>
      <c r="AL64" s="1178"/>
      <c r="AM64" s="1179"/>
      <c r="AN64" s="1179"/>
      <c r="AO64" s="1179"/>
      <c r="AP64" s="1180"/>
      <c r="AQ64" s="297"/>
      <c r="AR64" s="493"/>
      <c r="AS64" s="319"/>
    </row>
    <row r="65" spans="5:70">
      <c r="E65" s="4238"/>
      <c r="F65" s="459" t="s">
        <v>585</v>
      </c>
      <c r="G65" s="294"/>
      <c r="H65" s="488"/>
      <c r="I65" s="488"/>
      <c r="J65" s="488"/>
      <c r="K65" s="317"/>
      <c r="L65" s="294"/>
      <c r="M65" s="488"/>
      <c r="N65" s="488"/>
      <c r="O65" s="488"/>
      <c r="P65" s="317"/>
      <c r="Q65" s="1047"/>
      <c r="R65" s="488"/>
      <c r="S65" s="488"/>
      <c r="T65" s="488"/>
      <c r="U65" s="317"/>
      <c r="V65" s="1266"/>
      <c r="W65" s="294"/>
      <c r="X65" s="488"/>
      <c r="Y65" s="488"/>
      <c r="Z65" s="488"/>
      <c r="AA65" s="317"/>
      <c r="AB65" s="1138"/>
      <c r="AC65" s="294"/>
      <c r="AD65" s="488"/>
      <c r="AE65" s="488"/>
      <c r="AF65" s="488"/>
      <c r="AG65" s="488"/>
      <c r="AH65" s="1143"/>
      <c r="AI65" s="65"/>
      <c r="AL65" s="1178"/>
      <c r="AM65" s="1179"/>
      <c r="AN65" s="1179"/>
      <c r="AO65" s="1179"/>
      <c r="AP65" s="1180"/>
      <c r="AQ65" s="297"/>
      <c r="AR65" s="493"/>
      <c r="AS65" s="319"/>
    </row>
    <row r="66" spans="5:70">
      <c r="E66" s="4238"/>
      <c r="F66" s="459" t="s">
        <v>604</v>
      </c>
      <c r="G66" s="297"/>
      <c r="H66" s="483"/>
      <c r="I66" s="483"/>
      <c r="J66" s="483"/>
      <c r="K66" s="484"/>
      <c r="L66" s="297"/>
      <c r="M66" s="483"/>
      <c r="N66" s="483"/>
      <c r="O66" s="483"/>
      <c r="P66" s="484"/>
      <c r="Q66" s="264"/>
      <c r="R66" s="483"/>
      <c r="S66" s="483"/>
      <c r="T66" s="483"/>
      <c r="U66" s="484"/>
      <c r="V66" s="1266"/>
      <c r="W66" s="247"/>
      <c r="X66" s="483"/>
      <c r="Y66" s="483"/>
      <c r="Z66" s="483"/>
      <c r="AA66" s="484"/>
      <c r="AB66" s="1138"/>
      <c r="AC66" s="247"/>
      <c r="AD66" s="483"/>
      <c r="AE66" s="483"/>
      <c r="AF66" s="483"/>
      <c r="AG66" s="483"/>
      <c r="AH66" s="1144"/>
      <c r="AI66" s="65"/>
      <c r="AL66" s="1184"/>
      <c r="AM66" s="1185"/>
      <c r="AN66" s="1185"/>
      <c r="AO66" s="1185"/>
      <c r="AP66" s="1186"/>
      <c r="AQ66" s="297"/>
      <c r="AR66" s="483"/>
      <c r="AS66" s="484"/>
    </row>
    <row r="67" spans="5:70">
      <c r="E67" s="4238"/>
      <c r="F67" s="1466" t="s">
        <v>605</v>
      </c>
      <c r="G67" s="296"/>
      <c r="H67" s="492"/>
      <c r="I67" s="492"/>
      <c r="J67" s="492"/>
      <c r="K67" s="318"/>
      <c r="L67" s="296">
        <f t="shared" ref="L67:Z67" si="33">SUM(L64:L66)</f>
        <v>0</v>
      </c>
      <c r="M67" s="492">
        <f t="shared" si="33"/>
        <v>0</v>
      </c>
      <c r="N67" s="492">
        <f t="shared" si="33"/>
        <v>0</v>
      </c>
      <c r="O67" s="492">
        <f t="shared" si="33"/>
        <v>0</v>
      </c>
      <c r="P67" s="318">
        <f t="shared" si="33"/>
        <v>0</v>
      </c>
      <c r="Q67" s="1055">
        <f t="shared" si="33"/>
        <v>0</v>
      </c>
      <c r="R67" s="492">
        <f t="shared" si="33"/>
        <v>0</v>
      </c>
      <c r="S67" s="492">
        <f t="shared" si="33"/>
        <v>0</v>
      </c>
      <c r="T67" s="492">
        <f t="shared" si="33"/>
        <v>8746140.0368281156</v>
      </c>
      <c r="U67" s="318">
        <f t="shared" si="33"/>
        <v>7314314.6615098314</v>
      </c>
      <c r="V67" s="1266"/>
      <c r="W67" s="296">
        <f t="shared" si="33"/>
        <v>0</v>
      </c>
      <c r="X67" s="492">
        <f t="shared" si="33"/>
        <v>0</v>
      </c>
      <c r="Y67" s="492">
        <f t="shared" si="33"/>
        <v>0</v>
      </c>
      <c r="Z67" s="492">
        <f t="shared" si="33"/>
        <v>0</v>
      </c>
      <c r="AA67" s="318">
        <f>SUM(AA64:AA66)</f>
        <v>0</v>
      </c>
      <c r="AB67" s="1085" t="e">
        <f>SUM(G67:K67)/SUM(W67:AA67)-1</f>
        <v>#DIV/0!</v>
      </c>
      <c r="AC67" s="296">
        <f>SUM(AC64:AC66)</f>
        <v>0</v>
      </c>
      <c r="AD67" s="492">
        <f>SUM(AD64:AD66)</f>
        <v>0</v>
      </c>
      <c r="AE67" s="492">
        <f>SUM(AE64:AE66)</f>
        <v>0</v>
      </c>
      <c r="AF67" s="492">
        <f>SUM(AF64:AF66)</f>
        <v>0</v>
      </c>
      <c r="AG67" s="492">
        <f>SUM(AG64:AG66)</f>
        <v>0</v>
      </c>
      <c r="AH67" s="1145" t="e">
        <f>SUM(L67:P67)/SUM(AC67:AG67)-1</f>
        <v>#DIV/0!</v>
      </c>
      <c r="AI67" s="65"/>
      <c r="AL67" s="1181"/>
      <c r="AM67" s="1182"/>
      <c r="AN67" s="1182"/>
      <c r="AO67" s="1182"/>
      <c r="AP67" s="1183"/>
      <c r="AQ67" s="296">
        <f>SUM(AQ64:AQ66)</f>
        <v>0</v>
      </c>
      <c r="AR67" s="492">
        <f t="shared" ref="AR67:AS67" si="34">SUM(AR64:AR66)</f>
        <v>0</v>
      </c>
      <c r="AS67" s="318">
        <f t="shared" si="34"/>
        <v>0</v>
      </c>
    </row>
    <row r="68" spans="5:70" ht="13.5" thickBot="1">
      <c r="E68" s="4239"/>
      <c r="F68" s="1474" t="s">
        <v>609</v>
      </c>
      <c r="G68" s="294"/>
      <c r="H68" s="488"/>
      <c r="I68" s="488"/>
      <c r="J68" s="488"/>
      <c r="K68" s="317"/>
      <c r="L68" s="247"/>
      <c r="M68" s="483"/>
      <c r="N68" s="483"/>
      <c r="O68" s="483">
        <f t="shared" ref="O68:U68" si="35">O67*0.06</f>
        <v>0</v>
      </c>
      <c r="P68" s="317">
        <f t="shared" si="35"/>
        <v>0</v>
      </c>
      <c r="Q68" s="1047">
        <f t="shared" si="35"/>
        <v>0</v>
      </c>
      <c r="R68" s="488">
        <f t="shared" si="35"/>
        <v>0</v>
      </c>
      <c r="S68" s="488">
        <f t="shared" si="35"/>
        <v>0</v>
      </c>
      <c r="T68" s="488">
        <f t="shared" si="35"/>
        <v>524768.40220968693</v>
      </c>
      <c r="U68" s="317">
        <f t="shared" si="35"/>
        <v>438858.87969058985</v>
      </c>
      <c r="V68" s="1266"/>
      <c r="W68" s="247"/>
      <c r="X68" s="488"/>
      <c r="Y68" s="488"/>
      <c r="Z68" s="488"/>
      <c r="AA68" s="317"/>
      <c r="AB68" s="1138" t="e">
        <f>SUM(G68:K68)/SUM(W68:AA68)-1</f>
        <v>#DIV/0!</v>
      </c>
      <c r="AC68" s="247"/>
      <c r="AD68" s="483"/>
      <c r="AE68" s="483"/>
      <c r="AF68" s="483"/>
      <c r="AG68" s="483"/>
      <c r="AH68" s="1144" t="e">
        <f>SUM(L68:P68)/SUM(AC68:AG68)-1</f>
        <v>#DIV/0!</v>
      </c>
      <c r="AI68" s="65"/>
      <c r="AL68" s="297"/>
      <c r="AM68" s="493"/>
      <c r="AN68" s="493"/>
      <c r="AO68" s="493"/>
      <c r="AP68" s="319"/>
      <c r="AQ68" s="297"/>
      <c r="AR68" s="493"/>
      <c r="AS68" s="319"/>
    </row>
    <row r="69" spans="5:70" ht="13.5" thickBot="1">
      <c r="E69" s="4239"/>
      <c r="F69" s="1473" t="s">
        <v>607</v>
      </c>
      <c r="G69" s="1726"/>
      <c r="H69" s="1727"/>
      <c r="I69" s="1727"/>
      <c r="J69" s="1727"/>
      <c r="K69" s="1728"/>
      <c r="L69" s="1726"/>
      <c r="M69" s="1727"/>
      <c r="N69" s="1727"/>
      <c r="O69" s="1727"/>
      <c r="P69" s="1728"/>
      <c r="Q69" s="1729"/>
      <c r="R69" s="1727"/>
      <c r="S69" s="1727"/>
      <c r="T69" s="1727"/>
      <c r="U69" s="1728"/>
      <c r="V69" s="1266"/>
      <c r="W69" s="1741"/>
      <c r="X69" s="1742"/>
      <c r="Y69" s="1742"/>
      <c r="Z69" s="1742"/>
      <c r="AA69" s="1742"/>
      <c r="AB69" s="1742"/>
      <c r="AC69" s="1742"/>
      <c r="AD69" s="1742"/>
      <c r="AE69" s="1742"/>
      <c r="AF69" s="1742"/>
      <c r="AG69" s="1742"/>
      <c r="AH69" s="1743"/>
      <c r="AI69" s="65"/>
      <c r="AL69" s="297"/>
      <c r="AM69" s="493"/>
      <c r="AN69" s="493"/>
      <c r="AO69" s="493"/>
      <c r="AP69" s="319"/>
      <c r="AQ69" s="297"/>
      <c r="AR69" s="493"/>
      <c r="AS69" s="319"/>
    </row>
    <row r="70" spans="5:70">
      <c r="E70" s="4239"/>
      <c r="F70" s="1475" t="s">
        <v>610</v>
      </c>
      <c r="G70" s="296">
        <f t="shared" ref="G70:K70" si="36">SUM(G68:G69)</f>
        <v>0</v>
      </c>
      <c r="H70" s="492">
        <f t="shared" si="36"/>
        <v>0</v>
      </c>
      <c r="I70" s="492">
        <f t="shared" si="36"/>
        <v>0</v>
      </c>
      <c r="J70" s="492">
        <f t="shared" si="36"/>
        <v>0</v>
      </c>
      <c r="K70" s="318">
        <f t="shared" si="36"/>
        <v>0</v>
      </c>
      <c r="L70" s="1146">
        <f t="shared" ref="L70:P70" si="37">SUM(L68:L69)</f>
        <v>0</v>
      </c>
      <c r="M70" s="1147">
        <f t="shared" si="37"/>
        <v>0</v>
      </c>
      <c r="N70" s="1147">
        <f t="shared" si="37"/>
        <v>0</v>
      </c>
      <c r="O70" s="1147">
        <f t="shared" si="37"/>
        <v>0</v>
      </c>
      <c r="P70" s="1148">
        <f t="shared" si="37"/>
        <v>0</v>
      </c>
      <c r="Q70" s="1187">
        <f>SUM(Q67:Q69)</f>
        <v>0</v>
      </c>
      <c r="R70" s="1187">
        <f>SUM(R67:R69)</f>
        <v>0</v>
      </c>
      <c r="S70" s="1187">
        <f>SUM(S67:S69)</f>
        <v>0</v>
      </c>
      <c r="T70" s="1187">
        <f>SUM(T67:T69)</f>
        <v>9270908.4390378017</v>
      </c>
      <c r="U70" s="1187">
        <f>SUM(U67:U69)</f>
        <v>7753173.5412004218</v>
      </c>
      <c r="V70" s="1266"/>
      <c r="W70" s="1146">
        <f>SUM(W68:W69)</f>
        <v>0</v>
      </c>
      <c r="X70" s="1147">
        <f>SUM(X68:X69)</f>
        <v>0</v>
      </c>
      <c r="Y70" s="1147">
        <f>SUM(Y68:Y69)</f>
        <v>0</v>
      </c>
      <c r="Z70" s="1147">
        <f>SUM(Z68:Z69)</f>
        <v>0</v>
      </c>
      <c r="AA70" s="1148">
        <f>SUM(AA68:AA69)</f>
        <v>0</v>
      </c>
      <c r="AB70" s="1149" t="e">
        <f>SUM(G70:K70)/SUM(W70:AA70)-1</f>
        <v>#DIV/0!</v>
      </c>
      <c r="AC70" s="1146">
        <f>SUM(AC68:AC69)</f>
        <v>0</v>
      </c>
      <c r="AD70" s="1147">
        <f>SUM(AD68:AD69)</f>
        <v>0</v>
      </c>
      <c r="AE70" s="1147">
        <f>SUM(AE68:AE69)</f>
        <v>0</v>
      </c>
      <c r="AF70" s="1147">
        <f>SUM(AF68:AF69)</f>
        <v>0</v>
      </c>
      <c r="AG70" s="1147">
        <f>SUM(AG68:AG69)</f>
        <v>0</v>
      </c>
      <c r="AH70" s="1150" t="e">
        <f>SUM(L70:P70)/SUM(AC70:AG70)-1</f>
        <v>#DIV/0!</v>
      </c>
      <c r="AI70" s="65"/>
      <c r="AJ70" s="130"/>
      <c r="AK70" s="130"/>
      <c r="AL70" s="1146">
        <f t="shared" ref="AL70:AS70" si="38">SUM(AL68:AL69)</f>
        <v>0</v>
      </c>
      <c r="AM70" s="1147">
        <f t="shared" si="38"/>
        <v>0</v>
      </c>
      <c r="AN70" s="1147">
        <f t="shared" si="38"/>
        <v>0</v>
      </c>
      <c r="AO70" s="1147">
        <f t="shared" si="38"/>
        <v>0</v>
      </c>
      <c r="AP70" s="1148">
        <f t="shared" si="38"/>
        <v>0</v>
      </c>
      <c r="AQ70" s="1146">
        <f t="shared" si="38"/>
        <v>0</v>
      </c>
      <c r="AR70" s="1147">
        <f t="shared" si="38"/>
        <v>0</v>
      </c>
      <c r="AS70" s="1148">
        <f t="shared" si="38"/>
        <v>0</v>
      </c>
      <c r="AT70" s="130"/>
      <c r="AU70" s="130"/>
      <c r="AV70" s="130"/>
      <c r="AW70" s="130"/>
      <c r="AX70" s="130"/>
      <c r="AY70" s="130"/>
      <c r="AZ70" s="130"/>
      <c r="BA70" s="130"/>
      <c r="BB70" s="130"/>
      <c r="BC70" s="130"/>
      <c r="BD70" s="130"/>
      <c r="BE70" s="130"/>
      <c r="BF70" s="130"/>
      <c r="BG70" s="130"/>
      <c r="BH70" s="130"/>
      <c r="BI70" s="130"/>
      <c r="BJ70" s="130"/>
      <c r="BK70" s="130"/>
      <c r="BL70" s="130"/>
      <c r="BM70" s="130"/>
      <c r="BN70" s="130"/>
      <c r="BO70" s="130"/>
      <c r="BP70" s="130"/>
      <c r="BQ70" s="130"/>
      <c r="BR70" s="130"/>
    </row>
    <row r="71" spans="5:70">
      <c r="E71" s="4239"/>
      <c r="F71" s="1477" t="s">
        <v>35</v>
      </c>
      <c r="G71" s="294"/>
      <c r="H71" s="488"/>
      <c r="I71" s="488"/>
      <c r="J71" s="488"/>
      <c r="K71" s="317"/>
      <c r="L71" s="294"/>
      <c r="M71" s="488"/>
      <c r="N71" s="488"/>
      <c r="O71" s="488"/>
      <c r="P71" s="317"/>
      <c r="Q71" s="1047"/>
      <c r="R71" s="488"/>
      <c r="S71" s="488"/>
      <c r="T71" s="488"/>
      <c r="U71" s="317"/>
      <c r="V71" s="1266"/>
      <c r="W71" s="294"/>
      <c r="X71" s="488"/>
      <c r="Y71" s="488"/>
      <c r="Z71" s="488"/>
      <c r="AA71" s="317"/>
      <c r="AB71" s="1098"/>
      <c r="AC71" s="294"/>
      <c r="AD71" s="488"/>
      <c r="AE71" s="488"/>
      <c r="AF71" s="488"/>
      <c r="AG71" s="488"/>
      <c r="AH71" s="1143"/>
      <c r="AI71" s="65"/>
      <c r="AL71" s="297"/>
      <c r="AM71" s="493"/>
      <c r="AN71" s="493"/>
      <c r="AO71" s="493"/>
      <c r="AP71" s="319"/>
      <c r="AQ71" s="297"/>
      <c r="AR71" s="493"/>
      <c r="AS71" s="319"/>
    </row>
    <row r="72" spans="5:70" ht="13.5" thickBot="1">
      <c r="E72" s="4239"/>
      <c r="F72" s="1476" t="s">
        <v>611</v>
      </c>
      <c r="G72" s="1694">
        <f>G70-G71</f>
        <v>0</v>
      </c>
      <c r="H72" s="1151">
        <f t="shared" ref="H72:K72" si="39">H70-H71</f>
        <v>0</v>
      </c>
      <c r="I72" s="1151">
        <f t="shared" si="39"/>
        <v>0</v>
      </c>
      <c r="J72" s="1151">
        <f t="shared" si="39"/>
        <v>0</v>
      </c>
      <c r="K72" s="1151">
        <f t="shared" si="39"/>
        <v>0</v>
      </c>
      <c r="L72" s="1694">
        <f t="shared" ref="L72:M72" si="40">L70-L71</f>
        <v>0</v>
      </c>
      <c r="M72" s="1151">
        <f t="shared" si="40"/>
        <v>0</v>
      </c>
      <c r="N72" s="1151">
        <f>O70-O71</f>
        <v>0</v>
      </c>
      <c r="O72" s="1151">
        <f t="shared" ref="O72:U72" si="41">O70-O71</f>
        <v>0</v>
      </c>
      <c r="P72" s="1151">
        <f t="shared" si="41"/>
        <v>0</v>
      </c>
      <c r="Q72" s="1188">
        <f t="shared" si="41"/>
        <v>0</v>
      </c>
      <c r="R72" s="1188">
        <f t="shared" si="41"/>
        <v>0</v>
      </c>
      <c r="S72" s="1188">
        <f t="shared" si="41"/>
        <v>0</v>
      </c>
      <c r="T72" s="1188">
        <f t="shared" si="41"/>
        <v>9270908.4390378017</v>
      </c>
      <c r="U72" s="1188">
        <f t="shared" si="41"/>
        <v>7753173.5412004218</v>
      </c>
      <c r="V72" s="1266"/>
      <c r="W72" s="1694">
        <f>W70-W71</f>
        <v>0</v>
      </c>
      <c r="X72" s="1151">
        <f>X70-X71</f>
        <v>0</v>
      </c>
      <c r="Y72" s="1151">
        <f>Y70-Y71</f>
        <v>0</v>
      </c>
      <c r="Z72" s="1151">
        <f>Z70-Z71</f>
        <v>0</v>
      </c>
      <c r="AA72" s="1152">
        <f>AA70-AA71</f>
        <v>0</v>
      </c>
      <c r="AB72" s="1171" t="e">
        <f t="shared" ref="AB72:AB78" si="42">SUM(G72:K72)/SUM(W72:AA72)-1</f>
        <v>#DIV/0!</v>
      </c>
      <c r="AC72" s="1694">
        <f>AC70-AC71</f>
        <v>0</v>
      </c>
      <c r="AD72" s="1151">
        <f>AD70-AD71</f>
        <v>0</v>
      </c>
      <c r="AE72" s="1151">
        <f>AE70-AE71</f>
        <v>0</v>
      </c>
      <c r="AF72" s="1151">
        <f>AF70-AF71</f>
        <v>0</v>
      </c>
      <c r="AG72" s="1151">
        <f>AG70-AG71</f>
        <v>0</v>
      </c>
      <c r="AH72" s="1153" t="e">
        <f t="shared" ref="AH72:AH78" si="43">SUM(L72:P72)/SUM(AC72:AG72)-1</f>
        <v>#DIV/0!</v>
      </c>
      <c r="AI72" s="65"/>
      <c r="AL72" s="1694">
        <f>AL70-AL71</f>
        <v>0</v>
      </c>
      <c r="AM72" s="1151">
        <f t="shared" ref="AM72:AR72" si="44">AM70-AM71</f>
        <v>0</v>
      </c>
      <c r="AN72" s="1151">
        <f t="shared" si="44"/>
        <v>0</v>
      </c>
      <c r="AO72" s="1151">
        <f t="shared" si="44"/>
        <v>0</v>
      </c>
      <c r="AP72" s="1152">
        <f t="shared" si="44"/>
        <v>0</v>
      </c>
      <c r="AQ72" s="1694">
        <f t="shared" si="44"/>
        <v>0</v>
      </c>
      <c r="AR72" s="1151">
        <f t="shared" si="44"/>
        <v>0</v>
      </c>
      <c r="AS72" s="1152" t="e">
        <f>#REF!-#REF!</f>
        <v>#REF!</v>
      </c>
    </row>
    <row r="73" spans="5:70" ht="12.75" customHeight="1">
      <c r="E73" s="4237" t="s">
        <v>1538</v>
      </c>
      <c r="F73" s="461" t="s">
        <v>117</v>
      </c>
      <c r="G73" s="1693"/>
      <c r="H73" s="451"/>
      <c r="I73" s="451"/>
      <c r="J73" s="451"/>
      <c r="K73" s="1140"/>
      <c r="L73" s="296"/>
      <c r="M73" s="492"/>
      <c r="N73" s="492"/>
      <c r="O73" s="492">
        <f t="shared" ref="O73:U73" si="45">O79</f>
        <v>0</v>
      </c>
      <c r="P73" s="1140">
        <f t="shared" si="45"/>
        <v>0</v>
      </c>
      <c r="Q73" s="1176">
        <f t="shared" si="45"/>
        <v>0</v>
      </c>
      <c r="R73" s="1177">
        <f t="shared" si="45"/>
        <v>0</v>
      </c>
      <c r="S73" s="1177">
        <f t="shared" si="45"/>
        <v>0</v>
      </c>
      <c r="T73" s="1177">
        <f t="shared" si="45"/>
        <v>0</v>
      </c>
      <c r="U73" s="1140">
        <f t="shared" si="45"/>
        <v>0</v>
      </c>
      <c r="V73" s="1266"/>
      <c r="W73" s="1693"/>
      <c r="X73" s="451"/>
      <c r="Y73" s="451"/>
      <c r="Z73" s="451"/>
      <c r="AA73" s="1140"/>
      <c r="AB73" s="1141" t="e">
        <f t="shared" si="42"/>
        <v>#DIV/0!</v>
      </c>
      <c r="AC73" s="1693"/>
      <c r="AD73" s="451"/>
      <c r="AE73" s="451"/>
      <c r="AF73" s="451"/>
      <c r="AG73" s="451"/>
      <c r="AH73" s="1142" t="e">
        <f t="shared" si="43"/>
        <v>#DIV/0!</v>
      </c>
      <c r="AL73" s="1181"/>
      <c r="AM73" s="1182"/>
      <c r="AN73" s="1182"/>
      <c r="AO73" s="1182"/>
      <c r="AP73" s="1183"/>
      <c r="AQ73" s="296"/>
      <c r="AR73" s="492"/>
      <c r="AS73" s="318"/>
    </row>
    <row r="74" spans="5:70" ht="12.75" customHeight="1">
      <c r="E74" s="4238"/>
      <c r="F74" s="1463" t="s">
        <v>614</v>
      </c>
      <c r="G74" s="294"/>
      <c r="H74" s="488"/>
      <c r="I74" s="488"/>
      <c r="J74" s="488"/>
      <c r="K74" s="317"/>
      <c r="L74" s="294"/>
      <c r="M74" s="488"/>
      <c r="N74" s="488"/>
      <c r="O74" s="488"/>
      <c r="P74" s="317"/>
      <c r="Q74" s="1047"/>
      <c r="R74" s="488"/>
      <c r="S74" s="488"/>
      <c r="T74" s="488"/>
      <c r="U74" s="317"/>
      <c r="V74" s="1266"/>
      <c r="W74" s="294"/>
      <c r="X74" s="488"/>
      <c r="Y74" s="488"/>
      <c r="Z74" s="488"/>
      <c r="AA74" s="317"/>
      <c r="AB74" s="1138" t="e">
        <f t="shared" si="42"/>
        <v>#DIV/0!</v>
      </c>
      <c r="AC74" s="294"/>
      <c r="AD74" s="488"/>
      <c r="AE74" s="488"/>
      <c r="AF74" s="488"/>
      <c r="AG74" s="488"/>
      <c r="AH74" s="1143" t="e">
        <f t="shared" si="43"/>
        <v>#DIV/0!</v>
      </c>
      <c r="AL74" s="1178"/>
      <c r="AM74" s="1179"/>
      <c r="AN74" s="1179"/>
      <c r="AO74" s="1179"/>
      <c r="AP74" s="1180"/>
      <c r="AQ74" s="297"/>
      <c r="AR74" s="493"/>
      <c r="AS74" s="319"/>
    </row>
    <row r="75" spans="5:70" ht="12.75" customHeight="1">
      <c r="E75" s="4238"/>
      <c r="F75" s="1463" t="s">
        <v>615</v>
      </c>
      <c r="G75" s="294"/>
      <c r="H75" s="488"/>
      <c r="I75" s="488"/>
      <c r="J75" s="488"/>
      <c r="K75" s="317"/>
      <c r="L75" s="294"/>
      <c r="M75" s="488"/>
      <c r="N75" s="488"/>
      <c r="O75" s="488"/>
      <c r="P75" s="317"/>
      <c r="Q75" s="1047"/>
      <c r="R75" s="488"/>
      <c r="S75" s="488"/>
      <c r="T75" s="488"/>
      <c r="U75" s="317"/>
      <c r="V75" s="1266"/>
      <c r="W75" s="294"/>
      <c r="X75" s="488"/>
      <c r="Y75" s="488"/>
      <c r="Z75" s="488"/>
      <c r="AA75" s="317"/>
      <c r="AB75" s="1138" t="e">
        <f t="shared" si="42"/>
        <v>#DIV/0!</v>
      </c>
      <c r="AC75" s="294"/>
      <c r="AD75" s="488"/>
      <c r="AE75" s="488"/>
      <c r="AF75" s="488"/>
      <c r="AG75" s="488"/>
      <c r="AH75" s="1143" t="e">
        <f t="shared" si="43"/>
        <v>#DIV/0!</v>
      </c>
      <c r="AL75" s="1178"/>
      <c r="AM75" s="1179"/>
      <c r="AN75" s="1179"/>
      <c r="AO75" s="1179"/>
      <c r="AP75" s="1180"/>
      <c r="AQ75" s="297"/>
      <c r="AR75" s="493"/>
      <c r="AS75" s="319"/>
    </row>
    <row r="76" spans="5:70" ht="12.75" customHeight="1">
      <c r="E76" s="4238"/>
      <c r="F76" s="1463" t="s">
        <v>616</v>
      </c>
      <c r="G76" s="294"/>
      <c r="H76" s="488"/>
      <c r="I76" s="488"/>
      <c r="J76" s="488"/>
      <c r="K76" s="317"/>
      <c r="L76" s="294"/>
      <c r="M76" s="488"/>
      <c r="N76" s="488"/>
      <c r="O76" s="488"/>
      <c r="P76" s="317"/>
      <c r="Q76" s="1047"/>
      <c r="R76" s="488"/>
      <c r="S76" s="488"/>
      <c r="T76" s="488"/>
      <c r="U76" s="317"/>
      <c r="V76" s="1266"/>
      <c r="W76" s="294"/>
      <c r="X76" s="488"/>
      <c r="Y76" s="488"/>
      <c r="Z76" s="488"/>
      <c r="AA76" s="317"/>
      <c r="AB76" s="1138" t="e">
        <f t="shared" si="42"/>
        <v>#DIV/0!</v>
      </c>
      <c r="AC76" s="294"/>
      <c r="AD76" s="488"/>
      <c r="AE76" s="488"/>
      <c r="AF76" s="488"/>
      <c r="AG76" s="488"/>
      <c r="AH76" s="1143" t="e">
        <f t="shared" si="43"/>
        <v>#DIV/0!</v>
      </c>
      <c r="AL76" s="1178"/>
      <c r="AM76" s="1179"/>
      <c r="AN76" s="1179"/>
      <c r="AO76" s="1179"/>
      <c r="AP76" s="1180"/>
      <c r="AQ76" s="297"/>
      <c r="AR76" s="493"/>
      <c r="AS76" s="319"/>
    </row>
    <row r="77" spans="5:70" ht="12.75" customHeight="1">
      <c r="E77" s="4238"/>
      <c r="F77" s="1463" t="s">
        <v>617</v>
      </c>
      <c r="G77" s="294"/>
      <c r="H77" s="488"/>
      <c r="I77" s="488"/>
      <c r="J77" s="488"/>
      <c r="K77" s="317"/>
      <c r="L77" s="294"/>
      <c r="M77" s="488"/>
      <c r="N77" s="488"/>
      <c r="O77" s="488"/>
      <c r="P77" s="317"/>
      <c r="Q77" s="1047"/>
      <c r="R77" s="488"/>
      <c r="S77" s="488"/>
      <c r="T77" s="488"/>
      <c r="U77" s="317"/>
      <c r="V77" s="1266"/>
      <c r="W77" s="294"/>
      <c r="X77" s="488"/>
      <c r="Y77" s="488"/>
      <c r="Z77" s="488"/>
      <c r="AA77" s="317"/>
      <c r="AB77" s="1138" t="e">
        <f t="shared" si="42"/>
        <v>#DIV/0!</v>
      </c>
      <c r="AC77" s="294"/>
      <c r="AD77" s="488"/>
      <c r="AE77" s="488"/>
      <c r="AF77" s="488"/>
      <c r="AG77" s="488"/>
      <c r="AH77" s="1143" t="e">
        <f t="shared" si="43"/>
        <v>#DIV/0!</v>
      </c>
      <c r="AL77" s="1178"/>
      <c r="AM77" s="1179"/>
      <c r="AN77" s="1179"/>
      <c r="AO77" s="1179"/>
      <c r="AP77" s="1180"/>
      <c r="AQ77" s="297"/>
      <c r="AR77" s="493"/>
      <c r="AS77" s="319"/>
    </row>
    <row r="78" spans="5:70" ht="12.75" customHeight="1">
      <c r="E78" s="4238"/>
      <c r="F78" s="1463" t="s">
        <v>618</v>
      </c>
      <c r="G78" s="247"/>
      <c r="H78" s="483"/>
      <c r="I78" s="483"/>
      <c r="J78" s="483"/>
      <c r="K78" s="484"/>
      <c r="L78" s="247">
        <f>SUM(L73:L77)</f>
        <v>0</v>
      </c>
      <c r="M78" s="483">
        <f t="shared" ref="M78:AA78" si="46">SUM(M73:M77)</f>
        <v>0</v>
      </c>
      <c r="N78" s="483">
        <f>SUM(N73:N77)</f>
        <v>0</v>
      </c>
      <c r="O78" s="483">
        <f t="shared" si="46"/>
        <v>0</v>
      </c>
      <c r="P78" s="484">
        <f t="shared" si="46"/>
        <v>0</v>
      </c>
      <c r="Q78" s="264">
        <f t="shared" si="46"/>
        <v>0</v>
      </c>
      <c r="R78" s="483">
        <f t="shared" si="46"/>
        <v>0</v>
      </c>
      <c r="S78" s="483">
        <f t="shared" si="46"/>
        <v>0</v>
      </c>
      <c r="T78" s="483">
        <f t="shared" si="46"/>
        <v>0</v>
      </c>
      <c r="U78" s="484">
        <f t="shared" si="46"/>
        <v>0</v>
      </c>
      <c r="V78" s="1266"/>
      <c r="W78" s="247">
        <f t="shared" si="46"/>
        <v>0</v>
      </c>
      <c r="X78" s="483">
        <f t="shared" si="46"/>
        <v>0</v>
      </c>
      <c r="Y78" s="483">
        <f t="shared" si="46"/>
        <v>0</v>
      </c>
      <c r="Z78" s="483">
        <f t="shared" si="46"/>
        <v>0</v>
      </c>
      <c r="AA78" s="484">
        <f t="shared" si="46"/>
        <v>0</v>
      </c>
      <c r="AB78" s="1138" t="e">
        <f t="shared" si="42"/>
        <v>#DIV/0!</v>
      </c>
      <c r="AC78" s="247">
        <f>SUM(AC73:AC77)</f>
        <v>0</v>
      </c>
      <c r="AD78" s="483">
        <f>SUM(AD73:AD77)</f>
        <v>0</v>
      </c>
      <c r="AE78" s="483">
        <f>SUM(AE73:AE77)</f>
        <v>0</v>
      </c>
      <c r="AF78" s="483">
        <f>SUM(AF73:AF77)</f>
        <v>0</v>
      </c>
      <c r="AG78" s="483">
        <f>SUM(AG73:AG77)</f>
        <v>0</v>
      </c>
      <c r="AH78" s="1144" t="e">
        <f t="shared" si="43"/>
        <v>#DIV/0!</v>
      </c>
      <c r="AL78" s="1178"/>
      <c r="AM78" s="1179"/>
      <c r="AN78" s="1179"/>
      <c r="AO78" s="1179"/>
      <c r="AP78" s="1180"/>
      <c r="AQ78" s="247">
        <f>SUM(AQ73:AQ77)</f>
        <v>0</v>
      </c>
      <c r="AR78" s="483">
        <f t="shared" ref="AR78:AS78" si="47">SUM(AR73:AR77)</f>
        <v>0</v>
      </c>
      <c r="AS78" s="484">
        <f t="shared" si="47"/>
        <v>0</v>
      </c>
    </row>
    <row r="79" spans="5:70">
      <c r="E79" s="4238"/>
      <c r="F79" s="1464" t="s">
        <v>613</v>
      </c>
      <c r="G79" s="296">
        <v>258</v>
      </c>
      <c r="H79" s="492">
        <v>813</v>
      </c>
      <c r="I79" s="492">
        <v>579</v>
      </c>
      <c r="J79" s="492">
        <v>647</v>
      </c>
      <c r="K79" s="318"/>
      <c r="L79" s="296"/>
      <c r="M79" s="492"/>
      <c r="N79" s="492"/>
      <c r="O79" s="492"/>
      <c r="P79" s="318"/>
      <c r="Q79" s="1055"/>
      <c r="R79" s="492"/>
      <c r="S79" s="492"/>
      <c r="T79" s="492"/>
      <c r="U79" s="318"/>
      <c r="V79" s="1266"/>
      <c r="W79" s="296"/>
      <c r="X79" s="492"/>
      <c r="Y79" s="492"/>
      <c r="Z79" s="492"/>
      <c r="AA79" s="318"/>
      <c r="AB79" s="1085"/>
      <c r="AC79" s="296"/>
      <c r="AD79" s="492"/>
      <c r="AE79" s="492"/>
      <c r="AF79" s="492"/>
      <c r="AG79" s="492"/>
      <c r="AH79" s="1145"/>
      <c r="AL79" s="1181"/>
      <c r="AM79" s="1182"/>
      <c r="AN79" s="1182"/>
      <c r="AO79" s="1182"/>
      <c r="AP79" s="1183"/>
      <c r="AQ79" s="296"/>
      <c r="AR79" s="492"/>
      <c r="AS79" s="318"/>
    </row>
    <row r="80" spans="5:70">
      <c r="E80" s="4238"/>
      <c r="F80" s="1465" t="s">
        <v>619</v>
      </c>
      <c r="G80" s="294"/>
      <c r="H80" s="488"/>
      <c r="I80" s="488"/>
      <c r="J80" s="488"/>
      <c r="K80" s="317"/>
      <c r="L80" s="294"/>
      <c r="M80" s="488"/>
      <c r="N80" s="488"/>
      <c r="O80" s="488"/>
      <c r="P80" s="317"/>
      <c r="Q80" s="1047"/>
      <c r="R80" s="488"/>
      <c r="S80" s="488"/>
      <c r="T80" s="488"/>
      <c r="U80" s="317"/>
      <c r="V80" s="1266"/>
      <c r="W80" s="294">
        <v>0</v>
      </c>
      <c r="X80" s="488">
        <v>0</v>
      </c>
      <c r="Y80" s="488">
        <v>0</v>
      </c>
      <c r="Z80" s="488">
        <v>0</v>
      </c>
      <c r="AA80" s="317">
        <v>0</v>
      </c>
      <c r="AB80" s="1138"/>
      <c r="AC80" s="294">
        <v>0</v>
      </c>
      <c r="AD80" s="488"/>
      <c r="AE80" s="488"/>
      <c r="AF80" s="488"/>
      <c r="AG80" s="488"/>
      <c r="AH80" s="1143"/>
      <c r="AL80" s="1178"/>
      <c r="AM80" s="1179"/>
      <c r="AN80" s="1179"/>
      <c r="AO80" s="1179"/>
      <c r="AP80" s="1180"/>
      <c r="AQ80" s="297"/>
      <c r="AR80" s="493"/>
      <c r="AS80" s="319"/>
    </row>
    <row r="81" spans="5:70">
      <c r="E81" s="4238"/>
      <c r="F81" s="459" t="s">
        <v>584</v>
      </c>
      <c r="G81" s="294">
        <v>6762530.4717769958</v>
      </c>
      <c r="H81" s="488">
        <v>4434535.2317997115</v>
      </c>
      <c r="I81" s="488">
        <v>4206692.2052191878</v>
      </c>
      <c r="J81" s="488">
        <v>3644951.3834344889</v>
      </c>
      <c r="K81" s="317">
        <v>7954350.2560754279</v>
      </c>
      <c r="L81" s="294"/>
      <c r="M81" s="488"/>
      <c r="N81" s="488"/>
      <c r="O81" s="488"/>
      <c r="P81" s="317"/>
      <c r="Q81" s="1047"/>
      <c r="R81" s="488"/>
      <c r="S81" s="488"/>
      <c r="T81" s="488"/>
      <c r="U81" s="317"/>
      <c r="V81" s="1266"/>
      <c r="W81" s="294">
        <v>23052637.078696206</v>
      </c>
      <c r="X81" s="488">
        <v>22671927.240836192</v>
      </c>
      <c r="Y81" s="488">
        <v>23315195.587565184</v>
      </c>
      <c r="Z81" s="488">
        <v>23919080.157963831</v>
      </c>
      <c r="AA81" s="317">
        <v>24798651.162674904</v>
      </c>
      <c r="AB81" s="1138"/>
      <c r="AC81" s="294">
        <v>13811982.561873391</v>
      </c>
      <c r="AD81" s="488">
        <v>3946280.7319638263</v>
      </c>
      <c r="AE81" s="488">
        <v>27733584.032968003</v>
      </c>
      <c r="AF81" s="488">
        <v>45601466.236026436</v>
      </c>
      <c r="AG81" s="488">
        <v>27623965.123746783</v>
      </c>
      <c r="AH81" s="1143"/>
      <c r="AL81" s="1178"/>
      <c r="AM81" s="1179"/>
      <c r="AN81" s="1179"/>
      <c r="AO81" s="1179"/>
      <c r="AP81" s="1180"/>
      <c r="AQ81" s="297"/>
      <c r="AR81" s="493"/>
      <c r="AS81" s="319"/>
    </row>
    <row r="82" spans="5:70">
      <c r="E82" s="4238"/>
      <c r="F82" s="459" t="s">
        <v>585</v>
      </c>
      <c r="G82" s="294"/>
      <c r="H82" s="488"/>
      <c r="I82" s="488"/>
      <c r="J82" s="488"/>
      <c r="K82" s="317"/>
      <c r="L82" s="294"/>
      <c r="M82" s="488"/>
      <c r="N82" s="488"/>
      <c r="O82" s="488"/>
      <c r="P82" s="317"/>
      <c r="Q82" s="1047"/>
      <c r="R82" s="488"/>
      <c r="S82" s="488"/>
      <c r="T82" s="488"/>
      <c r="U82" s="317"/>
      <c r="V82" s="1266"/>
      <c r="W82" s="294"/>
      <c r="X82" s="488"/>
      <c r="Y82" s="488"/>
      <c r="Z82" s="488"/>
      <c r="AA82" s="317"/>
      <c r="AB82" s="1138"/>
      <c r="AC82" s="294"/>
      <c r="AD82" s="488"/>
      <c r="AE82" s="488"/>
      <c r="AF82" s="488"/>
      <c r="AG82" s="488"/>
      <c r="AH82" s="1143"/>
      <c r="AL82" s="1178"/>
      <c r="AM82" s="1179"/>
      <c r="AN82" s="1179"/>
      <c r="AO82" s="1179"/>
      <c r="AP82" s="1180"/>
      <c r="AQ82" s="297"/>
      <c r="AR82" s="493"/>
      <c r="AS82" s="319"/>
    </row>
    <row r="83" spans="5:70">
      <c r="E83" s="4238"/>
      <c r="F83" s="459" t="s">
        <v>604</v>
      </c>
      <c r="G83" s="297"/>
      <c r="H83" s="483"/>
      <c r="I83" s="483"/>
      <c r="J83" s="483"/>
      <c r="K83" s="484"/>
      <c r="L83" s="297"/>
      <c r="M83" s="483"/>
      <c r="N83" s="483"/>
      <c r="O83" s="483"/>
      <c r="P83" s="484"/>
      <c r="Q83" s="264"/>
      <c r="R83" s="483"/>
      <c r="S83" s="483"/>
      <c r="T83" s="483"/>
      <c r="U83" s="484"/>
      <c r="V83" s="1266"/>
      <c r="W83" s="247"/>
      <c r="X83" s="483"/>
      <c r="Y83" s="483"/>
      <c r="Z83" s="483"/>
      <c r="AA83" s="484"/>
      <c r="AB83" s="1138"/>
      <c r="AC83" s="247"/>
      <c r="AD83" s="483"/>
      <c r="AE83" s="483"/>
      <c r="AF83" s="483"/>
      <c r="AG83" s="483"/>
      <c r="AH83" s="1144"/>
      <c r="AL83" s="1184"/>
      <c r="AM83" s="1185"/>
      <c r="AN83" s="1185"/>
      <c r="AO83" s="1185"/>
      <c r="AP83" s="1186"/>
      <c r="AQ83" s="297"/>
      <c r="AR83" s="483"/>
      <c r="AS83" s="484"/>
    </row>
    <row r="84" spans="5:70">
      <c r="E84" s="4238"/>
      <c r="F84" s="1466" t="s">
        <v>605</v>
      </c>
      <c r="G84" s="296">
        <f>SUM(G80:G83)</f>
        <v>6762530.4717769958</v>
      </c>
      <c r="H84" s="492">
        <f>SUM(H80:H83)</f>
        <v>4434535.2317997115</v>
      </c>
      <c r="I84" s="492">
        <f>SUM(I80:I83)</f>
        <v>4206692.2052191878</v>
      </c>
      <c r="J84" s="492">
        <f>SUM(J80:J83)</f>
        <v>3644951.3834344889</v>
      </c>
      <c r="K84" s="318">
        <f>SUM(K80:K83)</f>
        <v>7954350.2560754279</v>
      </c>
      <c r="L84" s="296">
        <f>SUM(L81:L83)</f>
        <v>0</v>
      </c>
      <c r="M84" s="492">
        <f t="shared" ref="M84:Z84" si="48">SUM(M81:M83)</f>
        <v>0</v>
      </c>
      <c r="N84" s="492">
        <f>SUM(N81:N83)</f>
        <v>0</v>
      </c>
      <c r="O84" s="492">
        <f t="shared" si="48"/>
        <v>0</v>
      </c>
      <c r="P84" s="318">
        <f t="shared" si="48"/>
        <v>0</v>
      </c>
      <c r="Q84" s="1055">
        <f>SUM(Q81:Q83)</f>
        <v>0</v>
      </c>
      <c r="R84" s="492">
        <f t="shared" si="48"/>
        <v>0</v>
      </c>
      <c r="S84" s="492">
        <f t="shared" si="48"/>
        <v>0</v>
      </c>
      <c r="T84" s="492">
        <f t="shared" si="48"/>
        <v>0</v>
      </c>
      <c r="U84" s="318">
        <f t="shared" si="48"/>
        <v>0</v>
      </c>
      <c r="V84" s="1266"/>
      <c r="W84" s="296">
        <f t="shared" si="48"/>
        <v>23052637.078696206</v>
      </c>
      <c r="X84" s="492">
        <f t="shared" si="48"/>
        <v>22671927.240836192</v>
      </c>
      <c r="Y84" s="492">
        <f t="shared" si="48"/>
        <v>23315195.587565184</v>
      </c>
      <c r="Z84" s="492">
        <f t="shared" si="48"/>
        <v>23919080.157963831</v>
      </c>
      <c r="AA84" s="318">
        <f>SUM(AA81:AA83)</f>
        <v>24798651.162674904</v>
      </c>
      <c r="AB84" s="1085">
        <f>SUM(G84:K84)/SUM(W84:AA84)-1</f>
        <v>-0.77068924221488866</v>
      </c>
      <c r="AC84" s="296">
        <f>SUM(AC81:AC83)</f>
        <v>13811982.561873391</v>
      </c>
      <c r="AD84" s="492">
        <f>SUM(AD81:AD83)</f>
        <v>3946280.7319638263</v>
      </c>
      <c r="AE84" s="492">
        <f>SUM(AE81:AE83)</f>
        <v>27733584.032968003</v>
      </c>
      <c r="AF84" s="492">
        <f>SUM(AF81:AF83)</f>
        <v>45601466.236026436</v>
      </c>
      <c r="AG84" s="492">
        <f>SUM(AG81:AG83)</f>
        <v>27623965.123746783</v>
      </c>
      <c r="AH84" s="1145">
        <f>SUM(L84:P84)/SUM(AC84:AG84)-1</f>
        <v>-1</v>
      </c>
      <c r="AL84" s="1181"/>
      <c r="AM84" s="1182"/>
      <c r="AN84" s="1182"/>
      <c r="AO84" s="1182"/>
      <c r="AP84" s="1183"/>
      <c r="AQ84" s="296">
        <f>SUM(AQ81:AQ83)</f>
        <v>0</v>
      </c>
      <c r="AR84" s="492">
        <f t="shared" ref="AR84:AS84" si="49">SUM(AR81:AR83)</f>
        <v>0</v>
      </c>
      <c r="AS84" s="318">
        <f t="shared" si="49"/>
        <v>0</v>
      </c>
    </row>
    <row r="85" spans="5:70" ht="13.5" thickBot="1">
      <c r="E85" s="4238"/>
      <c r="F85" s="1132" t="s">
        <v>609</v>
      </c>
      <c r="G85" s="294">
        <v>751392.27464188845</v>
      </c>
      <c r="H85" s="488">
        <v>492726.13686663454</v>
      </c>
      <c r="I85" s="488">
        <v>467410.24502435414</v>
      </c>
      <c r="J85" s="488">
        <v>404994.59815938765</v>
      </c>
      <c r="K85" s="317">
        <v>620708.18987077603</v>
      </c>
      <c r="L85" s="247"/>
      <c r="M85" s="483"/>
      <c r="N85" s="483"/>
      <c r="O85" s="483"/>
      <c r="P85" s="484"/>
      <c r="Q85" s="264"/>
      <c r="R85" s="483"/>
      <c r="S85" s="483"/>
      <c r="T85" s="483"/>
      <c r="U85" s="484"/>
      <c r="V85" s="1266"/>
      <c r="W85" s="247"/>
      <c r="X85" s="488"/>
      <c r="Y85" s="488"/>
      <c r="Z85" s="488"/>
      <c r="AA85" s="317"/>
      <c r="AB85" s="1138" t="e">
        <f>SUM(G85:K85)/SUM(W85:AA85)-1</f>
        <v>#DIV/0!</v>
      </c>
      <c r="AC85" s="536">
        <f>AC84*0.04194</f>
        <v>579274.54864497005</v>
      </c>
      <c r="AD85" s="536">
        <f>AD84*0.04194</f>
        <v>165507.01389856287</v>
      </c>
      <c r="AE85" s="536">
        <f>AE84*0.04194</f>
        <v>1163146.514342678</v>
      </c>
      <c r="AF85" s="536">
        <f>AF84*0.04194</f>
        <v>1912525.4939389487</v>
      </c>
      <c r="AG85" s="536">
        <f>AG84*0.04194</f>
        <v>1158549.0972899401</v>
      </c>
      <c r="AH85" s="1144">
        <f>SUM(L85:P85)/SUM(AC85:AG85)-1</f>
        <v>-1</v>
      </c>
      <c r="AL85" s="297"/>
      <c r="AM85" s="493"/>
      <c r="AN85" s="493"/>
      <c r="AO85" s="493"/>
      <c r="AP85" s="319"/>
      <c r="AQ85" s="247"/>
      <c r="AR85" s="483"/>
      <c r="AS85" s="484"/>
    </row>
    <row r="86" spans="5:70" ht="13.5" thickBot="1">
      <c r="E86" s="4238"/>
      <c r="F86" s="1469" t="s">
        <v>607</v>
      </c>
      <c r="G86" s="1726">
        <v>0</v>
      </c>
      <c r="H86" s="1727">
        <v>0</v>
      </c>
      <c r="I86" s="1727">
        <v>0</v>
      </c>
      <c r="J86" s="1727">
        <v>0</v>
      </c>
      <c r="K86" s="1728"/>
      <c r="L86" s="1726"/>
      <c r="M86" s="1727"/>
      <c r="N86" s="1727"/>
      <c r="O86" s="1727"/>
      <c r="P86" s="1728"/>
      <c r="Q86" s="1729"/>
      <c r="R86" s="1727"/>
      <c r="S86" s="1727"/>
      <c r="T86" s="1727"/>
      <c r="U86" s="1728"/>
      <c r="V86" s="1266"/>
      <c r="W86" s="1741"/>
      <c r="X86" s="1742"/>
      <c r="Y86" s="1742"/>
      <c r="Z86" s="1742"/>
      <c r="AA86" s="1742"/>
      <c r="AB86" s="1742"/>
      <c r="AC86" s="1742"/>
      <c r="AD86" s="1742"/>
      <c r="AE86" s="1742"/>
      <c r="AF86" s="1742"/>
      <c r="AG86" s="1742"/>
      <c r="AH86" s="1743"/>
      <c r="AL86" s="297"/>
      <c r="AM86" s="493"/>
      <c r="AN86" s="493"/>
      <c r="AO86" s="493"/>
      <c r="AP86" s="319"/>
      <c r="AQ86" s="297"/>
      <c r="AR86" s="493"/>
      <c r="AS86" s="319"/>
    </row>
    <row r="87" spans="5:70">
      <c r="E87" s="4238"/>
      <c r="F87" s="1467" t="s">
        <v>610</v>
      </c>
      <c r="G87" s="296">
        <f>SUM(G84:G86)</f>
        <v>7513922.746418884</v>
      </c>
      <c r="H87" s="492">
        <f t="shared" ref="H87:K87" si="50">SUM(H84:H86)</f>
        <v>4927261.3686663462</v>
      </c>
      <c r="I87" s="492">
        <f t="shared" si="50"/>
        <v>4674102.450243542</v>
      </c>
      <c r="J87" s="492">
        <f t="shared" si="50"/>
        <v>4049945.9815938766</v>
      </c>
      <c r="K87" s="318">
        <f t="shared" si="50"/>
        <v>8575058.4459462035</v>
      </c>
      <c r="L87" s="1146">
        <f t="shared" ref="L87:U87" si="51">SUM(L85:L86)</f>
        <v>0</v>
      </c>
      <c r="M87" s="1147">
        <f t="shared" si="51"/>
        <v>0</v>
      </c>
      <c r="N87" s="1147">
        <f t="shared" si="51"/>
        <v>0</v>
      </c>
      <c r="O87" s="1147">
        <f t="shared" si="51"/>
        <v>0</v>
      </c>
      <c r="P87" s="1148">
        <f t="shared" si="51"/>
        <v>0</v>
      </c>
      <c r="Q87" s="1187">
        <f t="shared" si="51"/>
        <v>0</v>
      </c>
      <c r="R87" s="1147">
        <f t="shared" si="51"/>
        <v>0</v>
      </c>
      <c r="S87" s="1147">
        <f t="shared" si="51"/>
        <v>0</v>
      </c>
      <c r="T87" s="1147">
        <f t="shared" si="51"/>
        <v>0</v>
      </c>
      <c r="U87" s="1148">
        <f t="shared" si="51"/>
        <v>0</v>
      </c>
      <c r="V87" s="1266"/>
      <c r="W87" s="1146">
        <f>SUM(W84:W86)</f>
        <v>23052637.078696206</v>
      </c>
      <c r="X87" s="1146">
        <f>SUM(X84:X86)</f>
        <v>22671927.240836192</v>
      </c>
      <c r="Y87" s="1146">
        <f>SUM(Y84:Y86)</f>
        <v>23315195.587565184</v>
      </c>
      <c r="Z87" s="1146">
        <f>SUM(Z84:Z86)</f>
        <v>23919080.157963831</v>
      </c>
      <c r="AA87" s="1146">
        <f>SUM(AA84:AA86)</f>
        <v>24798651.162674904</v>
      </c>
      <c r="AB87" s="1149">
        <f>SUM(G87:K87)/SUM(W87:AA87)-1</f>
        <v>-0.74744459411628594</v>
      </c>
      <c r="AC87" s="1146">
        <f>SUM(AC84:AC86)</f>
        <v>14391257.110518361</v>
      </c>
      <c r="AD87" s="1146">
        <f>SUM(AD84:AD86)</f>
        <v>4111787.745862389</v>
      </c>
      <c r="AE87" s="1146">
        <f>SUM(AE84:AE86)</f>
        <v>28896730.54731068</v>
      </c>
      <c r="AF87" s="1146">
        <f>SUM(AF84:AF86)</f>
        <v>47513991.729965381</v>
      </c>
      <c r="AG87" s="1146">
        <f>SUM(AG84:AG86)</f>
        <v>28782514.221036721</v>
      </c>
      <c r="AH87" s="1150">
        <f>SUM(L87:P87)/SUM(AC87:AG87)-1</f>
        <v>-1</v>
      </c>
      <c r="AJ87" s="130"/>
      <c r="AK87" s="130"/>
      <c r="AL87" s="1146">
        <f t="shared" ref="AL87:AS87" si="52">SUM(AL85:AL86)</f>
        <v>0</v>
      </c>
      <c r="AM87" s="1147">
        <f t="shared" si="52"/>
        <v>0</v>
      </c>
      <c r="AN87" s="1147">
        <f t="shared" si="52"/>
        <v>0</v>
      </c>
      <c r="AO87" s="1147">
        <f t="shared" si="52"/>
        <v>0</v>
      </c>
      <c r="AP87" s="1148">
        <f t="shared" si="52"/>
        <v>0</v>
      </c>
      <c r="AQ87" s="1146">
        <f t="shared" si="52"/>
        <v>0</v>
      </c>
      <c r="AR87" s="1147">
        <f t="shared" si="52"/>
        <v>0</v>
      </c>
      <c r="AS87" s="1148">
        <f t="shared" si="52"/>
        <v>0</v>
      </c>
      <c r="AT87" s="130"/>
      <c r="AU87" s="130"/>
      <c r="AV87" s="130"/>
      <c r="AW87" s="130"/>
      <c r="AX87" s="130"/>
      <c r="AY87" s="130"/>
      <c r="AZ87" s="130"/>
      <c r="BA87" s="130"/>
      <c r="BB87" s="130"/>
      <c r="BC87" s="130"/>
      <c r="BD87" s="130"/>
      <c r="BE87" s="130"/>
      <c r="BF87" s="130"/>
      <c r="BG87" s="130"/>
      <c r="BH87" s="130"/>
      <c r="BI87" s="130"/>
      <c r="BJ87" s="130"/>
      <c r="BK87" s="130"/>
      <c r="BL87" s="130"/>
      <c r="BM87" s="130"/>
      <c r="BN87" s="130"/>
      <c r="BO87" s="130"/>
      <c r="BP87" s="130"/>
      <c r="BQ87" s="130"/>
      <c r="BR87" s="130"/>
    </row>
    <row r="88" spans="5:70">
      <c r="E88" s="4238"/>
      <c r="F88" s="1478" t="s">
        <v>35</v>
      </c>
      <c r="G88" s="294"/>
      <c r="H88" s="488"/>
      <c r="I88" s="488"/>
      <c r="J88" s="488"/>
      <c r="K88" s="317"/>
      <c r="L88" s="294"/>
      <c r="M88" s="488"/>
      <c r="N88" s="488"/>
      <c r="O88" s="488"/>
      <c r="P88" s="317"/>
      <c r="Q88" s="1047"/>
      <c r="R88" s="488"/>
      <c r="S88" s="488"/>
      <c r="T88" s="488"/>
      <c r="U88" s="317"/>
      <c r="V88" s="1266"/>
      <c r="W88" s="294"/>
      <c r="X88" s="488"/>
      <c r="Y88" s="488"/>
      <c r="Z88" s="488"/>
      <c r="AA88" s="317"/>
      <c r="AB88" s="1098"/>
      <c r="AC88" s="294"/>
      <c r="AD88" s="488"/>
      <c r="AE88" s="488"/>
      <c r="AF88" s="488"/>
      <c r="AG88" s="488"/>
      <c r="AH88" s="1143"/>
      <c r="AL88" s="297"/>
      <c r="AM88" s="493"/>
      <c r="AN88" s="493"/>
      <c r="AO88" s="493"/>
      <c r="AP88" s="319"/>
      <c r="AQ88" s="297"/>
      <c r="AR88" s="493"/>
      <c r="AS88" s="319"/>
    </row>
    <row r="89" spans="5:70" ht="13.5" thickBot="1">
      <c r="E89" s="4239"/>
      <c r="F89" s="1468" t="s">
        <v>611</v>
      </c>
      <c r="G89" s="1694">
        <f>G87-G88</f>
        <v>7513922.746418884</v>
      </c>
      <c r="H89" s="1151">
        <f t="shared" ref="H89:K89" si="53">H87-H88</f>
        <v>4927261.3686663462</v>
      </c>
      <c r="I89" s="1151">
        <f t="shared" si="53"/>
        <v>4674102.450243542</v>
      </c>
      <c r="J89" s="1151">
        <f t="shared" si="53"/>
        <v>4049945.9815938766</v>
      </c>
      <c r="K89" s="1151">
        <f t="shared" si="53"/>
        <v>8575058.4459462035</v>
      </c>
      <c r="L89" s="1189">
        <f>L87-L88</f>
        <v>0</v>
      </c>
      <c r="M89" s="1190">
        <f>M87-M88</f>
        <v>0</v>
      </c>
      <c r="N89" s="1190">
        <f>O87-O88</f>
        <v>0</v>
      </c>
      <c r="O89" s="1190">
        <f>P87-P88</f>
        <v>0</v>
      </c>
      <c r="P89" s="1191">
        <f>Q87-Q88</f>
        <v>0</v>
      </c>
      <c r="Q89" s="1192">
        <f>R87-R88</f>
        <v>0</v>
      </c>
      <c r="R89" s="1190">
        <f>S87-S88</f>
        <v>0</v>
      </c>
      <c r="S89" s="1190">
        <f t="shared" ref="S89:AA89" si="54">S87-S88</f>
        <v>0</v>
      </c>
      <c r="T89" s="1190">
        <f t="shared" si="54"/>
        <v>0</v>
      </c>
      <c r="U89" s="1191">
        <f t="shared" si="54"/>
        <v>0</v>
      </c>
      <c r="V89" s="1266"/>
      <c r="W89" s="1694">
        <f t="shared" si="54"/>
        <v>23052637.078696206</v>
      </c>
      <c r="X89" s="1151">
        <f t="shared" si="54"/>
        <v>22671927.240836192</v>
      </c>
      <c r="Y89" s="1151">
        <f t="shared" si="54"/>
        <v>23315195.587565184</v>
      </c>
      <c r="Z89" s="1151">
        <f t="shared" si="54"/>
        <v>23919080.157963831</v>
      </c>
      <c r="AA89" s="1152">
        <f t="shared" si="54"/>
        <v>24798651.162674904</v>
      </c>
      <c r="AB89" s="1171">
        <f>SUM(G89:K89)/SUM(W89:AA89)-1</f>
        <v>-0.74744459411628594</v>
      </c>
      <c r="AC89" s="1694">
        <f>AC87-AC88</f>
        <v>14391257.110518361</v>
      </c>
      <c r="AD89" s="1151">
        <f>AD87-AD88</f>
        <v>4111787.745862389</v>
      </c>
      <c r="AE89" s="1151">
        <f>AE87-AE88</f>
        <v>28896730.54731068</v>
      </c>
      <c r="AF89" s="1151">
        <f>AF87-AF88</f>
        <v>47513991.729965381</v>
      </c>
      <c r="AG89" s="1151">
        <f>AG87-AG88</f>
        <v>28782514.221036721</v>
      </c>
      <c r="AH89" s="1153">
        <f>SUM(L89:P89)/SUM(AC89:AG89)-1</f>
        <v>-1</v>
      </c>
      <c r="AL89" s="1189">
        <f>AL87-AL88</f>
        <v>0</v>
      </c>
      <c r="AM89" s="1190">
        <f t="shared" ref="AM89:AR89" si="55">AM87-AM88</f>
        <v>0</v>
      </c>
      <c r="AN89" s="1190">
        <f t="shared" si="55"/>
        <v>0</v>
      </c>
      <c r="AO89" s="1190">
        <f t="shared" si="55"/>
        <v>0</v>
      </c>
      <c r="AP89" s="1191">
        <f t="shared" si="55"/>
        <v>0</v>
      </c>
      <c r="AQ89" s="1189">
        <f t="shared" si="55"/>
        <v>0</v>
      </c>
      <c r="AR89" s="1190">
        <f t="shared" si="55"/>
        <v>0</v>
      </c>
      <c r="AS89" s="1191" t="e">
        <f>#REF!-#REF!</f>
        <v>#REF!</v>
      </c>
    </row>
    <row r="90" spans="5:70" customFormat="1" ht="13.5" customHeight="1" thickBot="1">
      <c r="E90" s="432"/>
      <c r="F90" s="433"/>
      <c r="G90" s="1154"/>
      <c r="H90" s="1155"/>
      <c r="I90" s="1155"/>
      <c r="J90" s="1155"/>
      <c r="K90" s="1156"/>
      <c r="L90" s="1154"/>
      <c r="M90" s="1155"/>
      <c r="N90" s="1155"/>
      <c r="O90" s="1155"/>
      <c r="P90" s="1156"/>
      <c r="Q90" s="1155"/>
      <c r="R90" s="1155"/>
      <c r="S90" s="1155"/>
      <c r="T90" s="1155"/>
      <c r="U90" s="1156"/>
      <c r="V90" s="1266"/>
      <c r="W90" s="1154"/>
      <c r="X90" s="1155"/>
      <c r="Y90" s="1155"/>
      <c r="Z90" s="1155"/>
      <c r="AA90" s="1156"/>
      <c r="AB90" s="1157"/>
      <c r="AC90" s="1154"/>
      <c r="AD90" s="1155"/>
      <c r="AE90" s="1155"/>
      <c r="AF90" s="1155"/>
      <c r="AG90" s="1155"/>
      <c r="AH90" s="1158"/>
      <c r="AL90" s="1154"/>
      <c r="AM90" s="1155"/>
      <c r="AN90" s="1155"/>
      <c r="AO90" s="1155"/>
      <c r="AP90" s="1156"/>
      <c r="AQ90" s="1154"/>
      <c r="AR90" s="1155"/>
      <c r="AS90" s="1156"/>
    </row>
    <row r="91" spans="5:70" s="106" customFormat="1">
      <c r="E91" s="4234" t="s">
        <v>142</v>
      </c>
      <c r="F91" s="1492" t="s">
        <v>117</v>
      </c>
      <c r="G91" s="1500">
        <v>63298</v>
      </c>
      <c r="H91" s="1085">
        <v>59678</v>
      </c>
      <c r="I91" s="1085">
        <v>48799</v>
      </c>
      <c r="J91" s="1085">
        <v>27235</v>
      </c>
      <c r="K91" s="1089">
        <v>103300</v>
      </c>
      <c r="L91" s="296">
        <v>56652.1</v>
      </c>
      <c r="M91" s="492">
        <v>110310</v>
      </c>
      <c r="N91" s="492">
        <v>85407</v>
      </c>
      <c r="O91" s="492">
        <f>O28</f>
        <v>112908.99999999999</v>
      </c>
      <c r="P91" s="318">
        <f t="shared" ref="P91:U91" ca="1" si="56">SUMIF($F$22:$AH$90,"Length of mains replaced (metres)",P22:P90)</f>
        <v>127993</v>
      </c>
      <c r="Q91" s="318">
        <f t="shared" ca="1" si="56"/>
        <v>136639</v>
      </c>
      <c r="R91" s="318">
        <f t="shared" ca="1" si="56"/>
        <v>133173</v>
      </c>
      <c r="S91" s="318">
        <f t="shared" ca="1" si="56"/>
        <v>135906</v>
      </c>
      <c r="T91" s="318">
        <f t="shared" ca="1" si="56"/>
        <v>135363</v>
      </c>
      <c r="U91" s="318">
        <f t="shared" ca="1" si="56"/>
        <v>107381</v>
      </c>
      <c r="V91" s="1266"/>
      <c r="W91" s="296">
        <f t="shared" ref="W91:AH91" ca="1" si="57">SUMIF($F$73:$AH$90,"Length of mains replaced (metres)",W73:W90)</f>
        <v>0</v>
      </c>
      <c r="X91" s="492">
        <f t="shared" ca="1" si="57"/>
        <v>0</v>
      </c>
      <c r="Y91" s="492">
        <f t="shared" ca="1" si="57"/>
        <v>0</v>
      </c>
      <c r="Z91" s="492">
        <f t="shared" ca="1" si="57"/>
        <v>0</v>
      </c>
      <c r="AA91" s="318">
        <f t="shared" ca="1" si="57"/>
        <v>0</v>
      </c>
      <c r="AB91" s="1085" t="e">
        <f t="shared" ca="1" si="57"/>
        <v>#DIV/0!</v>
      </c>
      <c r="AC91" s="296">
        <f t="shared" ca="1" si="57"/>
        <v>0</v>
      </c>
      <c r="AD91" s="492">
        <f t="shared" ca="1" si="57"/>
        <v>0</v>
      </c>
      <c r="AE91" s="492">
        <f t="shared" ca="1" si="57"/>
        <v>0</v>
      </c>
      <c r="AF91" s="492">
        <f t="shared" ca="1" si="57"/>
        <v>0</v>
      </c>
      <c r="AG91" s="492">
        <f t="shared" ca="1" si="57"/>
        <v>0</v>
      </c>
      <c r="AH91" s="1089" t="e">
        <f t="shared" ca="1" si="57"/>
        <v>#DIV/0!</v>
      </c>
      <c r="AJ91"/>
      <c r="AL91" s="1500">
        <f t="shared" ref="AL91" ca="1" si="58">SUMIF($F$73:$AH$90,"Length of mains replaced (metres)",AM73:AM90)</f>
        <v>0</v>
      </c>
      <c r="AM91" s="1085">
        <f t="shared" ref="AM91" ca="1" si="59">SUMIF($F$73:$AH$90,"Length of mains replaced (metres)",AN73:AN90)</f>
        <v>0</v>
      </c>
      <c r="AN91" s="1085">
        <f t="shared" ref="AN91" ca="1" si="60">SUMIF($F$73:$AH$90,"Length of mains replaced (metres)",AO73:AO90)</f>
        <v>0</v>
      </c>
      <c r="AO91" s="1085">
        <f t="shared" ref="AO91" ca="1" si="61">SUMIF($F$73:$AH$90,"Length of mains replaced (metres)",AP73:AP90)</f>
        <v>0</v>
      </c>
      <c r="AP91" s="1089">
        <f t="shared" ref="AP91" ca="1" si="62">SUMIF($F$73:$AH$90,"Length of mains replaced (metres)",AQ73:AQ90)</f>
        <v>0</v>
      </c>
      <c r="AQ91" s="296">
        <f ca="1">SUMIF($F$73:$AH$90,"Length of mains replaced (metres)",AR73:AR90)</f>
        <v>0</v>
      </c>
      <c r="AR91" s="492">
        <f t="shared" ref="AR91:AS91" ca="1" si="63">SUMIF($F$73:$AH$90,"Length of mains replaced (metres)",AR73:AR90)</f>
        <v>0</v>
      </c>
      <c r="AS91" s="318">
        <f t="shared" ca="1" si="63"/>
        <v>0</v>
      </c>
    </row>
    <row r="92" spans="5:70" s="106" customFormat="1">
      <c r="E92" s="4235"/>
      <c r="F92" s="1493" t="s">
        <v>619</v>
      </c>
      <c r="G92" s="1181"/>
      <c r="H92" s="1182"/>
      <c r="I92" s="1182"/>
      <c r="J92" s="1182"/>
      <c r="K92" s="1183"/>
      <c r="L92" s="1193"/>
      <c r="M92" s="1160"/>
      <c r="N92" s="1160"/>
      <c r="O92" s="1160"/>
      <c r="P92" s="1161"/>
      <c r="Q92" s="1160"/>
      <c r="R92" s="1160"/>
      <c r="S92" s="1160"/>
      <c r="T92" s="1160"/>
      <c r="U92" s="1161"/>
      <c r="V92" s="1266"/>
      <c r="W92" s="1159"/>
      <c r="X92" s="1160"/>
      <c r="Y92" s="1160"/>
      <c r="Z92" s="1160"/>
      <c r="AA92" s="1161"/>
      <c r="AB92" s="1162"/>
      <c r="AC92" s="1159"/>
      <c r="AD92" s="1160"/>
      <c r="AE92" s="1160"/>
      <c r="AF92" s="1160"/>
      <c r="AG92" s="1160"/>
      <c r="AH92" s="1163"/>
      <c r="AJ92" s="65"/>
      <c r="AL92" s="1181"/>
      <c r="AM92" s="1182"/>
      <c r="AN92" s="1182"/>
      <c r="AO92" s="1182"/>
      <c r="AP92" s="1183"/>
      <c r="AQ92" s="1193"/>
      <c r="AR92" s="1160"/>
      <c r="AS92" s="1161"/>
    </row>
    <row r="93" spans="5:70">
      <c r="E93" s="4235"/>
      <c r="F93" s="1494" t="s">
        <v>584</v>
      </c>
      <c r="G93" s="1178"/>
      <c r="H93" s="1179"/>
      <c r="I93" s="1179"/>
      <c r="J93" s="1179"/>
      <c r="K93" s="1180"/>
      <c r="L93" s="1137">
        <f ca="1">SUMIF($F$73:$AH$90,"Direct contractor expenditure (excl. escalation)",M73:M90)</f>
        <v>0</v>
      </c>
      <c r="M93" s="506">
        <f ca="1">SUMIF($F$73:$AH$90,"Direct contractor expenditure (excl. escalation)",M73:M90)</f>
        <v>0</v>
      </c>
      <c r="N93" s="506">
        <f ca="1">SUMIF($F$73:$AH$90,"Direct contractor expenditure (excl. escalation)",N73:N90)</f>
        <v>0</v>
      </c>
      <c r="O93" s="454">
        <f t="shared" ref="O93:U93" ca="1" si="64">SUMIF($F$22:$AH$90,"Direct contractor expenditure",O22:O90)</f>
        <v>30675668.669999991</v>
      </c>
      <c r="P93" s="454">
        <f t="shared" ca="1" si="64"/>
        <v>42600000</v>
      </c>
      <c r="Q93" s="454">
        <f t="shared" ca="1" si="64"/>
        <v>52589922.431335479</v>
      </c>
      <c r="R93" s="454">
        <f t="shared" ca="1" si="64"/>
        <v>47157676.799665913</v>
      </c>
      <c r="S93" s="454">
        <f t="shared" ca="1" si="64"/>
        <v>48602537.039254196</v>
      </c>
      <c r="T93" s="454">
        <f t="shared" ca="1" si="64"/>
        <v>51955620.082676575</v>
      </c>
      <c r="U93" s="454">
        <f t="shared" ca="1" si="64"/>
        <v>44706043.084076524</v>
      </c>
      <c r="V93" s="1266"/>
      <c r="W93" s="505">
        <f t="shared" ref="W93:AH93" ca="1" si="65">SUMIF($F$73:$AH$90,"Direct contractor expenditure (excl. escalation)",W73:W90)</f>
        <v>0</v>
      </c>
      <c r="X93" s="506">
        <f t="shared" ca="1" si="65"/>
        <v>0</v>
      </c>
      <c r="Y93" s="506">
        <f t="shared" ca="1" si="65"/>
        <v>0</v>
      </c>
      <c r="Z93" s="506">
        <f t="shared" ca="1" si="65"/>
        <v>0</v>
      </c>
      <c r="AA93" s="454">
        <f t="shared" ca="1" si="65"/>
        <v>0</v>
      </c>
      <c r="AB93" s="1138">
        <f t="shared" ca="1" si="65"/>
        <v>0</v>
      </c>
      <c r="AC93" s="505">
        <f t="shared" ca="1" si="65"/>
        <v>0</v>
      </c>
      <c r="AD93" s="506">
        <f t="shared" ca="1" si="65"/>
        <v>0</v>
      </c>
      <c r="AE93" s="506">
        <f t="shared" ca="1" si="65"/>
        <v>0</v>
      </c>
      <c r="AF93" s="506">
        <f t="shared" ca="1" si="65"/>
        <v>0</v>
      </c>
      <c r="AG93" s="506">
        <f t="shared" ca="1" si="65"/>
        <v>0</v>
      </c>
      <c r="AH93" s="1139">
        <f t="shared" ca="1" si="65"/>
        <v>0</v>
      </c>
      <c r="AI93" s="106"/>
      <c r="AJ93"/>
      <c r="AL93" s="1178"/>
      <c r="AM93" s="1179"/>
      <c r="AN93" s="1179"/>
      <c r="AO93" s="1179"/>
      <c r="AP93" s="1180"/>
      <c r="AQ93" s="1137">
        <f ca="1">SUMIF($F$73:$AH$90,"Direct contractor expenditure (excl. escalation)",AR73:AR90)</f>
        <v>0</v>
      </c>
      <c r="AR93" s="506">
        <f t="shared" ref="AR93:AS93" ca="1" si="66">SUMIF($F$73:$AH$90,"Direct contractor expenditure (excl. escalation)",AR73:AR90)</f>
        <v>0</v>
      </c>
      <c r="AS93" s="454">
        <f t="shared" ca="1" si="66"/>
        <v>0</v>
      </c>
    </row>
    <row r="94" spans="5:70">
      <c r="E94" s="4235"/>
      <c r="F94" s="1494" t="s">
        <v>585</v>
      </c>
      <c r="G94" s="1178"/>
      <c r="H94" s="1179"/>
      <c r="I94" s="1179"/>
      <c r="J94" s="1179"/>
      <c r="K94" s="1180"/>
      <c r="L94" s="1137">
        <f ca="1">SUMIF($F$73:$AH$90,"Direct internal labour expenditure (excl. escalation)",M73:M90)</f>
        <v>0</v>
      </c>
      <c r="M94" s="506">
        <f t="shared" ref="M94:U94" ca="1" si="67">SUMIF($F$73:$AH$90,"Direct internal labour expenditure (excl. escalation)",M73:M90)</f>
        <v>0</v>
      </c>
      <c r="N94" s="506">
        <f t="shared" ca="1" si="67"/>
        <v>0</v>
      </c>
      <c r="O94" s="385"/>
      <c r="P94" s="454">
        <f t="shared" ca="1" si="67"/>
        <v>0</v>
      </c>
      <c r="Q94" s="1136">
        <f t="shared" ca="1" si="67"/>
        <v>0</v>
      </c>
      <c r="R94" s="506">
        <f t="shared" ca="1" si="67"/>
        <v>0</v>
      </c>
      <c r="S94" s="506">
        <f t="shared" ca="1" si="67"/>
        <v>0</v>
      </c>
      <c r="T94" s="506">
        <f t="shared" ca="1" si="67"/>
        <v>0</v>
      </c>
      <c r="U94" s="454">
        <f t="shared" ca="1" si="67"/>
        <v>0</v>
      </c>
      <c r="V94" s="1266"/>
      <c r="W94" s="505">
        <f t="shared" ref="W94:AH94" ca="1" si="68">SUMIF($F$73:$AH$90,"Direct internal labour expenditure (excl. escalation)",W73:W90)</f>
        <v>0</v>
      </c>
      <c r="X94" s="506">
        <f t="shared" ca="1" si="68"/>
        <v>0</v>
      </c>
      <c r="Y94" s="506">
        <f t="shared" ca="1" si="68"/>
        <v>0</v>
      </c>
      <c r="Z94" s="506">
        <f t="shared" ca="1" si="68"/>
        <v>0</v>
      </c>
      <c r="AA94" s="454">
        <f t="shared" ca="1" si="68"/>
        <v>0</v>
      </c>
      <c r="AB94" s="1138">
        <f t="shared" ca="1" si="68"/>
        <v>0</v>
      </c>
      <c r="AC94" s="505">
        <f t="shared" ca="1" si="68"/>
        <v>0</v>
      </c>
      <c r="AD94" s="506">
        <f t="shared" ca="1" si="68"/>
        <v>0</v>
      </c>
      <c r="AE94" s="506">
        <f t="shared" ca="1" si="68"/>
        <v>0</v>
      </c>
      <c r="AF94" s="506">
        <f t="shared" ca="1" si="68"/>
        <v>0</v>
      </c>
      <c r="AG94" s="506">
        <f t="shared" ca="1" si="68"/>
        <v>0</v>
      </c>
      <c r="AH94" s="1139">
        <f t="shared" ca="1" si="68"/>
        <v>0</v>
      </c>
      <c r="AI94" s="106"/>
      <c r="AJ94"/>
      <c r="AL94" s="1178"/>
      <c r="AM94" s="1179"/>
      <c r="AN94" s="1179"/>
      <c r="AO94" s="1179"/>
      <c r="AP94" s="1180"/>
      <c r="AQ94" s="1137">
        <f ca="1">SUMIF($F$73:$AH$90,"Direct internal labour expenditure (excl. escalation)",AR73:AR90)</f>
        <v>0</v>
      </c>
      <c r="AR94" s="506">
        <f t="shared" ref="AR94:AS94" ca="1" si="69">SUMIF($F$73:$AH$90,"Direct internal labour expenditure (excl. escalation)",AR73:AR90)</f>
        <v>0</v>
      </c>
      <c r="AS94" s="454">
        <f t="shared" ca="1" si="69"/>
        <v>0</v>
      </c>
    </row>
    <row r="95" spans="5:70">
      <c r="E95" s="4235"/>
      <c r="F95" s="1494" t="s">
        <v>604</v>
      </c>
      <c r="G95" s="1178"/>
      <c r="H95" s="1179"/>
      <c r="I95" s="1179"/>
      <c r="J95" s="1179"/>
      <c r="K95" s="1180"/>
      <c r="L95" s="1137">
        <f ca="1">SUMIF($F$73:$AH$90,"Direct material expenditure (excl. escalation)",M73:M90)</f>
        <v>0</v>
      </c>
      <c r="M95" s="506">
        <f t="shared" ref="M95:U95" ca="1" si="70">SUMIF($F$73:$AH$90,"Direct material expenditure (excl. escalation)",M73:M90)</f>
        <v>0</v>
      </c>
      <c r="N95" s="506">
        <f t="shared" ca="1" si="70"/>
        <v>0</v>
      </c>
      <c r="O95" s="385">
        <f>SUM(O74,O85)</f>
        <v>0</v>
      </c>
      <c r="P95" s="454">
        <f t="shared" ca="1" si="70"/>
        <v>0</v>
      </c>
      <c r="Q95" s="1136">
        <f t="shared" ca="1" si="70"/>
        <v>0</v>
      </c>
      <c r="R95" s="506">
        <f t="shared" ca="1" si="70"/>
        <v>0</v>
      </c>
      <c r="S95" s="506">
        <f t="shared" ca="1" si="70"/>
        <v>0</v>
      </c>
      <c r="T95" s="506">
        <f t="shared" ca="1" si="70"/>
        <v>0</v>
      </c>
      <c r="U95" s="454">
        <f t="shared" ca="1" si="70"/>
        <v>0</v>
      </c>
      <c r="V95" s="1266"/>
      <c r="W95" s="505">
        <f t="shared" ref="W95:AH95" ca="1" si="71">SUMIF($F$73:$AH$90,"Direct material expenditure (excl. escalation)",W73:W90)</f>
        <v>0</v>
      </c>
      <c r="X95" s="506">
        <f t="shared" ca="1" si="71"/>
        <v>0</v>
      </c>
      <c r="Y95" s="506">
        <f t="shared" ca="1" si="71"/>
        <v>0</v>
      </c>
      <c r="Z95" s="506">
        <f t="shared" ca="1" si="71"/>
        <v>0</v>
      </c>
      <c r="AA95" s="454">
        <f t="shared" ca="1" si="71"/>
        <v>0</v>
      </c>
      <c r="AB95" s="1138">
        <f t="shared" ca="1" si="71"/>
        <v>0</v>
      </c>
      <c r="AC95" s="505">
        <f t="shared" ca="1" si="71"/>
        <v>0</v>
      </c>
      <c r="AD95" s="506">
        <f t="shared" ca="1" si="71"/>
        <v>0</v>
      </c>
      <c r="AE95" s="506">
        <f t="shared" ca="1" si="71"/>
        <v>0</v>
      </c>
      <c r="AF95" s="506">
        <f t="shared" ca="1" si="71"/>
        <v>0</v>
      </c>
      <c r="AG95" s="506">
        <f t="shared" ca="1" si="71"/>
        <v>0</v>
      </c>
      <c r="AH95" s="1139">
        <f t="shared" ca="1" si="71"/>
        <v>0</v>
      </c>
      <c r="AI95" s="106"/>
      <c r="AJ95"/>
      <c r="AL95" s="1178"/>
      <c r="AM95" s="1179"/>
      <c r="AN95" s="1179"/>
      <c r="AO95" s="1179"/>
      <c r="AP95" s="1180"/>
      <c r="AQ95" s="1137">
        <f ca="1">SUMIF($F$73:$AH$90,"Direct material expenditure (excl. escalation)",AR73:AR90)</f>
        <v>0</v>
      </c>
      <c r="AR95" s="506">
        <f t="shared" ref="AR95:AS95" ca="1" si="72">SUMIF($F$73:$AH$90,"Direct material expenditure (excl. escalation)",AR73:AR90)</f>
        <v>0</v>
      </c>
      <c r="AS95" s="454">
        <f t="shared" ca="1" si="72"/>
        <v>0</v>
      </c>
    </row>
    <row r="96" spans="5:70">
      <c r="E96" s="4235"/>
      <c r="F96" s="1495" t="s">
        <v>605</v>
      </c>
      <c r="G96" s="296">
        <f>G84+G67+G50+G33</f>
        <v>6897063.1319999965</v>
      </c>
      <c r="H96" s="492">
        <f t="shared" ref="H96:K97" si="73">H84+H67+H50+H33</f>
        <v>4526529.705000001</v>
      </c>
      <c r="I96" s="492">
        <f t="shared" si="73"/>
        <v>4370850.2969999993</v>
      </c>
      <c r="J96" s="385">
        <f t="shared" si="73"/>
        <v>4036174.821</v>
      </c>
      <c r="K96" s="318">
        <f t="shared" si="73"/>
        <v>8808114.2500000037</v>
      </c>
      <c r="L96" s="492">
        <f t="shared" ref="L96:N96" si="74">L84+L67+L50+L33</f>
        <v>10568045.924244972</v>
      </c>
      <c r="M96" s="492">
        <f t="shared" si="74"/>
        <v>22629966.539999999</v>
      </c>
      <c r="N96" s="492">
        <f t="shared" si="74"/>
        <v>19908426.319999997</v>
      </c>
      <c r="O96" s="385">
        <f t="shared" ref="O96:U96" ca="1" si="75">SUM(O93:O95)</f>
        <v>30675668.669999991</v>
      </c>
      <c r="P96" s="318">
        <f t="shared" ca="1" si="75"/>
        <v>42600000</v>
      </c>
      <c r="Q96" s="318">
        <f t="shared" ca="1" si="75"/>
        <v>52589922.431335479</v>
      </c>
      <c r="R96" s="318">
        <f t="shared" ca="1" si="75"/>
        <v>47157676.799665913</v>
      </c>
      <c r="S96" s="318">
        <f t="shared" ca="1" si="75"/>
        <v>48602537.039254196</v>
      </c>
      <c r="T96" s="318">
        <f t="shared" ca="1" si="75"/>
        <v>51955620.082676575</v>
      </c>
      <c r="U96" s="318">
        <f t="shared" ca="1" si="75"/>
        <v>44706043.084076524</v>
      </c>
      <c r="V96" s="1266"/>
      <c r="W96" s="296">
        <f>W84</f>
        <v>23052637.078696206</v>
      </c>
      <c r="X96" s="296">
        <f>X84</f>
        <v>22671927.240836192</v>
      </c>
      <c r="Y96" s="296">
        <f>Y84</f>
        <v>23315195.587565184</v>
      </c>
      <c r="Z96" s="296">
        <f>Z84</f>
        <v>23919080.157963831</v>
      </c>
      <c r="AA96" s="296">
        <f>AA84</f>
        <v>24798651.162674904</v>
      </c>
      <c r="AB96" s="1085">
        <f ca="1">SUMIF($F$73:$AH$90,"Total direct expenditure (excl. escalation)",AB73:AB90)</f>
        <v>0</v>
      </c>
      <c r="AC96" s="296">
        <f>AC84</f>
        <v>13811982.561873391</v>
      </c>
      <c r="AD96" s="296">
        <f>AD84</f>
        <v>3946280.7319638263</v>
      </c>
      <c r="AE96" s="296">
        <f>AE84</f>
        <v>27733584.032968003</v>
      </c>
      <c r="AF96" s="296">
        <f>AF84</f>
        <v>45601466.236026436</v>
      </c>
      <c r="AG96" s="296">
        <f>AG84</f>
        <v>27623965.123746783</v>
      </c>
      <c r="AH96" s="1089">
        <f ca="1">SUMIF($F$73:$AH$90,"Total direct expenditure (excl. escalation)",AH73:AH90)</f>
        <v>0</v>
      </c>
      <c r="AI96" s="106"/>
      <c r="AJ96"/>
      <c r="AL96" s="1181"/>
      <c r="AM96" s="1182"/>
      <c r="AN96" s="1182"/>
      <c r="AO96" s="1182"/>
      <c r="AP96" s="1183"/>
      <c r="AQ96" s="296">
        <f ca="1">SUMIF($F$73:$AH$90,"Total direct expenditure (excl. escalation)",AR73:AR90)</f>
        <v>0</v>
      </c>
      <c r="AR96" s="492">
        <f t="shared" ref="AR96:AS96" ca="1" si="76">SUMIF($F$73:$AH$90,"Total direct expenditure (excl. escalation)",AR73:AR90)</f>
        <v>0</v>
      </c>
      <c r="AS96" s="318">
        <f t="shared" ca="1" si="76"/>
        <v>0</v>
      </c>
    </row>
    <row r="97" spans="1:70">
      <c r="E97" s="4235"/>
      <c r="F97" s="1496" t="s">
        <v>609</v>
      </c>
      <c r="G97" s="1137">
        <f>G85+G68+G51+G34</f>
        <v>766340.34799999965</v>
      </c>
      <c r="H97" s="506">
        <f t="shared" si="73"/>
        <v>502947.74500000005</v>
      </c>
      <c r="I97" s="506">
        <f t="shared" si="73"/>
        <v>485650.03299999988</v>
      </c>
      <c r="J97" s="506">
        <f t="shared" si="73"/>
        <v>448463.86900000001</v>
      </c>
      <c r="K97" s="506">
        <f t="shared" si="73"/>
        <v>687330.64000000025</v>
      </c>
      <c r="L97" s="506">
        <f>L85+L68+L51+L34</f>
        <v>284983.32575502939</v>
      </c>
      <c r="M97" s="506">
        <f>M85+M68+M51+M34</f>
        <v>1089197.7599999998</v>
      </c>
      <c r="N97" s="506">
        <f>N85+N68+N51+N34</f>
        <v>1047133.6799999999</v>
      </c>
      <c r="O97" s="506">
        <f>O85+O68+O51+O34</f>
        <v>1791510.24</v>
      </c>
      <c r="P97" s="506">
        <f t="shared" ref="P97:U97" ca="1" si="77">SUMIF($F$22:$AH$90,"Total overhead expenditure",P22:P90)</f>
        <v>2556000</v>
      </c>
      <c r="Q97" s="506">
        <f t="shared" ca="1" si="77"/>
        <v>3155395.3458801289</v>
      </c>
      <c r="R97" s="506">
        <f t="shared" ca="1" si="77"/>
        <v>2829460.6079799547</v>
      </c>
      <c r="S97" s="506">
        <f t="shared" ca="1" si="77"/>
        <v>2916152.2223552517</v>
      </c>
      <c r="T97" s="506">
        <f t="shared" ca="1" si="77"/>
        <v>3117337.2049605944</v>
      </c>
      <c r="U97" s="506">
        <f t="shared" ca="1" si="77"/>
        <v>2682362.5850445912</v>
      </c>
      <c r="V97" s="1266"/>
      <c r="W97" s="505">
        <f t="shared" ref="W97:AH97" ca="1" si="78">SUMIF($F$73:$AH$90,"Total overhead expenditure",W73:W90)</f>
        <v>0</v>
      </c>
      <c r="X97" s="506">
        <f t="shared" ca="1" si="78"/>
        <v>0</v>
      </c>
      <c r="Y97" s="506">
        <f t="shared" ca="1" si="78"/>
        <v>0</v>
      </c>
      <c r="Z97" s="506">
        <f t="shared" ca="1" si="78"/>
        <v>0</v>
      </c>
      <c r="AA97" s="454">
        <f t="shared" ca="1" si="78"/>
        <v>0</v>
      </c>
      <c r="AB97" s="1138" t="e">
        <f t="shared" ca="1" si="78"/>
        <v>#DIV/0!</v>
      </c>
      <c r="AC97" s="505">
        <f t="shared" ca="1" si="78"/>
        <v>579274.54864497005</v>
      </c>
      <c r="AD97" s="506">
        <f t="shared" ca="1" si="78"/>
        <v>165507.01389856287</v>
      </c>
      <c r="AE97" s="506">
        <f t="shared" ca="1" si="78"/>
        <v>1163146.514342678</v>
      </c>
      <c r="AF97" s="506">
        <f t="shared" ca="1" si="78"/>
        <v>1912525.4939389487</v>
      </c>
      <c r="AG97" s="506">
        <f t="shared" ca="1" si="78"/>
        <v>1158549.0972899401</v>
      </c>
      <c r="AH97" s="1139">
        <f t="shared" ca="1" si="78"/>
        <v>-1</v>
      </c>
      <c r="AI97" s="106"/>
      <c r="AJ97"/>
      <c r="AL97" s="1134">
        <f t="shared" ref="AL97" ca="1" si="79">SUMIF($F$73:$AH$90,"Total overhead expenditure",AM73:AM90)</f>
        <v>0</v>
      </c>
      <c r="AM97" s="431">
        <f t="shared" ref="AM97" ca="1" si="80">SUMIF($F$73:$AH$90,"Total overhead expenditure",AN73:AN90)</f>
        <v>0</v>
      </c>
      <c r="AN97" s="431">
        <f t="shared" ref="AN97" ca="1" si="81">SUMIF($F$73:$AH$90,"Total overhead expenditure",AO73:AO90)</f>
        <v>0</v>
      </c>
      <c r="AO97" s="431">
        <f t="shared" ref="AO97" ca="1" si="82">SUMIF($F$73:$AH$90,"Total overhead expenditure",AP73:AP90)</f>
        <v>0</v>
      </c>
      <c r="AP97" s="1135">
        <f t="shared" ref="AP97" ca="1" si="83">SUMIF($F$73:$AH$90,"Total overhead expenditure",AQ73:AQ90)</f>
        <v>0</v>
      </c>
      <c r="AQ97" s="1137">
        <f t="shared" ref="AQ97" ca="1" si="84">SUMIF($F$73:$AH$90,"Total overhead expenditure",AR73:AR90)</f>
        <v>0</v>
      </c>
      <c r="AR97" s="506">
        <f t="shared" ref="AR97:AS97" ca="1" si="85">SUMIF($F$73:$AH$90,"Total overhead expenditure",AR73:AR90)</f>
        <v>0</v>
      </c>
      <c r="AS97" s="454">
        <f t="shared" ca="1" si="85"/>
        <v>0</v>
      </c>
    </row>
    <row r="98" spans="1:70">
      <c r="E98" s="4235"/>
      <c r="F98" s="1484" t="s">
        <v>607</v>
      </c>
      <c r="G98" s="1134">
        <f t="shared" ref="G98:K98" ca="1" si="86">SUMIF($F$73:$AH$90,"Related party margin",H73:H90)</f>
        <v>0</v>
      </c>
      <c r="H98" s="431">
        <f t="shared" ca="1" si="86"/>
        <v>0</v>
      </c>
      <c r="I98" s="431">
        <f t="shared" ca="1" si="86"/>
        <v>0</v>
      </c>
      <c r="J98" s="431">
        <f t="shared" ca="1" si="86"/>
        <v>0</v>
      </c>
      <c r="K98" s="1135">
        <f t="shared" ca="1" si="86"/>
        <v>0</v>
      </c>
      <c r="L98" s="1137">
        <f t="shared" ref="L98" ca="1" si="87">SUMIF($F$73:$AH$90,"Related party margin",M73:M90)</f>
        <v>0</v>
      </c>
      <c r="M98" s="506">
        <f t="shared" ref="M98:U98" ca="1" si="88">SUMIF($F$73:$AH$90,"Related party margin",M73:M90)</f>
        <v>0</v>
      </c>
      <c r="N98" s="506">
        <f t="shared" ca="1" si="88"/>
        <v>0</v>
      </c>
      <c r="O98" s="506">
        <f t="shared" ca="1" si="88"/>
        <v>0</v>
      </c>
      <c r="P98" s="454">
        <f t="shared" ca="1" si="88"/>
        <v>0</v>
      </c>
      <c r="Q98" s="1136">
        <f t="shared" ca="1" si="88"/>
        <v>0</v>
      </c>
      <c r="R98" s="506">
        <f t="shared" ca="1" si="88"/>
        <v>0</v>
      </c>
      <c r="S98" s="506">
        <f t="shared" ca="1" si="88"/>
        <v>0</v>
      </c>
      <c r="T98" s="506">
        <f t="shared" ca="1" si="88"/>
        <v>0</v>
      </c>
      <c r="U98" s="454">
        <f t="shared" ca="1" si="88"/>
        <v>0</v>
      </c>
      <c r="V98" s="1266"/>
      <c r="W98" s="505">
        <f t="shared" ref="W98:AH98" ca="1" si="89">SUMIF($F$73:$AH$90,"Related party margin",W73:W90)</f>
        <v>0</v>
      </c>
      <c r="X98" s="506">
        <f t="shared" ca="1" si="89"/>
        <v>0</v>
      </c>
      <c r="Y98" s="506">
        <f t="shared" ca="1" si="89"/>
        <v>0</v>
      </c>
      <c r="Z98" s="506">
        <f t="shared" ca="1" si="89"/>
        <v>0</v>
      </c>
      <c r="AA98" s="454">
        <f t="shared" ca="1" si="89"/>
        <v>0</v>
      </c>
      <c r="AB98" s="1138">
        <f t="shared" ca="1" si="89"/>
        <v>0</v>
      </c>
      <c r="AC98" s="505">
        <f t="shared" ca="1" si="89"/>
        <v>0</v>
      </c>
      <c r="AD98" s="506">
        <f t="shared" ca="1" si="89"/>
        <v>0</v>
      </c>
      <c r="AE98" s="506">
        <f t="shared" ca="1" si="89"/>
        <v>0</v>
      </c>
      <c r="AF98" s="506">
        <f t="shared" ca="1" si="89"/>
        <v>0</v>
      </c>
      <c r="AG98" s="506">
        <f t="shared" ca="1" si="89"/>
        <v>0</v>
      </c>
      <c r="AH98" s="1139">
        <f t="shared" ca="1" si="89"/>
        <v>0</v>
      </c>
      <c r="AI98" s="106"/>
      <c r="AJ98"/>
      <c r="AL98" s="1134">
        <f t="shared" ref="AL98" ca="1" si="90">SUMIF($F$73:$AH$90,"Related party margin",AM73:AM90)</f>
        <v>0</v>
      </c>
      <c r="AM98" s="431">
        <f t="shared" ref="AM98" ca="1" si="91">SUMIF($F$73:$AH$90,"Related party margin",AN73:AN90)</f>
        <v>0</v>
      </c>
      <c r="AN98" s="431">
        <f t="shared" ref="AN98" ca="1" si="92">SUMIF($F$73:$AH$90,"Related party margin",AO73:AO90)</f>
        <v>0</v>
      </c>
      <c r="AO98" s="431">
        <f t="shared" ref="AO98" ca="1" si="93">SUMIF($F$73:$AH$90,"Related party margin",AP73:AP90)</f>
        <v>0</v>
      </c>
      <c r="AP98" s="1135">
        <f t="shared" ref="AP98" ca="1" si="94">SUMIF($F$73:$AH$90,"Related party margin",AQ73:AQ90)</f>
        <v>0</v>
      </c>
      <c r="AQ98" s="1137">
        <f t="shared" ref="AQ98" ca="1" si="95">SUMIF($F$73:$AH$90,"Related party margin",AR73:AR90)</f>
        <v>0</v>
      </c>
      <c r="AR98" s="506">
        <f t="shared" ref="AR98:AS98" ca="1" si="96">SUMIF($F$73:$AH$90,"Related party margin",AR73:AR90)</f>
        <v>0</v>
      </c>
      <c r="AS98" s="454">
        <f t="shared" ca="1" si="96"/>
        <v>0</v>
      </c>
    </row>
    <row r="99" spans="1:70">
      <c r="E99" s="4235"/>
      <c r="F99" s="1497" t="s">
        <v>610</v>
      </c>
      <c r="G99" s="1194">
        <f t="shared" ref="G99:K99" ca="1" si="97">SUM(G96:G98)</f>
        <v>7663403.4799999958</v>
      </c>
      <c r="H99" s="1194">
        <f t="shared" ca="1" si="97"/>
        <v>5029477.4500000011</v>
      </c>
      <c r="I99" s="1194">
        <f t="shared" ca="1" si="97"/>
        <v>4856500.3299999991</v>
      </c>
      <c r="J99" s="1194">
        <f t="shared" ca="1" si="97"/>
        <v>4484638.6900000004</v>
      </c>
      <c r="K99" s="1194">
        <f t="shared" ca="1" si="97"/>
        <v>9495444.8900000043</v>
      </c>
      <c r="L99" s="1198">
        <f t="shared" ref="L99:U99" ca="1" si="98">SUM(L96:L98)</f>
        <v>10853029.250000002</v>
      </c>
      <c r="M99" s="1198">
        <f t="shared" ca="1" si="98"/>
        <v>23719164.299999997</v>
      </c>
      <c r="N99" s="1198">
        <f t="shared" ca="1" si="98"/>
        <v>20955559.999999996</v>
      </c>
      <c r="O99" s="1198">
        <f t="shared" ca="1" si="98"/>
        <v>32467178.909999989</v>
      </c>
      <c r="P99" s="1198">
        <f t="shared" ca="1" si="98"/>
        <v>45156000</v>
      </c>
      <c r="Q99" s="1198">
        <f t="shared" ca="1" si="98"/>
        <v>55745317.777215607</v>
      </c>
      <c r="R99" s="1198">
        <f t="shared" ca="1" si="98"/>
        <v>49987137.407645866</v>
      </c>
      <c r="S99" s="1198">
        <f t="shared" ca="1" si="98"/>
        <v>51518689.26160945</v>
      </c>
      <c r="T99" s="1198">
        <f t="shared" ca="1" si="98"/>
        <v>55072957.287637167</v>
      </c>
      <c r="U99" s="1198">
        <f t="shared" ca="1" si="98"/>
        <v>47388405.669121116</v>
      </c>
      <c r="V99" s="1266"/>
      <c r="W99" s="1164">
        <f ca="1">SUM(W96:W98)</f>
        <v>23052637.078696206</v>
      </c>
      <c r="X99" s="1164">
        <f ca="1">SUM(X96:X98)</f>
        <v>22671927.240836192</v>
      </c>
      <c r="Y99" s="1164">
        <f ca="1">SUM(Y96:Y98)</f>
        <v>23315195.587565184</v>
      </c>
      <c r="Z99" s="1164">
        <f ca="1">SUM(Z96:Z98)</f>
        <v>23919080.157963831</v>
      </c>
      <c r="AA99" s="1164">
        <f ca="1">SUM(AA96:AA98)</f>
        <v>24798651.162674904</v>
      </c>
      <c r="AB99" s="1167" t="e">
        <f ca="1">SUM(AB97:AB98)</f>
        <v>#DIV/0!</v>
      </c>
      <c r="AC99" s="1164">
        <f ca="1">SUM(AC96:AC98)</f>
        <v>14391257.110518361</v>
      </c>
      <c r="AD99" s="1164">
        <f ca="1">SUM(AD96:AD98)</f>
        <v>4111787.745862389</v>
      </c>
      <c r="AE99" s="1164">
        <f ca="1">SUM(AE96:AE98)</f>
        <v>28896730.54731068</v>
      </c>
      <c r="AF99" s="1164">
        <f ca="1">SUM(AF96:AF98)</f>
        <v>47513991.729965381</v>
      </c>
      <c r="AG99" s="1164">
        <f ca="1">SUM(AG96:AG98)</f>
        <v>28782514.221036721</v>
      </c>
      <c r="AH99" s="1168">
        <f ca="1">SUM(AH97:AH98)</f>
        <v>-1</v>
      </c>
      <c r="AI99" s="130"/>
      <c r="AJ99"/>
      <c r="AK99" s="130"/>
      <c r="AL99" s="1194">
        <f ca="1">SUM(AL97:AL98)</f>
        <v>0</v>
      </c>
      <c r="AM99" s="1195">
        <f ca="1">SUM(AM97:AM98)</f>
        <v>0</v>
      </c>
      <c r="AN99" s="1195">
        <f ca="1">SUMIF($F$73:$AH$90,"Gross total expenditure (incl. escalation)",AO73:AO90)</f>
        <v>0</v>
      </c>
      <c r="AO99" s="1195">
        <f ca="1">SUMIF($F$73:$AH$90,"Gross total expenditure (incl. escalation)",AP73:AP90)</f>
        <v>0</v>
      </c>
      <c r="AP99" s="1196">
        <f ca="1">SUMIF($F$73:$AH$90,"Gross total expenditure (incl. escalation)",AQ73:AQ90)</f>
        <v>0</v>
      </c>
      <c r="AQ99" s="1197">
        <f ca="1">SUMIF($F$73:$AH$90,"Gross total expenditure (incl. escalation)",AR73:AR90)</f>
        <v>0</v>
      </c>
      <c r="AR99" s="1165">
        <f t="shared" ref="AR99:AS99" ca="1" si="99">SUMIF($F$73:$AH$90,"Gross total expenditure (incl. escalation)",AR73:AR90)</f>
        <v>0</v>
      </c>
      <c r="AS99" s="1166">
        <f t="shared" ca="1" si="99"/>
        <v>0</v>
      </c>
      <c r="AT99" s="130"/>
      <c r="AU99" s="130"/>
      <c r="AV99" s="130"/>
      <c r="AW99" s="130"/>
      <c r="AX99" s="130"/>
      <c r="AY99" s="130"/>
      <c r="AZ99" s="130"/>
      <c r="BA99" s="130"/>
      <c r="BB99" s="130"/>
      <c r="BC99" s="130"/>
      <c r="BD99" s="130"/>
      <c r="BE99" s="130"/>
      <c r="BF99" s="130"/>
      <c r="BG99" s="130"/>
      <c r="BH99" s="130"/>
      <c r="BI99" s="130"/>
      <c r="BJ99" s="130"/>
      <c r="BK99" s="130"/>
      <c r="BL99" s="130"/>
      <c r="BM99" s="130"/>
      <c r="BN99" s="130"/>
      <c r="BO99" s="130"/>
      <c r="BP99" s="130"/>
      <c r="BQ99" s="130"/>
      <c r="BR99" s="130"/>
    </row>
    <row r="100" spans="1:70">
      <c r="E100" s="4235"/>
      <c r="F100" s="1498" t="s">
        <v>35</v>
      </c>
      <c r="G100" s="1134">
        <f t="shared" ref="G100:K100" ca="1" si="100">SUMIF($F$73:$AH$90,"Less customer contributions",H73:H90)</f>
        <v>0</v>
      </c>
      <c r="H100" s="431">
        <f t="shared" ca="1" si="100"/>
        <v>0</v>
      </c>
      <c r="I100" s="431">
        <f t="shared" ca="1" si="100"/>
        <v>0</v>
      </c>
      <c r="J100" s="431">
        <f t="shared" ca="1" si="100"/>
        <v>0</v>
      </c>
      <c r="K100" s="1135">
        <f t="shared" ca="1" si="100"/>
        <v>0</v>
      </c>
      <c r="L100" s="1137">
        <f t="shared" ref="L100" ca="1" si="101">SUMIF($F$73:$AH$90,"Less customer contributions",M73:M90)</f>
        <v>0</v>
      </c>
      <c r="M100" s="506">
        <f ca="1">SUMIF($F$73:$AH$90,"Less customer contributions",M73:M90)</f>
        <v>0</v>
      </c>
      <c r="N100" s="506">
        <f ca="1">SUMIF($F$73:$AH$90,"Less customer contributions",N73:N90)</f>
        <v>0</v>
      </c>
      <c r="O100" s="506">
        <f t="shared" ref="O100:U100" ca="1" si="102">SUMIF($F$73:$AH$90,"Less customer contributions",O73:O90)</f>
        <v>0</v>
      </c>
      <c r="P100" s="454">
        <f t="shared" ca="1" si="102"/>
        <v>0</v>
      </c>
      <c r="Q100" s="1136">
        <f t="shared" ca="1" si="102"/>
        <v>0</v>
      </c>
      <c r="R100" s="506">
        <f t="shared" ca="1" si="102"/>
        <v>0</v>
      </c>
      <c r="S100" s="506">
        <f t="shared" ca="1" si="102"/>
        <v>0</v>
      </c>
      <c r="T100" s="506">
        <f t="shared" ca="1" si="102"/>
        <v>0</v>
      </c>
      <c r="U100" s="454">
        <f t="shared" ca="1" si="102"/>
        <v>0</v>
      </c>
      <c r="V100" s="1266"/>
      <c r="W100" s="505">
        <f t="shared" ref="W100:AH100" ca="1" si="103">SUMIF($F$73:$AH$90,"Less customer contributions",W73:W90)</f>
        <v>0</v>
      </c>
      <c r="X100" s="506">
        <f t="shared" ca="1" si="103"/>
        <v>0</v>
      </c>
      <c r="Y100" s="506">
        <f t="shared" ca="1" si="103"/>
        <v>0</v>
      </c>
      <c r="Z100" s="506">
        <f t="shared" ca="1" si="103"/>
        <v>0</v>
      </c>
      <c r="AA100" s="454">
        <f t="shared" ca="1" si="103"/>
        <v>0</v>
      </c>
      <c r="AB100" s="1138">
        <f t="shared" ca="1" si="103"/>
        <v>0</v>
      </c>
      <c r="AC100" s="505">
        <f t="shared" ca="1" si="103"/>
        <v>0</v>
      </c>
      <c r="AD100" s="506">
        <f t="shared" ca="1" si="103"/>
        <v>0</v>
      </c>
      <c r="AE100" s="506">
        <f t="shared" ca="1" si="103"/>
        <v>0</v>
      </c>
      <c r="AF100" s="506">
        <f t="shared" ca="1" si="103"/>
        <v>0</v>
      </c>
      <c r="AG100" s="506">
        <f t="shared" ca="1" si="103"/>
        <v>0</v>
      </c>
      <c r="AH100" s="1139">
        <f t="shared" ca="1" si="103"/>
        <v>0</v>
      </c>
      <c r="AI100" s="106"/>
      <c r="AJ100"/>
      <c r="AL100" s="1134">
        <f t="shared" ref="AL100" ca="1" si="104">SUMIF($F$73:$AH$90,"Less customer contributions",AM73:AM90)</f>
        <v>0</v>
      </c>
      <c r="AM100" s="431">
        <f t="shared" ref="AM100" ca="1" si="105">SUMIF($F$73:$AH$90,"Less customer contributions",AN73:AN90)</f>
        <v>0</v>
      </c>
      <c r="AN100" s="431">
        <f t="shared" ref="AN100" ca="1" si="106">SUMIF($F$73:$AH$90,"Less customer contributions",AO73:AO90)</f>
        <v>0</v>
      </c>
      <c r="AO100" s="431">
        <f t="shared" ref="AO100" ca="1" si="107">SUMIF($F$73:$AH$90,"Less customer contributions",AP73:AP90)</f>
        <v>0</v>
      </c>
      <c r="AP100" s="1135">
        <f t="shared" ref="AP100" ca="1" si="108">SUMIF($F$73:$AH$90,"Less customer contributions",AQ73:AQ90)</f>
        <v>0</v>
      </c>
      <c r="AQ100" s="1137">
        <f t="shared" ref="AQ100" ca="1" si="109">SUMIF($F$73:$AH$90,"Less customer contributions",AR73:AR90)</f>
        <v>0</v>
      </c>
      <c r="AR100" s="506">
        <f t="shared" ref="AR100:AS100" ca="1" si="110">SUMIF($F$73:$AH$90,"Less customer contributions",AR73:AR90)</f>
        <v>0</v>
      </c>
      <c r="AS100" s="454">
        <f t="shared" ca="1" si="110"/>
        <v>0</v>
      </c>
    </row>
    <row r="101" spans="1:70" ht="24" customHeight="1" thickBot="1">
      <c r="E101" s="4236"/>
      <c r="F101" s="1499" t="s">
        <v>611</v>
      </c>
      <c r="G101" s="1199">
        <f t="shared" ref="G101:K101" ca="1" si="111">G99-G100</f>
        <v>7663403.4799999958</v>
      </c>
      <c r="H101" s="1200">
        <f t="shared" ca="1" si="111"/>
        <v>5029477.4500000011</v>
      </c>
      <c r="I101" s="1200">
        <f t="shared" ca="1" si="111"/>
        <v>4856500.3299999991</v>
      </c>
      <c r="J101" s="1200">
        <f t="shared" ca="1" si="111"/>
        <v>4484638.6900000004</v>
      </c>
      <c r="K101" s="1200">
        <f t="shared" ca="1" si="111"/>
        <v>9495444.8900000043</v>
      </c>
      <c r="L101" s="1199">
        <f t="shared" ref="L101:U101" ca="1" si="112">L99-L100</f>
        <v>10853029.250000002</v>
      </c>
      <c r="M101" s="1169">
        <f t="shared" ca="1" si="112"/>
        <v>23719164.299999997</v>
      </c>
      <c r="N101" s="1169">
        <f t="shared" ca="1" si="112"/>
        <v>20955559.999999996</v>
      </c>
      <c r="O101" s="1169">
        <f t="shared" ca="1" si="112"/>
        <v>32467178.909999989</v>
      </c>
      <c r="P101" s="1169">
        <f t="shared" ca="1" si="112"/>
        <v>45156000</v>
      </c>
      <c r="Q101" s="1169">
        <f t="shared" ca="1" si="112"/>
        <v>55745317.777215607</v>
      </c>
      <c r="R101" s="1169">
        <f t="shared" ca="1" si="112"/>
        <v>49987137.407645866</v>
      </c>
      <c r="S101" s="1169">
        <f t="shared" ca="1" si="112"/>
        <v>51518689.26160945</v>
      </c>
      <c r="T101" s="1169">
        <f t="shared" ca="1" si="112"/>
        <v>55072957.287637167</v>
      </c>
      <c r="U101" s="1169">
        <f t="shared" ca="1" si="112"/>
        <v>47388405.669121116</v>
      </c>
      <c r="V101" s="1266"/>
      <c r="W101" s="3177">
        <f ca="1">W99</f>
        <v>23052637.078696206</v>
      </c>
      <c r="X101" s="3177">
        <f ca="1">X99</f>
        <v>22671927.240836192</v>
      </c>
      <c r="Y101" s="3177">
        <f ca="1">Y99</f>
        <v>23315195.587565184</v>
      </c>
      <c r="Z101" s="3177">
        <f ca="1">Z99</f>
        <v>23919080.157963831</v>
      </c>
      <c r="AA101" s="3177">
        <f ca="1">AA99</f>
        <v>24798651.162674904</v>
      </c>
      <c r="AB101" s="1171">
        <f ca="1">SUMIF($F$73:$AH$90,"Net total expenditure (incl. escalation)",AB73:AB90)</f>
        <v>0</v>
      </c>
      <c r="AC101" s="3177">
        <f ca="1">AC99</f>
        <v>14391257.110518361</v>
      </c>
      <c r="AD101" s="3177">
        <f ca="1">AD99</f>
        <v>4111787.745862389</v>
      </c>
      <c r="AE101" s="3177">
        <f ca="1">AE99</f>
        <v>28896730.54731068</v>
      </c>
      <c r="AF101" s="3177">
        <f ca="1">AF99</f>
        <v>47513991.729965381</v>
      </c>
      <c r="AG101" s="3177">
        <f ca="1">AG99</f>
        <v>28782514.221036721</v>
      </c>
      <c r="AH101" s="1172">
        <f ca="1">SUMIF($F$73:$AH$90,"Net total expenditure (incl. escalation)",AH73:AH90)</f>
        <v>0</v>
      </c>
      <c r="AI101" s="106"/>
      <c r="AJ101"/>
      <c r="AL101" s="1199">
        <f ca="1">AL99-AL100</f>
        <v>0</v>
      </c>
      <c r="AM101" s="1200">
        <f ca="1">AM99-AM100</f>
        <v>0</v>
      </c>
      <c r="AN101" s="1200">
        <f ca="1">SUMIF($F$73:$AH$90,"Net total expenditure (incl. escalation)",AO73:AO90)</f>
        <v>0</v>
      </c>
      <c r="AO101" s="1200">
        <f ca="1">SUMIF($F$73:$AH$90,"Net total expenditure (incl. escalation)",AP73:AP90)</f>
        <v>0</v>
      </c>
      <c r="AP101" s="1201">
        <f ca="1">SUMIF($F$73:$AH$90,"Net total expenditure (incl. escalation)",AQ73:AQ90)</f>
        <v>0</v>
      </c>
      <c r="AQ101" s="1202">
        <f ca="1">SUMIF($F$73:$AH$90,"Net total expenditure (incl. escalation)",AR73:AR90)</f>
        <v>0</v>
      </c>
      <c r="AR101" s="1169">
        <f t="shared" ref="AR101:AS101" ca="1" si="113">SUMIF($F$73:$AH$90,"Net total expenditure (incl. escalation)",AR73:AR90)</f>
        <v>0</v>
      </c>
      <c r="AS101" s="1170">
        <f t="shared" ca="1" si="113"/>
        <v>0</v>
      </c>
    </row>
    <row r="102" spans="1:70" s="69" customFormat="1" ht="45.75" customHeight="1" thickBot="1">
      <c r="A102" s="75"/>
      <c r="B102" s="75"/>
      <c r="C102" s="75"/>
      <c r="D102" s="75"/>
      <c r="E102" s="1472" t="s">
        <v>127</v>
      </c>
      <c r="F102" s="300"/>
      <c r="G102" s="301"/>
      <c r="H102" s="301"/>
      <c r="I102" s="301"/>
      <c r="J102" s="301"/>
      <c r="K102" s="301"/>
      <c r="L102" s="301"/>
      <c r="M102" s="301"/>
      <c r="N102" s="301"/>
      <c r="O102" s="301"/>
      <c r="P102" s="301"/>
      <c r="Q102" s="301"/>
      <c r="R102" s="301"/>
      <c r="S102" s="301"/>
      <c r="T102" s="301"/>
      <c r="U102" s="436"/>
      <c r="V102" s="476"/>
      <c r="W102" s="301"/>
      <c r="X102" s="301"/>
      <c r="Y102" s="301"/>
      <c r="Z102" s="301"/>
      <c r="AA102" s="301"/>
      <c r="AB102" s="301"/>
      <c r="AC102" s="301"/>
      <c r="AD102" s="301"/>
      <c r="AE102" s="301"/>
      <c r="AF102" s="301"/>
      <c r="AG102" s="301"/>
      <c r="AH102" s="436"/>
      <c r="AI102" s="65"/>
      <c r="AJ102" s="74"/>
      <c r="AK102" s="74"/>
      <c r="AL102" s="1790"/>
      <c r="AM102" s="1771"/>
      <c r="AN102" s="1771"/>
      <c r="AO102" s="1771"/>
      <c r="AP102" s="1771"/>
      <c r="AQ102" s="1771"/>
      <c r="AR102" s="1771"/>
      <c r="AS102" s="1774"/>
      <c r="AT102" s="74"/>
      <c r="AU102" s="74"/>
      <c r="AV102" s="74"/>
      <c r="AW102" s="74"/>
      <c r="AX102" s="74"/>
      <c r="AY102" s="74"/>
      <c r="AZ102" s="74"/>
      <c r="BA102" s="74"/>
      <c r="BB102" s="74"/>
      <c r="BC102" s="74"/>
      <c r="BD102" s="74"/>
      <c r="BE102" s="74"/>
      <c r="BF102" s="74"/>
      <c r="BG102" s="74"/>
      <c r="BH102" s="74"/>
      <c r="BI102" s="74"/>
      <c r="BJ102" s="74"/>
      <c r="BK102" s="74"/>
      <c r="BL102" s="74"/>
      <c r="BM102" s="74"/>
      <c r="BN102" s="74"/>
      <c r="BO102" s="74"/>
      <c r="BP102" s="74"/>
      <c r="BQ102" s="74"/>
      <c r="BR102" s="74"/>
    </row>
    <row r="103" spans="1:70" s="89" customFormat="1" ht="27.75" customHeight="1" thickBot="1">
      <c r="E103" s="223"/>
      <c r="F103" s="88"/>
      <c r="G103" s="88"/>
      <c r="H103" s="88"/>
      <c r="I103" s="88"/>
      <c r="J103" s="88"/>
      <c r="K103" s="88"/>
      <c r="L103" s="88"/>
      <c r="M103" s="88"/>
      <c r="N103" s="88"/>
      <c r="O103" s="88"/>
      <c r="P103" s="88"/>
      <c r="Q103" s="88"/>
      <c r="R103" s="88"/>
      <c r="S103" s="88"/>
      <c r="T103" s="88"/>
      <c r="U103" s="88"/>
      <c r="V103" s="1266"/>
      <c r="W103" s="23"/>
      <c r="X103" s="23"/>
      <c r="Y103" s="23"/>
      <c r="Z103" s="23"/>
      <c r="AA103" s="23"/>
      <c r="AB103" s="428"/>
      <c r="AC103" s="23"/>
      <c r="AD103" s="23"/>
      <c r="AE103" s="23"/>
      <c r="AF103" s="23"/>
      <c r="AG103" s="23"/>
      <c r="AH103" s="430"/>
      <c r="AI103"/>
      <c r="AJ103" s="106"/>
      <c r="AK103" s="106"/>
      <c r="AL103" s="88"/>
      <c r="AM103" s="88"/>
      <c r="AN103" s="88"/>
      <c r="AO103" s="88"/>
      <c r="AP103" s="23"/>
      <c r="AQ103" s="23"/>
      <c r="AR103" s="23"/>
      <c r="AS103" s="23"/>
      <c r="AT103" s="106"/>
      <c r="AU103" s="106"/>
      <c r="AV103" s="106"/>
      <c r="AW103" s="106"/>
      <c r="AX103" s="106"/>
      <c r="AY103" s="106"/>
      <c r="AZ103" s="106"/>
      <c r="BA103" s="106"/>
      <c r="BB103" s="106"/>
      <c r="BC103" s="106"/>
      <c r="BD103" s="106"/>
      <c r="BE103" s="106"/>
      <c r="BF103" s="106"/>
      <c r="BG103" s="106"/>
      <c r="BH103" s="106"/>
      <c r="BI103" s="106"/>
      <c r="BJ103" s="106"/>
      <c r="BK103" s="106"/>
      <c r="BL103" s="106"/>
      <c r="BM103" s="106"/>
      <c r="BN103" s="106"/>
      <c r="BO103" s="106"/>
      <c r="BP103" s="106"/>
      <c r="BQ103" s="106"/>
      <c r="BR103" s="106"/>
    </row>
    <row r="104" spans="1:70" s="65" customFormat="1" ht="28.5" customHeight="1" thickBot="1">
      <c r="E104" s="292" t="s">
        <v>452</v>
      </c>
      <c r="F104" s="308"/>
      <c r="G104" s="308"/>
      <c r="H104" s="308"/>
      <c r="I104" s="308"/>
      <c r="J104" s="308"/>
      <c r="K104" s="308"/>
      <c r="L104" s="308"/>
      <c r="M104" s="308"/>
      <c r="N104" s="308"/>
      <c r="O104" s="308"/>
      <c r="P104" s="308"/>
      <c r="Q104" s="308"/>
      <c r="R104" s="308"/>
      <c r="S104" s="308"/>
      <c r="T104" s="308"/>
      <c r="U104" s="309"/>
      <c r="V104" s="476"/>
      <c r="W104" s="308"/>
      <c r="X104" s="308"/>
      <c r="Y104" s="308"/>
      <c r="Z104" s="308"/>
      <c r="AA104" s="308"/>
      <c r="AB104" s="308"/>
      <c r="AC104" s="308"/>
      <c r="AD104" s="308"/>
      <c r="AE104" s="308"/>
      <c r="AF104" s="308"/>
      <c r="AG104" s="308"/>
      <c r="AH104" s="309"/>
      <c r="AL104" s="1788"/>
      <c r="AM104" s="308"/>
      <c r="AN104" s="308"/>
      <c r="AO104" s="308"/>
      <c r="AP104" s="308"/>
      <c r="AQ104" s="308"/>
      <c r="AR104" s="308"/>
      <c r="AS104" s="309"/>
    </row>
    <row r="105" spans="1:70" s="65" customFormat="1" ht="18" customHeight="1">
      <c r="E105" s="4223"/>
      <c r="F105" s="4224"/>
      <c r="G105" s="4218" t="s">
        <v>36</v>
      </c>
      <c r="H105" s="4137"/>
      <c r="I105" s="4137"/>
      <c r="J105" s="4137"/>
      <c r="K105" s="4137"/>
      <c r="L105" s="4219" t="s">
        <v>37</v>
      </c>
      <c r="M105" s="4188"/>
      <c r="N105" s="4188"/>
      <c r="O105" s="4188"/>
      <c r="P105" s="4188"/>
      <c r="Q105" s="4243" t="s">
        <v>75</v>
      </c>
      <c r="R105" s="4243"/>
      <c r="S105" s="4243"/>
      <c r="T105" s="4243"/>
      <c r="U105" s="4244"/>
      <c r="V105" s="501"/>
      <c r="W105" s="4218" t="s">
        <v>36</v>
      </c>
      <c r="X105" s="4250"/>
      <c r="Y105" s="4250"/>
      <c r="Z105" s="4250"/>
      <c r="AA105" s="4250"/>
      <c r="AB105" s="4251"/>
      <c r="AC105" s="4187" t="s">
        <v>37</v>
      </c>
      <c r="AD105" s="4230"/>
      <c r="AE105" s="4230"/>
      <c r="AF105" s="4230"/>
      <c r="AG105" s="4230"/>
      <c r="AH105" s="4231"/>
      <c r="AL105" s="4218" t="s">
        <v>36</v>
      </c>
      <c r="AM105" s="4137"/>
      <c r="AN105" s="4137"/>
      <c r="AO105" s="4137"/>
      <c r="AP105" s="4137"/>
      <c r="AQ105" s="4219" t="s">
        <v>37</v>
      </c>
      <c r="AR105" s="4188"/>
      <c r="AS105" s="4189"/>
    </row>
    <row r="106" spans="1:70" s="65" customFormat="1" ht="15" customHeight="1">
      <c r="E106" s="4225"/>
      <c r="F106" s="4226"/>
      <c r="G106" s="4125" t="s">
        <v>569</v>
      </c>
      <c r="H106" s="4126"/>
      <c r="I106" s="4126"/>
      <c r="J106" s="4126"/>
      <c r="K106" s="4126"/>
      <c r="L106" s="4126"/>
      <c r="M106" s="4126"/>
      <c r="N106" s="4127"/>
      <c r="O106" s="4128" t="str">
        <f>CONCATENATE("$0's, real ",dms_DollarReal)</f>
        <v>$0's, real December 2017</v>
      </c>
      <c r="P106" s="4129"/>
      <c r="Q106" s="4129"/>
      <c r="R106" s="4129"/>
      <c r="S106" s="4129"/>
      <c r="T106" s="4129"/>
      <c r="U106" s="4130"/>
      <c r="V106" s="501"/>
      <c r="W106" s="4131" t="str">
        <f>CONCATENATE("$0's, real ",dms_DollarReal)</f>
        <v>$0's, real December 2017</v>
      </c>
      <c r="X106" s="4132"/>
      <c r="Y106" s="4132"/>
      <c r="Z106" s="4132"/>
      <c r="AA106" s="4132"/>
      <c r="AB106" s="435" t="s">
        <v>120</v>
      </c>
      <c r="AC106" s="4133" t="str">
        <f>CONCATENATE("$0's, real ",dms_DollarReal)</f>
        <v>$0's, real December 2017</v>
      </c>
      <c r="AD106" s="4133"/>
      <c r="AE106" s="4133"/>
      <c r="AF106" s="4133"/>
      <c r="AG106" s="4133"/>
      <c r="AH106" s="434" t="s">
        <v>120</v>
      </c>
      <c r="AL106" s="4125" t="str">
        <f>CONCATENATE("$0's, real ",dms_DollarReal)</f>
        <v>$0's, real December 2017</v>
      </c>
      <c r="AM106" s="4126"/>
      <c r="AN106" s="4126"/>
      <c r="AO106" s="4126"/>
      <c r="AP106" s="4126"/>
      <c r="AQ106" s="4126"/>
      <c r="AR106" s="4126"/>
      <c r="AS106" s="4169"/>
    </row>
    <row r="107" spans="1:70" s="65" customFormat="1" ht="25.5">
      <c r="E107" s="4225"/>
      <c r="F107" s="4226"/>
      <c r="G107" s="4125" t="s">
        <v>56</v>
      </c>
      <c r="H107" s="4126"/>
      <c r="I107" s="4126"/>
      <c r="J107" s="4126"/>
      <c r="K107" s="4126"/>
      <c r="L107" s="4126"/>
      <c r="M107" s="4126"/>
      <c r="N107" s="4127"/>
      <c r="O107" s="4128" t="s">
        <v>57</v>
      </c>
      <c r="P107" s="4129"/>
      <c r="Q107" s="4129"/>
      <c r="R107" s="4129"/>
      <c r="S107" s="4129"/>
      <c r="T107" s="4129"/>
      <c r="U107" s="4130"/>
      <c r="V107" s="501"/>
      <c r="W107" s="4131" t="s">
        <v>76</v>
      </c>
      <c r="X107" s="4132"/>
      <c r="Y107" s="4132"/>
      <c r="Z107" s="4132"/>
      <c r="AA107" s="4132"/>
      <c r="AB107" s="383" t="s">
        <v>119</v>
      </c>
      <c r="AC107" s="4133" t="s">
        <v>76</v>
      </c>
      <c r="AD107" s="4133"/>
      <c r="AE107" s="4133"/>
      <c r="AF107" s="4133"/>
      <c r="AG107" s="4133"/>
      <c r="AH107" s="383" t="s">
        <v>119</v>
      </c>
      <c r="AL107" s="4125" t="s">
        <v>56</v>
      </c>
      <c r="AM107" s="4126"/>
      <c r="AN107" s="4126"/>
      <c r="AO107" s="4126"/>
      <c r="AP107" s="4126"/>
      <c r="AQ107" s="4126"/>
      <c r="AR107" s="4126"/>
      <c r="AS107" s="4169"/>
    </row>
    <row r="108" spans="1:70" s="65" customFormat="1" ht="15.75" customHeight="1" thickBot="1">
      <c r="E108" s="4227"/>
      <c r="F108" s="4228"/>
      <c r="G108" s="1521">
        <f t="array" ref="G108:K108">PRCP</f>
        <v>2008</v>
      </c>
      <c r="H108" s="374">
        <v>2009</v>
      </c>
      <c r="I108" s="374">
        <v>2010</v>
      </c>
      <c r="J108" s="374">
        <v>2011</v>
      </c>
      <c r="K108" s="374">
        <v>2012</v>
      </c>
      <c r="L108" s="376">
        <f>CRCP_y1</f>
        <v>2013</v>
      </c>
      <c r="M108" s="376">
        <f>CRCP_y2</f>
        <v>2014</v>
      </c>
      <c r="N108" s="376">
        <f>CRCP_y3</f>
        <v>2015</v>
      </c>
      <c r="O108" s="376">
        <f>CRCP_y4</f>
        <v>2016</v>
      </c>
      <c r="P108" s="376">
        <f>CRCP_y5</f>
        <v>2017</v>
      </c>
      <c r="Q108" s="374" t="str">
        <f t="array" ref="Q108:U108">FRCP</f>
        <v>2018</v>
      </c>
      <c r="R108" s="374">
        <v>2019</v>
      </c>
      <c r="S108" s="374">
        <v>2020</v>
      </c>
      <c r="T108" s="374">
        <v>2021</v>
      </c>
      <c r="U108" s="470">
        <v>2022</v>
      </c>
      <c r="V108" s="1266"/>
      <c r="W108" s="1521">
        <f t="array" ref="W108:AA108">PRCP</f>
        <v>2008</v>
      </c>
      <c r="X108" s="374">
        <v>2009</v>
      </c>
      <c r="Y108" s="374">
        <v>2010</v>
      </c>
      <c r="Z108" s="374">
        <v>2011</v>
      </c>
      <c r="AA108" s="374">
        <v>2012</v>
      </c>
      <c r="AB108" s="784" t="s">
        <v>118</v>
      </c>
      <c r="AC108" s="376">
        <f>CRCP_y1</f>
        <v>2013</v>
      </c>
      <c r="AD108" s="376">
        <f>CRCP_y2</f>
        <v>2014</v>
      </c>
      <c r="AE108" s="376">
        <f>CRCP_y3</f>
        <v>2015</v>
      </c>
      <c r="AF108" s="376">
        <f>CRCP_y4</f>
        <v>2016</v>
      </c>
      <c r="AG108" s="376">
        <f>CRCP_y5</f>
        <v>2017</v>
      </c>
      <c r="AH108" s="784" t="s">
        <v>118</v>
      </c>
      <c r="AL108" s="1521">
        <f t="array" ref="AL108:AP108">PRCP</f>
        <v>2008</v>
      </c>
      <c r="AM108" s="374">
        <v>2009</v>
      </c>
      <c r="AN108" s="374">
        <v>2010</v>
      </c>
      <c r="AO108" s="374">
        <v>2011</v>
      </c>
      <c r="AP108" s="374">
        <v>2012</v>
      </c>
      <c r="AQ108" s="376">
        <f>CRCP_y1</f>
        <v>2013</v>
      </c>
      <c r="AR108" s="376">
        <f>CRCP_y2</f>
        <v>2014</v>
      </c>
      <c r="AS108" s="568">
        <f>CRCP_y3</f>
        <v>2015</v>
      </c>
    </row>
    <row r="109" spans="1:70" ht="12.75" customHeight="1">
      <c r="E109" s="4245" t="s">
        <v>358</v>
      </c>
      <c r="F109" s="3527" t="s">
        <v>117</v>
      </c>
      <c r="G109" s="1203"/>
      <c r="H109" s="456"/>
      <c r="I109" s="456"/>
      <c r="J109" s="456"/>
      <c r="K109" s="1204"/>
      <c r="L109" s="1207">
        <v>0</v>
      </c>
      <c r="M109" s="1208">
        <v>75</v>
      </c>
      <c r="N109" s="1208">
        <v>0</v>
      </c>
      <c r="O109" s="1208"/>
      <c r="P109" s="487"/>
      <c r="Q109" s="444"/>
      <c r="R109" s="485"/>
      <c r="S109" s="485"/>
      <c r="T109" s="485"/>
      <c r="U109" s="487"/>
      <c r="V109" s="1271"/>
      <c r="W109" s="1207"/>
      <c r="X109" s="1208"/>
      <c r="Y109" s="1208"/>
      <c r="Z109" s="1208"/>
      <c r="AA109" s="1209"/>
      <c r="AB109" s="1225" t="e">
        <f>SUM(G109:K109)/SUM(W109:AA109)-1</f>
        <v>#DIV/0!</v>
      </c>
      <c r="AC109" s="1207"/>
      <c r="AD109" s="1208"/>
      <c r="AE109" s="1208"/>
      <c r="AF109" s="1208"/>
      <c r="AG109" s="1208"/>
      <c r="AH109" s="1230" t="e">
        <f>SUM(L109:P109)/SUM(AC109:AG109)-1</f>
        <v>#DIV/0!</v>
      </c>
      <c r="AI109" s="430"/>
      <c r="AJ109"/>
      <c r="AL109" s="1791"/>
      <c r="AM109" s="1792"/>
      <c r="AN109" s="1792"/>
      <c r="AO109" s="1792"/>
      <c r="AP109" s="1793"/>
      <c r="AQ109" s="1794"/>
      <c r="AR109" s="1795"/>
      <c r="AS109" s="1796"/>
    </row>
    <row r="110" spans="1:70" ht="12.75" customHeight="1">
      <c r="E110" s="4246"/>
      <c r="F110" s="3528" t="s">
        <v>624</v>
      </c>
      <c r="G110" s="469"/>
      <c r="H110" s="445"/>
      <c r="I110" s="445"/>
      <c r="J110" s="445"/>
      <c r="K110" s="479"/>
      <c r="L110" s="1210"/>
      <c r="M110" s="1211"/>
      <c r="N110" s="1211"/>
      <c r="O110" s="1211"/>
      <c r="P110" s="1212"/>
      <c r="Q110" s="475"/>
      <c r="R110" s="445"/>
      <c r="S110" s="445"/>
      <c r="T110" s="445"/>
      <c r="U110" s="479"/>
      <c r="V110" s="1266"/>
      <c r="W110" s="1210"/>
      <c r="X110" s="1211"/>
      <c r="Y110" s="1211"/>
      <c r="Z110" s="1211"/>
      <c r="AA110" s="1212"/>
      <c r="AB110" s="1226"/>
      <c r="AC110" s="1210"/>
      <c r="AD110" s="1211"/>
      <c r="AE110" s="1211"/>
      <c r="AF110" s="1211"/>
      <c r="AG110" s="1211"/>
      <c r="AH110" s="1231"/>
      <c r="AI110" s="430"/>
      <c r="AJ110" s="65"/>
      <c r="AL110" s="469"/>
      <c r="AM110" s="445"/>
      <c r="AN110" s="445"/>
      <c r="AO110" s="445"/>
      <c r="AP110" s="479"/>
      <c r="AQ110" s="1210"/>
      <c r="AR110" s="1211"/>
      <c r="AS110" s="1212"/>
    </row>
    <row r="111" spans="1:70" ht="12.75" customHeight="1">
      <c r="E111" s="4246"/>
      <c r="F111" s="3529" t="s">
        <v>584</v>
      </c>
      <c r="G111" s="455"/>
      <c r="H111" s="427"/>
      <c r="I111" s="427"/>
      <c r="J111" s="427"/>
      <c r="K111" s="1133"/>
      <c r="L111" s="486">
        <v>1849.70004358712</v>
      </c>
      <c r="M111" s="485">
        <v>49167</v>
      </c>
      <c r="N111" s="485">
        <v>-12534</v>
      </c>
      <c r="O111" s="485"/>
      <c r="P111" s="487">
        <v>200000</v>
      </c>
      <c r="Q111" s="444">
        <v>201178</v>
      </c>
      <c r="R111" s="485">
        <v>201054.00000000003</v>
      </c>
      <c r="S111" s="485">
        <v>201487.99999999997</v>
      </c>
      <c r="T111" s="485">
        <v>202170</v>
      </c>
      <c r="U111" s="487">
        <v>202480</v>
      </c>
      <c r="V111" s="1266"/>
      <c r="W111" s="486"/>
      <c r="X111" s="485"/>
      <c r="Y111" s="485"/>
      <c r="Z111" s="485"/>
      <c r="AA111" s="487"/>
      <c r="AB111" s="1098"/>
      <c r="AC111" s="294"/>
      <c r="AD111" s="485"/>
      <c r="AE111" s="485"/>
      <c r="AF111" s="485"/>
      <c r="AG111" s="485"/>
      <c r="AH111" s="1232"/>
      <c r="AI111" s="430"/>
      <c r="AJ111"/>
      <c r="AL111" s="455"/>
      <c r="AM111" s="427"/>
      <c r="AN111" s="427"/>
      <c r="AO111" s="427"/>
      <c r="AP111" s="1133"/>
      <c r="AQ111" s="489"/>
      <c r="AR111" s="490"/>
      <c r="AS111" s="491"/>
    </row>
    <row r="112" spans="1:70" ht="12.75" customHeight="1">
      <c r="E112" s="4246"/>
      <c r="F112" s="3529" t="s">
        <v>585</v>
      </c>
      <c r="G112" s="455"/>
      <c r="H112" s="427"/>
      <c r="I112" s="427"/>
      <c r="J112" s="427"/>
      <c r="K112" s="1133"/>
      <c r="L112" s="486">
        <v>0</v>
      </c>
      <c r="M112" s="485"/>
      <c r="N112" s="485"/>
      <c r="O112" s="485"/>
      <c r="P112" s="487"/>
      <c r="Q112" s="444"/>
      <c r="R112" s="485"/>
      <c r="S112" s="485"/>
      <c r="T112" s="485"/>
      <c r="U112" s="487"/>
      <c r="V112" s="1266"/>
      <c r="W112" s="486"/>
      <c r="X112" s="485"/>
      <c r="Y112" s="485"/>
      <c r="Z112" s="485"/>
      <c r="AA112" s="487"/>
      <c r="AB112" s="1098"/>
      <c r="AC112" s="294"/>
      <c r="AD112" s="485"/>
      <c r="AE112" s="485"/>
      <c r="AF112" s="485"/>
      <c r="AG112" s="485"/>
      <c r="AH112" s="1232"/>
      <c r="AI112" s="430"/>
      <c r="AJ112"/>
      <c r="AL112" s="455"/>
      <c r="AM112" s="427"/>
      <c r="AN112" s="427"/>
      <c r="AO112" s="427"/>
      <c r="AP112" s="1133"/>
      <c r="AQ112" s="489"/>
      <c r="AR112" s="490"/>
      <c r="AS112" s="491"/>
    </row>
    <row r="113" spans="5:71" ht="12.75" customHeight="1">
      <c r="E113" s="4246"/>
      <c r="F113" s="3529" t="s">
        <v>604</v>
      </c>
      <c r="G113" s="455"/>
      <c r="H113" s="427"/>
      <c r="I113" s="427"/>
      <c r="J113" s="427"/>
      <c r="K113" s="1133"/>
      <c r="L113" s="486">
        <v>0</v>
      </c>
      <c r="M113" s="485"/>
      <c r="N113" s="485"/>
      <c r="O113" s="485"/>
      <c r="P113" s="487"/>
      <c r="Q113" s="444"/>
      <c r="R113" s="485"/>
      <c r="S113" s="485"/>
      <c r="T113" s="485"/>
      <c r="U113" s="487"/>
      <c r="V113" s="1266"/>
      <c r="W113" s="486"/>
      <c r="X113" s="485"/>
      <c r="Y113" s="485"/>
      <c r="Z113" s="485"/>
      <c r="AA113" s="487"/>
      <c r="AB113" s="1098"/>
      <c r="AC113" s="294"/>
      <c r="AD113" s="485"/>
      <c r="AE113" s="485"/>
      <c r="AF113" s="485"/>
      <c r="AG113" s="485"/>
      <c r="AH113" s="1232"/>
      <c r="AI113" s="430"/>
      <c r="AJ113"/>
      <c r="AL113" s="455"/>
      <c r="AM113" s="427"/>
      <c r="AN113" s="427"/>
      <c r="AO113" s="427"/>
      <c r="AP113" s="1133"/>
      <c r="AQ113" s="489"/>
      <c r="AR113" s="490"/>
      <c r="AS113" s="491"/>
    </row>
    <row r="114" spans="5:71" ht="12.75" customHeight="1">
      <c r="E114" s="4246"/>
      <c r="F114" s="3530" t="s">
        <v>605</v>
      </c>
      <c r="G114" s="455"/>
      <c r="H114" s="427"/>
      <c r="I114" s="427"/>
      <c r="J114" s="427"/>
      <c r="K114" s="1133"/>
      <c r="L114" s="384">
        <v>1849.70004358712</v>
      </c>
      <c r="M114" s="385">
        <v>49167</v>
      </c>
      <c r="N114" s="385">
        <v>-12534</v>
      </c>
      <c r="O114" s="385">
        <f t="shared" ref="O114:AA114" si="114">SUM(O111:O113)</f>
        <v>0</v>
      </c>
      <c r="P114" s="477">
        <f t="shared" si="114"/>
        <v>200000</v>
      </c>
      <c r="Q114" s="474">
        <f t="shared" si="114"/>
        <v>201178</v>
      </c>
      <c r="R114" s="385">
        <f t="shared" si="114"/>
        <v>201054.00000000003</v>
      </c>
      <c r="S114" s="385">
        <f t="shared" si="114"/>
        <v>201487.99999999997</v>
      </c>
      <c r="T114" s="385">
        <f t="shared" si="114"/>
        <v>202170</v>
      </c>
      <c r="U114" s="477">
        <f t="shared" si="114"/>
        <v>202480</v>
      </c>
      <c r="V114" s="1266"/>
      <c r="W114" s="384">
        <f t="shared" si="114"/>
        <v>0</v>
      </c>
      <c r="X114" s="385">
        <f t="shared" si="114"/>
        <v>0</v>
      </c>
      <c r="Y114" s="385">
        <f t="shared" si="114"/>
        <v>0</v>
      </c>
      <c r="Z114" s="385">
        <f t="shared" si="114"/>
        <v>0</v>
      </c>
      <c r="AA114" s="477">
        <f t="shared" si="114"/>
        <v>0</v>
      </c>
      <c r="AB114" s="1085" t="e">
        <f>SUM(G114:K114)/SUM(W114:AA114)-1</f>
        <v>#DIV/0!</v>
      </c>
      <c r="AC114" s="296">
        <v>0</v>
      </c>
      <c r="AD114" s="385">
        <v>0</v>
      </c>
      <c r="AE114" s="385">
        <v>0</v>
      </c>
      <c r="AF114" s="385"/>
      <c r="AG114" s="385">
        <v>0</v>
      </c>
      <c r="AH114" s="1089" t="e">
        <f>SUM(L114:P114)/SUM(AC114:AG114)-1</f>
        <v>#DIV/0!</v>
      </c>
      <c r="AI114" s="430"/>
      <c r="AJ114"/>
      <c r="AL114" s="455"/>
      <c r="AM114" s="427"/>
      <c r="AN114" s="427"/>
      <c r="AO114" s="427"/>
      <c r="AP114" s="1133"/>
      <c r="AQ114" s="384">
        <f>SUM(AQ111:AQ113)</f>
        <v>0</v>
      </c>
      <c r="AR114" s="385">
        <f t="shared" ref="AR114:AS114" si="115">SUM(AR111:AR113)</f>
        <v>0</v>
      </c>
      <c r="AS114" s="477">
        <f t="shared" si="115"/>
        <v>0</v>
      </c>
    </row>
    <row r="115" spans="5:71" ht="12.75" customHeight="1">
      <c r="E115" s="4246"/>
      <c r="F115" s="3531" t="s">
        <v>609</v>
      </c>
      <c r="G115" s="1032"/>
      <c r="H115" s="446"/>
      <c r="I115" s="446"/>
      <c r="J115" s="446"/>
      <c r="K115" s="1033"/>
      <c r="L115" s="457">
        <v>49.8799564128825</v>
      </c>
      <c r="M115" s="503">
        <v>2868.49</v>
      </c>
      <c r="N115" s="503">
        <v>0</v>
      </c>
      <c r="O115" s="503">
        <f t="shared" ref="O115:U115" si="116">O114*0.06</f>
        <v>0</v>
      </c>
      <c r="P115" s="317">
        <f t="shared" si="116"/>
        <v>12000</v>
      </c>
      <c r="Q115" s="1047">
        <f t="shared" si="116"/>
        <v>12070.68</v>
      </c>
      <c r="R115" s="488">
        <f t="shared" si="116"/>
        <v>12063.240000000002</v>
      </c>
      <c r="S115" s="488">
        <f t="shared" si="116"/>
        <v>12089.279999999997</v>
      </c>
      <c r="T115" s="488">
        <f t="shared" si="116"/>
        <v>12130.199999999999</v>
      </c>
      <c r="U115" s="317">
        <f t="shared" si="116"/>
        <v>12148.8</v>
      </c>
      <c r="V115" s="1266"/>
      <c r="W115" s="486"/>
      <c r="X115" s="485"/>
      <c r="Y115" s="485"/>
      <c r="Z115" s="485"/>
      <c r="AA115" s="487"/>
      <c r="AB115" s="1098" t="e">
        <f t="shared" ref="AB115:AB120" si="117">SUM(G115:K115)/SUM(W115:AA115)-1</f>
        <v>#DIV/0!</v>
      </c>
      <c r="AC115" s="1236"/>
      <c r="AD115" s="503"/>
      <c r="AE115" s="503"/>
      <c r="AF115" s="503"/>
      <c r="AG115" s="503"/>
      <c r="AH115" s="1232" t="e">
        <f t="shared" ref="AH115:AH120" si="118">SUM(L115:P115)/SUM(AC115:AG115)-1</f>
        <v>#DIV/0!</v>
      </c>
      <c r="AI115" s="430"/>
      <c r="AJ115"/>
      <c r="AL115" s="1797"/>
      <c r="AM115" s="1798"/>
      <c r="AN115" s="1798"/>
      <c r="AO115" s="1798"/>
      <c r="AP115" s="1799"/>
      <c r="AQ115" s="536"/>
      <c r="AR115" s="537"/>
      <c r="AS115" s="573"/>
    </row>
    <row r="116" spans="5:71" ht="12.75" customHeight="1">
      <c r="E116" s="4246"/>
      <c r="F116" s="3532" t="s">
        <v>607</v>
      </c>
      <c r="G116" s="1032"/>
      <c r="H116" s="446"/>
      <c r="I116" s="446"/>
      <c r="J116" s="446"/>
      <c r="K116" s="1033"/>
      <c r="L116" s="486">
        <v>0</v>
      </c>
      <c r="M116" s="485"/>
      <c r="N116" s="485"/>
      <c r="O116" s="485"/>
      <c r="P116" s="487"/>
      <c r="Q116" s="444"/>
      <c r="R116" s="485"/>
      <c r="S116" s="485"/>
      <c r="T116" s="485"/>
      <c r="U116" s="487"/>
      <c r="V116" s="1266"/>
      <c r="W116" s="486"/>
      <c r="X116" s="485"/>
      <c r="Y116" s="485"/>
      <c r="Z116" s="485"/>
      <c r="AA116" s="487"/>
      <c r="AB116" s="1098" t="e">
        <f t="shared" si="117"/>
        <v>#DIV/0!</v>
      </c>
      <c r="AC116" s="294"/>
      <c r="AD116" s="485"/>
      <c r="AE116" s="485"/>
      <c r="AF116" s="485"/>
      <c r="AG116" s="485"/>
      <c r="AH116" s="1232" t="e">
        <f t="shared" si="118"/>
        <v>#DIV/0!</v>
      </c>
      <c r="AI116" s="430"/>
      <c r="AJ116"/>
      <c r="AL116" s="1797"/>
      <c r="AM116" s="1798"/>
      <c r="AN116" s="1798"/>
      <c r="AO116" s="1798"/>
      <c r="AP116" s="1799"/>
      <c r="AQ116" s="489"/>
      <c r="AR116" s="490"/>
      <c r="AS116" s="491"/>
    </row>
    <row r="117" spans="5:71" ht="12.75" customHeight="1">
      <c r="E117" s="4246"/>
      <c r="F117" s="3533" t="s">
        <v>610</v>
      </c>
      <c r="G117" s="473">
        <f>SUM(G115:G116)</f>
        <v>0</v>
      </c>
      <c r="H117" s="447">
        <f>SUM(H115:H116)</f>
        <v>0</v>
      </c>
      <c r="I117" s="447">
        <f>SUM(I115:I116)</f>
        <v>0</v>
      </c>
      <c r="J117" s="447">
        <f>SUM(J115:J116)</f>
        <v>0</v>
      </c>
      <c r="K117" s="468">
        <f>SUM(K115:K116)</f>
        <v>0</v>
      </c>
      <c r="L117" s="1213">
        <v>1899.5800000000024</v>
      </c>
      <c r="M117" s="1214">
        <v>52035.49</v>
      </c>
      <c r="N117" s="1214">
        <v>-12534</v>
      </c>
      <c r="O117" s="1214">
        <f>SUM(O114:O116)</f>
        <v>0</v>
      </c>
      <c r="P117" s="1214">
        <f t="shared" ref="P117:U117" si="119">SUM(P114:P116)</f>
        <v>212000</v>
      </c>
      <c r="Q117" s="1214">
        <f t="shared" si="119"/>
        <v>213248.68</v>
      </c>
      <c r="R117" s="1214">
        <f t="shared" si="119"/>
        <v>213117.24000000002</v>
      </c>
      <c r="S117" s="1214">
        <f t="shared" si="119"/>
        <v>213577.27999999997</v>
      </c>
      <c r="T117" s="1214">
        <f t="shared" si="119"/>
        <v>214300.2</v>
      </c>
      <c r="U117" s="1214">
        <f t="shared" si="119"/>
        <v>214628.8</v>
      </c>
      <c r="V117" s="1266"/>
      <c r="W117" s="1213">
        <f>SUM(W115:W116)</f>
        <v>0</v>
      </c>
      <c r="X117" s="1214">
        <f>SUM(X115:X116)</f>
        <v>0</v>
      </c>
      <c r="Y117" s="1214">
        <f>SUM(Y115:Y116)</f>
        <v>0</v>
      </c>
      <c r="Z117" s="1214">
        <f>SUM(Z115:Z116)</f>
        <v>0</v>
      </c>
      <c r="AA117" s="1215">
        <f>SUM(AA115:AA116)</f>
        <v>0</v>
      </c>
      <c r="AB117" s="1227" t="e">
        <f t="shared" si="117"/>
        <v>#DIV/0!</v>
      </c>
      <c r="AC117" s="1213">
        <f>SUM(AC115:AC116)</f>
        <v>0</v>
      </c>
      <c r="AD117" s="1214">
        <f>SUM(AD115:AD116)</f>
        <v>0</v>
      </c>
      <c r="AE117" s="1214">
        <f>SUM(AE115:AE116)</f>
        <v>0</v>
      </c>
      <c r="AF117" s="1214">
        <f>SUM(AF115:AF116)</f>
        <v>0</v>
      </c>
      <c r="AG117" s="1214">
        <f>SUM(AG115:AG116)</f>
        <v>0</v>
      </c>
      <c r="AH117" s="1233" t="e">
        <f t="shared" si="118"/>
        <v>#DIV/0!</v>
      </c>
      <c r="AI117" s="430"/>
      <c r="AJ117"/>
      <c r="AL117" s="473">
        <f>SUM(AL115:AL116)</f>
        <v>0</v>
      </c>
      <c r="AM117" s="447">
        <f t="shared" ref="AM117:AS117" si="120">SUM(AM115:AM116)</f>
        <v>0</v>
      </c>
      <c r="AN117" s="447">
        <f t="shared" si="120"/>
        <v>0</v>
      </c>
      <c r="AO117" s="447">
        <f t="shared" si="120"/>
        <v>0</v>
      </c>
      <c r="AP117" s="468">
        <f t="shared" si="120"/>
        <v>0</v>
      </c>
      <c r="AQ117" s="1213">
        <f t="shared" si="120"/>
        <v>0</v>
      </c>
      <c r="AR117" s="1214">
        <f t="shared" si="120"/>
        <v>0</v>
      </c>
      <c r="AS117" s="1215">
        <f t="shared" si="120"/>
        <v>0</v>
      </c>
    </row>
    <row r="118" spans="5:71" ht="12.75" customHeight="1">
      <c r="E118" s="4246"/>
      <c r="F118" s="3534" t="s">
        <v>35</v>
      </c>
      <c r="G118" s="472"/>
      <c r="H118" s="448"/>
      <c r="I118" s="448"/>
      <c r="J118" s="448"/>
      <c r="K118" s="467"/>
      <c r="L118" s="1216">
        <v>0</v>
      </c>
      <c r="M118" s="1217"/>
      <c r="N118" s="1217"/>
      <c r="O118" s="1217"/>
      <c r="P118" s="1218">
        <f t="shared" ref="P118:U118" ca="1" si="121">SUMIF($F$73:$AH$90,"Less customer contributions",O91:O104)</f>
        <v>0</v>
      </c>
      <c r="Q118" s="1695">
        <f t="shared" ca="1" si="121"/>
        <v>0</v>
      </c>
      <c r="R118" s="448">
        <f t="shared" ca="1" si="121"/>
        <v>0</v>
      </c>
      <c r="S118" s="448">
        <f t="shared" ca="1" si="121"/>
        <v>0</v>
      </c>
      <c r="T118" s="448">
        <f t="shared" ca="1" si="121"/>
        <v>0</v>
      </c>
      <c r="U118" s="467">
        <f t="shared" ca="1" si="121"/>
        <v>0</v>
      </c>
      <c r="V118" s="1266"/>
      <c r="W118" s="1216"/>
      <c r="X118" s="1217"/>
      <c r="Y118" s="1217"/>
      <c r="Z118" s="1217"/>
      <c r="AA118" s="1218"/>
      <c r="AB118" s="1228" t="e">
        <f t="shared" si="117"/>
        <v>#DIV/0!</v>
      </c>
      <c r="AC118" s="1216"/>
      <c r="AD118" s="1217"/>
      <c r="AE118" s="1217"/>
      <c r="AF118" s="1217"/>
      <c r="AG118" s="1217"/>
      <c r="AH118" s="1234" t="e">
        <f t="shared" ca="1" si="118"/>
        <v>#DIV/0!</v>
      </c>
      <c r="AI118" s="430"/>
      <c r="AJ118"/>
      <c r="AL118" s="1800"/>
      <c r="AM118" s="1801"/>
      <c r="AN118" s="1801"/>
      <c r="AO118" s="1801"/>
      <c r="AP118" s="1802"/>
      <c r="AQ118" s="1803"/>
      <c r="AR118" s="1804"/>
      <c r="AS118" s="1805"/>
    </row>
    <row r="119" spans="5:71" ht="13.5" customHeight="1" thickBot="1">
      <c r="E119" s="4247"/>
      <c r="F119" s="3535" t="s">
        <v>611</v>
      </c>
      <c r="G119" s="458">
        <f t="shared" ref="G119:U119" si="122">G117-G118</f>
        <v>0</v>
      </c>
      <c r="H119" s="449">
        <f t="shared" si="122"/>
        <v>0</v>
      </c>
      <c r="I119" s="449">
        <f t="shared" si="122"/>
        <v>0</v>
      </c>
      <c r="J119" s="449">
        <f t="shared" si="122"/>
        <v>0</v>
      </c>
      <c r="K119" s="471">
        <f t="shared" si="122"/>
        <v>0</v>
      </c>
      <c r="L119" s="1219">
        <v>1899.5800000000024</v>
      </c>
      <c r="M119" s="1220">
        <v>52035.49</v>
      </c>
      <c r="N119" s="1220">
        <v>-12534</v>
      </c>
      <c r="O119" s="1220">
        <f t="shared" si="122"/>
        <v>0</v>
      </c>
      <c r="P119" s="1221">
        <f t="shared" ca="1" si="122"/>
        <v>212000</v>
      </c>
      <c r="Q119" s="452">
        <f t="shared" ca="1" si="122"/>
        <v>213248.68</v>
      </c>
      <c r="R119" s="449">
        <f t="shared" ca="1" si="122"/>
        <v>213117.24000000002</v>
      </c>
      <c r="S119" s="449">
        <f t="shared" ca="1" si="122"/>
        <v>213577.27999999997</v>
      </c>
      <c r="T119" s="449">
        <f t="shared" ca="1" si="122"/>
        <v>214300.2</v>
      </c>
      <c r="U119" s="471">
        <f t="shared" ca="1" si="122"/>
        <v>214628.8</v>
      </c>
      <c r="V119" s="1266"/>
      <c r="W119" s="1219">
        <f>W117-W118</f>
        <v>0</v>
      </c>
      <c r="X119" s="1220">
        <f>X117-X118</f>
        <v>0</v>
      </c>
      <c r="Y119" s="1220">
        <f>Y117-Y118</f>
        <v>0</v>
      </c>
      <c r="Z119" s="1220">
        <f>Z117-Z118</f>
        <v>0</v>
      </c>
      <c r="AA119" s="1221">
        <f>AA117-AA118</f>
        <v>0</v>
      </c>
      <c r="AB119" s="1229" t="e">
        <f t="shared" si="117"/>
        <v>#DIV/0!</v>
      </c>
      <c r="AC119" s="1219">
        <f>AC117-AC118</f>
        <v>0</v>
      </c>
      <c r="AD119" s="1220">
        <f>AD117-AD118</f>
        <v>0</v>
      </c>
      <c r="AE119" s="1220">
        <f>AE117-AE118</f>
        <v>0</v>
      </c>
      <c r="AF119" s="1220"/>
      <c r="AG119" s="1220">
        <f>AG117-AG118</f>
        <v>0</v>
      </c>
      <c r="AH119" s="1235" t="e">
        <f t="shared" ca="1" si="118"/>
        <v>#DIV/0!</v>
      </c>
      <c r="AI119" s="430"/>
      <c r="AJ119"/>
      <c r="AL119" s="458">
        <f t="shared" ref="AL119:AS119" si="123">AL117-AL118</f>
        <v>0</v>
      </c>
      <c r="AM119" s="449">
        <f t="shared" si="123"/>
        <v>0</v>
      </c>
      <c r="AN119" s="449">
        <f t="shared" si="123"/>
        <v>0</v>
      </c>
      <c r="AO119" s="449">
        <f t="shared" si="123"/>
        <v>0</v>
      </c>
      <c r="AP119" s="471">
        <f t="shared" si="123"/>
        <v>0</v>
      </c>
      <c r="AQ119" s="1219">
        <f t="shared" si="123"/>
        <v>0</v>
      </c>
      <c r="AR119" s="1220">
        <f t="shared" si="123"/>
        <v>0</v>
      </c>
      <c r="AS119" s="1221">
        <f t="shared" si="123"/>
        <v>0</v>
      </c>
    </row>
    <row r="120" spans="5:71" ht="12.75" customHeight="1">
      <c r="E120" s="4245" t="s">
        <v>359</v>
      </c>
      <c r="F120" s="3527" t="s">
        <v>116</v>
      </c>
      <c r="G120" s="466"/>
      <c r="H120" s="450"/>
      <c r="I120" s="450"/>
      <c r="J120" s="450"/>
      <c r="K120" s="478"/>
      <c r="L120" s="1222"/>
      <c r="M120" s="1223"/>
      <c r="N120" s="1223"/>
      <c r="O120" s="1223"/>
      <c r="P120" s="487">
        <v>367.4</v>
      </c>
      <c r="Q120" s="444">
        <v>367.4</v>
      </c>
      <c r="R120" s="485">
        <v>367.4</v>
      </c>
      <c r="S120" s="485">
        <v>367.4</v>
      </c>
      <c r="T120" s="485">
        <v>367.4</v>
      </c>
      <c r="U120" s="487">
        <v>367.4</v>
      </c>
      <c r="V120" s="1266"/>
      <c r="W120" s="1222"/>
      <c r="X120" s="1223"/>
      <c r="Y120" s="1223"/>
      <c r="Z120" s="1223"/>
      <c r="AA120" s="1224"/>
      <c r="AB120" s="1225" t="e">
        <f t="shared" si="117"/>
        <v>#DIV/0!</v>
      </c>
      <c r="AC120" s="1222"/>
      <c r="AD120" s="1223"/>
      <c r="AE120" s="1223"/>
      <c r="AF120" s="1223"/>
      <c r="AG120" s="1223"/>
      <c r="AH120" s="1230" t="e">
        <f t="shared" si="118"/>
        <v>#DIV/0!</v>
      </c>
      <c r="AI120" s="430"/>
      <c r="AJ120"/>
      <c r="AL120" s="1806"/>
      <c r="AM120" s="1807"/>
      <c r="AN120" s="1807"/>
      <c r="AO120" s="1807"/>
      <c r="AP120" s="1808"/>
      <c r="AQ120" s="1809"/>
      <c r="AR120" s="1810"/>
      <c r="AS120" s="1811"/>
    </row>
    <row r="121" spans="5:71" ht="12.75" customHeight="1">
      <c r="E121" s="4246"/>
      <c r="F121" s="460" t="s">
        <v>624</v>
      </c>
      <c r="G121" s="469"/>
      <c r="H121" s="445"/>
      <c r="I121" s="445"/>
      <c r="J121" s="445"/>
      <c r="K121" s="479"/>
      <c r="L121" s="1210"/>
      <c r="M121" s="1211"/>
      <c r="N121" s="1211"/>
      <c r="O121" s="1211"/>
      <c r="P121" s="1212"/>
      <c r="Q121" s="475"/>
      <c r="R121" s="445"/>
      <c r="S121" s="445"/>
      <c r="T121" s="445"/>
      <c r="U121" s="479"/>
      <c r="V121" s="1266"/>
      <c r="W121" s="1210"/>
      <c r="X121" s="1211"/>
      <c r="Y121" s="1211"/>
      <c r="Z121" s="1211"/>
      <c r="AA121" s="1212"/>
      <c r="AB121" s="1226"/>
      <c r="AC121" s="1210"/>
      <c r="AD121" s="1211"/>
      <c r="AE121" s="1211"/>
      <c r="AF121" s="1211"/>
      <c r="AG121" s="1211"/>
      <c r="AH121" s="1231"/>
      <c r="AI121" s="430"/>
      <c r="AJ121"/>
      <c r="AL121" s="469"/>
      <c r="AM121" s="445"/>
      <c r="AN121" s="445"/>
      <c r="AO121" s="445"/>
      <c r="AP121" s="479"/>
      <c r="AQ121" s="1210"/>
      <c r="AR121" s="1211"/>
      <c r="AS121" s="1212"/>
    </row>
    <row r="122" spans="5:71" ht="12.75" customHeight="1">
      <c r="E122" s="4246"/>
      <c r="F122" s="459" t="s">
        <v>584</v>
      </c>
      <c r="G122" s="455"/>
      <c r="H122" s="427"/>
      <c r="I122" s="427"/>
      <c r="J122" s="427"/>
      <c r="K122" s="1133"/>
      <c r="L122" s="486"/>
      <c r="M122" s="485"/>
      <c r="N122" s="485"/>
      <c r="O122" s="485"/>
      <c r="P122" s="487">
        <v>1144234.2339999999</v>
      </c>
      <c r="Q122" s="444">
        <v>1150973.7736382599</v>
      </c>
      <c r="R122" s="485">
        <v>1150264.3484131801</v>
      </c>
      <c r="S122" s="485">
        <v>1152747.3367009598</v>
      </c>
      <c r="T122" s="485">
        <v>1156649.1754389</v>
      </c>
      <c r="U122" s="487">
        <v>1158422.7385016</v>
      </c>
      <c r="V122" s="1266"/>
      <c r="W122" s="486"/>
      <c r="X122" s="485"/>
      <c r="Y122" s="485"/>
      <c r="Z122" s="485"/>
      <c r="AA122" s="487"/>
      <c r="AB122" s="1098"/>
      <c r="AC122" s="486"/>
      <c r="AD122" s="485"/>
      <c r="AE122" s="485"/>
      <c r="AF122" s="485"/>
      <c r="AG122" s="485"/>
      <c r="AH122" s="1232"/>
      <c r="AI122" s="430"/>
      <c r="AJ122"/>
      <c r="AL122" s="455"/>
      <c r="AM122" s="427"/>
      <c r="AN122" s="427"/>
      <c r="AO122" s="427"/>
      <c r="AP122" s="1133"/>
      <c r="AQ122" s="489"/>
      <c r="AR122" s="490"/>
      <c r="AS122" s="491"/>
    </row>
    <row r="123" spans="5:71" ht="12.75" customHeight="1">
      <c r="E123" s="4246"/>
      <c r="F123" s="459" t="s">
        <v>585</v>
      </c>
      <c r="G123" s="455"/>
      <c r="H123" s="427"/>
      <c r="I123" s="427"/>
      <c r="J123" s="427"/>
      <c r="K123" s="1133"/>
      <c r="L123" s="486"/>
      <c r="M123" s="485"/>
      <c r="N123" s="485"/>
      <c r="O123" s="485"/>
      <c r="P123" s="487"/>
      <c r="Q123" s="444"/>
      <c r="R123" s="485"/>
      <c r="S123" s="485"/>
      <c r="T123" s="485"/>
      <c r="U123" s="487"/>
      <c r="V123" s="1266"/>
      <c r="W123" s="486"/>
      <c r="X123" s="485"/>
      <c r="Y123" s="485"/>
      <c r="Z123" s="485"/>
      <c r="AA123" s="487"/>
      <c r="AB123" s="1098"/>
      <c r="AC123" s="486"/>
      <c r="AD123" s="485"/>
      <c r="AE123" s="485"/>
      <c r="AF123" s="485"/>
      <c r="AG123" s="485"/>
      <c r="AH123" s="1232"/>
      <c r="AI123" s="430"/>
      <c r="AJ123"/>
      <c r="AL123" s="455"/>
      <c r="AM123" s="427"/>
      <c r="AN123" s="427"/>
      <c r="AO123" s="427"/>
      <c r="AP123" s="1133"/>
      <c r="AQ123" s="489"/>
      <c r="AR123" s="490"/>
      <c r="AS123" s="491"/>
    </row>
    <row r="124" spans="5:71" ht="12.75" customHeight="1">
      <c r="E124" s="4246"/>
      <c r="F124" s="459" t="s">
        <v>604</v>
      </c>
      <c r="G124" s="455"/>
      <c r="H124" s="427"/>
      <c r="I124" s="427"/>
      <c r="J124" s="427"/>
      <c r="K124" s="1133"/>
      <c r="L124" s="486"/>
      <c r="M124" s="485"/>
      <c r="N124" s="485"/>
      <c r="O124" s="485"/>
      <c r="P124" s="487"/>
      <c r="Q124" s="444"/>
      <c r="R124" s="485"/>
      <c r="S124" s="485"/>
      <c r="T124" s="485"/>
      <c r="U124" s="487"/>
      <c r="V124" s="1266"/>
      <c r="W124" s="486"/>
      <c r="X124" s="485"/>
      <c r="Y124" s="485"/>
      <c r="Z124" s="485"/>
      <c r="AA124" s="487"/>
      <c r="AB124" s="1098"/>
      <c r="AC124" s="486"/>
      <c r="AD124" s="485"/>
      <c r="AE124" s="485"/>
      <c r="AF124" s="485"/>
      <c r="AG124" s="485"/>
      <c r="AH124" s="1232"/>
      <c r="AI124" s="430"/>
      <c r="AJ124"/>
      <c r="AL124" s="455"/>
      <c r="AM124" s="427"/>
      <c r="AN124" s="427"/>
      <c r="AO124" s="427"/>
      <c r="AP124" s="1133"/>
      <c r="AQ124" s="489"/>
      <c r="AR124" s="490"/>
      <c r="AS124" s="491"/>
    </row>
    <row r="125" spans="5:71" ht="12.75" customHeight="1">
      <c r="E125" s="4246"/>
      <c r="F125" s="1466" t="s">
        <v>605</v>
      </c>
      <c r="G125" s="455"/>
      <c r="H125" s="427"/>
      <c r="I125" s="427"/>
      <c r="J125" s="427"/>
      <c r="K125" s="1133"/>
      <c r="L125" s="384">
        <f>SUM(L122:L124)</f>
        <v>0</v>
      </c>
      <c r="M125" s="385">
        <f t="shared" ref="M125:AA125" si="124">SUM(M122:M124)</f>
        <v>0</v>
      </c>
      <c r="N125" s="385">
        <f>SUM(N122:N124)</f>
        <v>0</v>
      </c>
      <c r="O125" s="385">
        <f t="shared" si="124"/>
        <v>0</v>
      </c>
      <c r="P125" s="477">
        <f t="shared" si="124"/>
        <v>1144234.2339999999</v>
      </c>
      <c r="Q125" s="474">
        <f t="shared" si="124"/>
        <v>1150973.7736382599</v>
      </c>
      <c r="R125" s="385">
        <f t="shared" si="124"/>
        <v>1150264.3484131801</v>
      </c>
      <c r="S125" s="385">
        <f t="shared" si="124"/>
        <v>1152747.3367009598</v>
      </c>
      <c r="T125" s="385">
        <f t="shared" si="124"/>
        <v>1156649.1754389</v>
      </c>
      <c r="U125" s="477">
        <f t="shared" si="124"/>
        <v>1158422.7385016</v>
      </c>
      <c r="V125" s="1266"/>
      <c r="W125" s="384">
        <f t="shared" si="124"/>
        <v>0</v>
      </c>
      <c r="X125" s="385">
        <f t="shared" si="124"/>
        <v>0</v>
      </c>
      <c r="Y125" s="385">
        <f t="shared" si="124"/>
        <v>0</v>
      </c>
      <c r="Z125" s="385">
        <f t="shared" si="124"/>
        <v>0</v>
      </c>
      <c r="AA125" s="477">
        <f t="shared" si="124"/>
        <v>0</v>
      </c>
      <c r="AB125" s="1085" t="e">
        <f t="shared" ref="AB125:AB130" si="125">SUM(G125:K125)/SUM(W125:AA125)-1</f>
        <v>#DIV/0!</v>
      </c>
      <c r="AC125" s="384">
        <v>0</v>
      </c>
      <c r="AD125" s="385">
        <v>0</v>
      </c>
      <c r="AE125" s="385">
        <v>0</v>
      </c>
      <c r="AF125" s="385"/>
      <c r="AG125" s="385">
        <v>0</v>
      </c>
      <c r="AH125" s="1089" t="e">
        <f t="shared" ref="AH125:AH130" si="126">SUM(L125:P125)/SUM(AC125:AG125)-1</f>
        <v>#DIV/0!</v>
      </c>
      <c r="AI125" s="430"/>
      <c r="AJ125"/>
      <c r="AL125" s="455"/>
      <c r="AM125" s="427"/>
      <c r="AN125" s="427"/>
      <c r="AO125" s="427"/>
      <c r="AP125" s="1133"/>
      <c r="AQ125" s="384">
        <f>SUM(AQ122:AQ124)</f>
        <v>0</v>
      </c>
      <c r="AR125" s="385">
        <f t="shared" ref="AR125:AS125" si="127">SUM(AR122:AR124)</f>
        <v>0</v>
      </c>
      <c r="AS125" s="477">
        <f t="shared" si="127"/>
        <v>0</v>
      </c>
    </row>
    <row r="126" spans="5:71" ht="12.75" customHeight="1">
      <c r="E126" s="4246"/>
      <c r="F126" s="1479" t="s">
        <v>609</v>
      </c>
      <c r="G126" s="486"/>
      <c r="H126" s="485"/>
      <c r="I126" s="485"/>
      <c r="J126" s="485"/>
      <c r="K126" s="487"/>
      <c r="L126" s="457"/>
      <c r="M126" s="503"/>
      <c r="N126" s="503"/>
      <c r="O126" s="503">
        <f t="shared" ref="O126:U126" si="128">O125*0.06</f>
        <v>0</v>
      </c>
      <c r="P126" s="317">
        <f t="shared" si="128"/>
        <v>68654.054039999988</v>
      </c>
      <c r="Q126" s="1047">
        <f t="shared" si="128"/>
        <v>69058.426418295596</v>
      </c>
      <c r="R126" s="488">
        <f t="shared" si="128"/>
        <v>69015.86090479081</v>
      </c>
      <c r="S126" s="488">
        <f t="shared" si="128"/>
        <v>69164.840202057589</v>
      </c>
      <c r="T126" s="488">
        <f t="shared" si="128"/>
        <v>69398.950526333996</v>
      </c>
      <c r="U126" s="317">
        <f t="shared" si="128"/>
        <v>69505.364310096003</v>
      </c>
      <c r="V126" s="1266"/>
      <c r="W126" s="457"/>
      <c r="X126" s="503"/>
      <c r="Y126" s="503"/>
      <c r="Z126" s="503"/>
      <c r="AA126" s="463"/>
      <c r="AB126" s="1225" t="e">
        <f t="shared" si="125"/>
        <v>#DIV/0!</v>
      </c>
      <c r="AC126" s="457"/>
      <c r="AD126" s="503"/>
      <c r="AE126" s="503"/>
      <c r="AF126" s="503"/>
      <c r="AG126" s="503"/>
      <c r="AH126" s="1230" t="e">
        <f t="shared" si="126"/>
        <v>#DIV/0!</v>
      </c>
      <c r="AI126" s="430"/>
      <c r="AJ126"/>
      <c r="AL126" s="489"/>
      <c r="AM126" s="490"/>
      <c r="AN126" s="490"/>
      <c r="AO126" s="490"/>
      <c r="AP126" s="491"/>
      <c r="AQ126" s="536"/>
      <c r="AR126" s="537"/>
      <c r="AS126" s="573"/>
    </row>
    <row r="127" spans="5:71" ht="12.75" customHeight="1">
      <c r="E127" s="4246"/>
      <c r="F127" s="1469" t="s">
        <v>607</v>
      </c>
      <c r="G127" s="486"/>
      <c r="H127" s="485"/>
      <c r="I127" s="485"/>
      <c r="J127" s="485"/>
      <c r="K127" s="487"/>
      <c r="L127" s="486"/>
      <c r="M127" s="485"/>
      <c r="N127" s="485"/>
      <c r="O127" s="485"/>
      <c r="P127" s="487"/>
      <c r="Q127" s="444"/>
      <c r="R127" s="485"/>
      <c r="S127" s="485"/>
      <c r="T127" s="485"/>
      <c r="U127" s="487"/>
      <c r="V127" s="1266"/>
      <c r="W127" s="486"/>
      <c r="X127" s="485"/>
      <c r="Y127" s="485"/>
      <c r="Z127" s="485"/>
      <c r="AA127" s="487"/>
      <c r="AB127" s="1225" t="e">
        <f t="shared" si="125"/>
        <v>#DIV/0!</v>
      </c>
      <c r="AC127" s="486"/>
      <c r="AD127" s="485"/>
      <c r="AE127" s="485"/>
      <c r="AF127" s="485"/>
      <c r="AG127" s="485"/>
      <c r="AH127" s="1230" t="e">
        <f t="shared" si="126"/>
        <v>#DIV/0!</v>
      </c>
      <c r="AI127" s="430"/>
      <c r="AJ127"/>
      <c r="AL127" s="489"/>
      <c r="AM127" s="490"/>
      <c r="AN127" s="490"/>
      <c r="AO127" s="490"/>
      <c r="AP127" s="491"/>
      <c r="AQ127" s="489"/>
      <c r="AR127" s="490"/>
      <c r="AS127" s="491"/>
    </row>
    <row r="128" spans="5:71" s="501" customFormat="1" ht="12.75" customHeight="1">
      <c r="E128" s="4246"/>
      <c r="F128" s="1475" t="s">
        <v>610</v>
      </c>
      <c r="G128" s="473">
        <f t="shared" ref="G128:U128" si="129">SUM(G126:G127)</f>
        <v>0</v>
      </c>
      <c r="H128" s="447">
        <f t="shared" si="129"/>
        <v>0</v>
      </c>
      <c r="I128" s="447">
        <f t="shared" si="129"/>
        <v>0</v>
      </c>
      <c r="J128" s="447">
        <f t="shared" si="129"/>
        <v>0</v>
      </c>
      <c r="K128" s="468">
        <f t="shared" si="129"/>
        <v>0</v>
      </c>
      <c r="L128" s="1213">
        <f t="shared" si="129"/>
        <v>0</v>
      </c>
      <c r="M128" s="1214">
        <f t="shared" si="129"/>
        <v>0</v>
      </c>
      <c r="N128" s="1214">
        <f t="shared" si="129"/>
        <v>0</v>
      </c>
      <c r="O128" s="1214">
        <f t="shared" si="129"/>
        <v>0</v>
      </c>
      <c r="P128" s="1215">
        <f t="shared" si="129"/>
        <v>68654.054039999988</v>
      </c>
      <c r="Q128" s="462">
        <f t="shared" si="129"/>
        <v>69058.426418295596</v>
      </c>
      <c r="R128" s="447">
        <f t="shared" si="129"/>
        <v>69015.86090479081</v>
      </c>
      <c r="S128" s="447">
        <f t="shared" si="129"/>
        <v>69164.840202057589</v>
      </c>
      <c r="T128" s="447">
        <f t="shared" si="129"/>
        <v>69398.950526333996</v>
      </c>
      <c r="U128" s="468">
        <f t="shared" si="129"/>
        <v>69505.364310096003</v>
      </c>
      <c r="V128" s="1266"/>
      <c r="W128" s="1213">
        <f>SUM(W126:W127)</f>
        <v>0</v>
      </c>
      <c r="X128" s="1214">
        <f>SUM(X126:X127)</f>
        <v>0</v>
      </c>
      <c r="Y128" s="1214">
        <f>SUM(Y126:Y127)</f>
        <v>0</v>
      </c>
      <c r="Z128" s="1214">
        <f>SUM(Z126:Z127)</f>
        <v>0</v>
      </c>
      <c r="AA128" s="1215">
        <f>SUM(AA126:AA127)</f>
        <v>0</v>
      </c>
      <c r="AB128" s="1227" t="e">
        <f t="shared" si="125"/>
        <v>#DIV/0!</v>
      </c>
      <c r="AC128" s="1213">
        <f>SUM(AC126:AC127)</f>
        <v>0</v>
      </c>
      <c r="AD128" s="1214">
        <f>SUM(AD126:AD127)</f>
        <v>0</v>
      </c>
      <c r="AE128" s="1214">
        <f>SUM(AE126:AE127)</f>
        <v>0</v>
      </c>
      <c r="AF128" s="1214">
        <f>SUM(AF126:AF127)</f>
        <v>0</v>
      </c>
      <c r="AG128" s="1214">
        <f>SUM(AG126:AG127)</f>
        <v>0</v>
      </c>
      <c r="AH128" s="1233" t="e">
        <f>SUM(L128:P128)/SUM(AC128:AG128)-1</f>
        <v>#DIV/0!</v>
      </c>
      <c r="AI128" s="430"/>
      <c r="AJ128" s="1266"/>
      <c r="AK128" s="1250"/>
      <c r="AL128" s="473">
        <f>SUM(AL126:AL127)</f>
        <v>0</v>
      </c>
      <c r="AM128" s="447">
        <f t="shared" ref="AM128:AS128" si="130">SUM(AM126:AM127)</f>
        <v>0</v>
      </c>
      <c r="AN128" s="447">
        <f t="shared" si="130"/>
        <v>0</v>
      </c>
      <c r="AO128" s="447">
        <f t="shared" si="130"/>
        <v>0</v>
      </c>
      <c r="AP128" s="468">
        <f t="shared" si="130"/>
        <v>0</v>
      </c>
      <c r="AQ128" s="1213">
        <f t="shared" si="130"/>
        <v>0</v>
      </c>
      <c r="AR128" s="1214">
        <f t="shared" si="130"/>
        <v>0</v>
      </c>
      <c r="AS128" s="1215">
        <f t="shared" si="130"/>
        <v>0</v>
      </c>
      <c r="AT128" s="1250"/>
      <c r="AU128" s="1250"/>
      <c r="AV128" s="1250"/>
      <c r="AW128" s="1250"/>
      <c r="AX128" s="1250"/>
      <c r="AY128" s="1250"/>
      <c r="AZ128" s="1250"/>
      <c r="BA128" s="1250"/>
      <c r="BB128" s="1250"/>
      <c r="BC128" s="1250"/>
      <c r="BD128" s="1250"/>
      <c r="BE128" s="1250"/>
      <c r="BF128" s="1250"/>
      <c r="BG128" s="1250"/>
      <c r="BH128" s="1250"/>
      <c r="BI128" s="1250"/>
      <c r="BJ128" s="1250"/>
      <c r="BK128" s="1250"/>
      <c r="BL128" s="1250"/>
      <c r="BM128" s="1250"/>
      <c r="BN128" s="1250"/>
      <c r="BO128" s="1250"/>
      <c r="BP128" s="1250"/>
      <c r="BQ128" s="1250"/>
      <c r="BR128" s="1250"/>
      <c r="BS128" s="1250"/>
    </row>
    <row r="129" spans="1:71" ht="12.75" customHeight="1">
      <c r="E129" s="4246"/>
      <c r="F129" s="1477" t="s">
        <v>35</v>
      </c>
      <c r="G129" s="472"/>
      <c r="H129" s="448"/>
      <c r="I129" s="448"/>
      <c r="J129" s="448"/>
      <c r="K129" s="467"/>
      <c r="L129" s="1216"/>
      <c r="M129" s="1217"/>
      <c r="N129" s="1217"/>
      <c r="O129" s="1217"/>
      <c r="P129" s="1218">
        <f t="shared" ref="P129:U129" ca="1" si="131">SUMIF($F$73:$AH$90,"Less customer contributions",O91:O118)</f>
        <v>0</v>
      </c>
      <c r="Q129" s="1695">
        <f t="shared" ca="1" si="131"/>
        <v>0</v>
      </c>
      <c r="R129" s="448">
        <f t="shared" ca="1" si="131"/>
        <v>0</v>
      </c>
      <c r="S129" s="448">
        <f t="shared" ca="1" si="131"/>
        <v>0</v>
      </c>
      <c r="T129" s="448">
        <f t="shared" ca="1" si="131"/>
        <v>0</v>
      </c>
      <c r="U129" s="467">
        <f t="shared" ca="1" si="131"/>
        <v>0</v>
      </c>
      <c r="V129" s="1266"/>
      <c r="W129" s="1216"/>
      <c r="X129" s="1217"/>
      <c r="Y129" s="1217"/>
      <c r="Z129" s="1217"/>
      <c r="AA129" s="1218"/>
      <c r="AB129" s="1228" t="e">
        <f t="shared" si="125"/>
        <v>#DIV/0!</v>
      </c>
      <c r="AC129" s="1216"/>
      <c r="AD129" s="1217"/>
      <c r="AE129" s="1217"/>
      <c r="AF129" s="1217"/>
      <c r="AG129" s="1217"/>
      <c r="AH129" s="1234" t="e">
        <f t="shared" ca="1" si="126"/>
        <v>#DIV/0!</v>
      </c>
      <c r="AI129" s="430"/>
      <c r="AJ129"/>
      <c r="AL129" s="1800"/>
      <c r="AM129" s="1801"/>
      <c r="AN129" s="1801"/>
      <c r="AO129" s="1801"/>
      <c r="AP129" s="1802"/>
      <c r="AQ129" s="1803"/>
      <c r="AR129" s="1804"/>
      <c r="AS129" s="1805"/>
    </row>
    <row r="130" spans="1:71" ht="13.5" customHeight="1" thickBot="1">
      <c r="E130" s="4247"/>
      <c r="F130" s="1476" t="s">
        <v>611</v>
      </c>
      <c r="G130" s="458">
        <f t="shared" ref="G130:U130" si="132">G128-G129</f>
        <v>0</v>
      </c>
      <c r="H130" s="449">
        <f t="shared" si="132"/>
        <v>0</v>
      </c>
      <c r="I130" s="449">
        <f t="shared" si="132"/>
        <v>0</v>
      </c>
      <c r="J130" s="449">
        <f t="shared" si="132"/>
        <v>0</v>
      </c>
      <c r="K130" s="471">
        <f t="shared" si="132"/>
        <v>0</v>
      </c>
      <c r="L130" s="1219">
        <f t="shared" si="132"/>
        <v>0</v>
      </c>
      <c r="M130" s="1220">
        <f t="shared" si="132"/>
        <v>0</v>
      </c>
      <c r="N130" s="1220">
        <f>N128-N129</f>
        <v>0</v>
      </c>
      <c r="O130" s="1220">
        <f t="shared" si="132"/>
        <v>0</v>
      </c>
      <c r="P130" s="1221">
        <f t="shared" ca="1" si="132"/>
        <v>68654.054039999988</v>
      </c>
      <c r="Q130" s="452">
        <f t="shared" ca="1" si="132"/>
        <v>69058.426418295596</v>
      </c>
      <c r="R130" s="449">
        <f t="shared" ca="1" si="132"/>
        <v>69015.86090479081</v>
      </c>
      <c r="S130" s="449">
        <f t="shared" ca="1" si="132"/>
        <v>69164.840202057589</v>
      </c>
      <c r="T130" s="449">
        <f t="shared" ca="1" si="132"/>
        <v>69398.950526333996</v>
      </c>
      <c r="U130" s="471">
        <f t="shared" ca="1" si="132"/>
        <v>69505.364310096003</v>
      </c>
      <c r="V130" s="1266"/>
      <c r="W130" s="1219">
        <f>W128-W129</f>
        <v>0</v>
      </c>
      <c r="X130" s="1220">
        <f>X128-X129</f>
        <v>0</v>
      </c>
      <c r="Y130" s="1220">
        <f>Y128-Y129</f>
        <v>0</v>
      </c>
      <c r="Z130" s="1220">
        <f>Z128-Z129</f>
        <v>0</v>
      </c>
      <c r="AA130" s="1221">
        <f>AA128-AA129</f>
        <v>0</v>
      </c>
      <c r="AB130" s="1229" t="e">
        <f t="shared" si="125"/>
        <v>#DIV/0!</v>
      </c>
      <c r="AC130" s="1219">
        <f>AC128-AC129</f>
        <v>0</v>
      </c>
      <c r="AD130" s="1220">
        <f>AD128-AD129</f>
        <v>0</v>
      </c>
      <c r="AE130" s="1220">
        <f>AE128-AE129</f>
        <v>0</v>
      </c>
      <c r="AF130" s="1220"/>
      <c r="AG130" s="1220">
        <f>AG128-AG129</f>
        <v>0</v>
      </c>
      <c r="AH130" s="1235" t="e">
        <f t="shared" ca="1" si="126"/>
        <v>#DIV/0!</v>
      </c>
      <c r="AI130" s="430"/>
      <c r="AJ130"/>
      <c r="AL130" s="458">
        <f t="shared" ref="AL130:AS130" si="133">AL128-AL129</f>
        <v>0</v>
      </c>
      <c r="AM130" s="449">
        <f t="shared" si="133"/>
        <v>0</v>
      </c>
      <c r="AN130" s="449">
        <f t="shared" si="133"/>
        <v>0</v>
      </c>
      <c r="AO130" s="449">
        <f t="shared" si="133"/>
        <v>0</v>
      </c>
      <c r="AP130" s="471">
        <f t="shared" si="133"/>
        <v>0</v>
      </c>
      <c r="AQ130" s="1219">
        <f t="shared" si="133"/>
        <v>0</v>
      </c>
      <c r="AR130" s="1220">
        <f t="shared" si="133"/>
        <v>0</v>
      </c>
      <c r="AS130" s="1221">
        <f t="shared" si="133"/>
        <v>0</v>
      </c>
    </row>
    <row r="131" spans="1:71" ht="12.75" customHeight="1">
      <c r="E131" s="4248" t="s">
        <v>65</v>
      </c>
      <c r="F131" s="1480" t="s">
        <v>592</v>
      </c>
      <c r="G131" s="466"/>
      <c r="H131" s="450"/>
      <c r="I131" s="450"/>
      <c r="J131" s="450"/>
      <c r="K131" s="478"/>
      <c r="L131" s="486"/>
      <c r="M131" s="485"/>
      <c r="N131" s="485"/>
      <c r="O131" s="485"/>
      <c r="P131" s="487"/>
      <c r="Q131" s="444"/>
      <c r="R131" s="485"/>
      <c r="S131" s="485"/>
      <c r="T131" s="485"/>
      <c r="U131" s="487"/>
      <c r="V131" s="1266"/>
      <c r="W131" s="486"/>
      <c r="X131" s="485"/>
      <c r="Y131" s="485"/>
      <c r="Z131" s="485"/>
      <c r="AA131" s="487"/>
      <c r="AB131" s="1098"/>
      <c r="AC131" s="294"/>
      <c r="AD131" s="485"/>
      <c r="AE131" s="485"/>
      <c r="AF131" s="485"/>
      <c r="AG131" s="485"/>
      <c r="AH131" s="1232"/>
      <c r="AI131" s="430"/>
      <c r="AJ131" s="65"/>
      <c r="AL131" s="1806"/>
      <c r="AM131" s="1807"/>
      <c r="AN131" s="1807"/>
      <c r="AO131" s="1807"/>
      <c r="AP131" s="1808"/>
      <c r="AQ131" s="489"/>
      <c r="AR131" s="490"/>
      <c r="AS131" s="491"/>
    </row>
    <row r="132" spans="1:71" ht="12.75" customHeight="1">
      <c r="E132" s="4249"/>
      <c r="F132" s="1481" t="s">
        <v>620</v>
      </c>
      <c r="G132" s="455"/>
      <c r="H132" s="427"/>
      <c r="I132" s="427"/>
      <c r="J132" s="427"/>
      <c r="K132" s="1133"/>
      <c r="L132" s="384">
        <f t="shared" ref="L132:U139" si="134">SUM(L111,L122)</f>
        <v>1849.70004358712</v>
      </c>
      <c r="M132" s="385">
        <f t="shared" si="134"/>
        <v>49167</v>
      </c>
      <c r="N132" s="385">
        <f t="shared" si="134"/>
        <v>-12534</v>
      </c>
      <c r="O132" s="385">
        <f>SUM(O111,O122)</f>
        <v>0</v>
      </c>
      <c r="P132" s="477">
        <f t="shared" si="134"/>
        <v>1344234.2339999999</v>
      </c>
      <c r="Q132" s="474">
        <f t="shared" si="134"/>
        <v>1352151.7736382599</v>
      </c>
      <c r="R132" s="385">
        <f t="shared" si="134"/>
        <v>1351318.3484131801</v>
      </c>
      <c r="S132" s="385">
        <f t="shared" si="134"/>
        <v>1354235.3367009598</v>
      </c>
      <c r="T132" s="385">
        <f t="shared" si="134"/>
        <v>1358819.1754389</v>
      </c>
      <c r="U132" s="477">
        <f t="shared" si="134"/>
        <v>1360902.7385016</v>
      </c>
      <c r="V132" s="1266"/>
      <c r="W132" s="384">
        <f t="shared" ref="W132:AA136" si="135">SUM(W111,W122)</f>
        <v>0</v>
      </c>
      <c r="X132" s="385">
        <f t="shared" si="135"/>
        <v>0</v>
      </c>
      <c r="Y132" s="385">
        <f t="shared" si="135"/>
        <v>0</v>
      </c>
      <c r="Z132" s="385">
        <f t="shared" si="135"/>
        <v>0</v>
      </c>
      <c r="AA132" s="477">
        <f t="shared" si="135"/>
        <v>0</v>
      </c>
      <c r="AB132" s="1085" t="e">
        <f t="shared" ref="AB132:AB140" si="136">SUM(G132:K132)/SUM(W132:AA132)-1</f>
        <v>#DIV/0!</v>
      </c>
      <c r="AC132" s="296">
        <f t="shared" ref="AC132:AE138" si="137">SUM(AC111,AC122)</f>
        <v>0</v>
      </c>
      <c r="AD132" s="385">
        <f t="shared" si="137"/>
        <v>0</v>
      </c>
      <c r="AE132" s="385">
        <f t="shared" si="137"/>
        <v>0</v>
      </c>
      <c r="AF132" s="385"/>
      <c r="AG132" s="385">
        <f t="shared" ref="AG132:AG138" si="138">SUM(AG111,AG122)</f>
        <v>0</v>
      </c>
      <c r="AH132" s="1089" t="e">
        <f t="shared" ref="AH132:AH140" si="139">SUM(L132:P132)/SUM(AC132:AG132)-1</f>
        <v>#DIV/0!</v>
      </c>
      <c r="AI132" s="430"/>
      <c r="AJ132"/>
      <c r="AL132" s="455"/>
      <c r="AM132" s="427"/>
      <c r="AN132" s="427"/>
      <c r="AO132" s="427"/>
      <c r="AP132" s="1133"/>
      <c r="AQ132" s="384">
        <f t="shared" ref="AQ132:AS132" si="140">SUM(AQ111,AQ122)</f>
        <v>0</v>
      </c>
      <c r="AR132" s="385">
        <f t="shared" si="140"/>
        <v>0</v>
      </c>
      <c r="AS132" s="477">
        <f t="shared" si="140"/>
        <v>0</v>
      </c>
    </row>
    <row r="133" spans="1:71" ht="12.75" customHeight="1">
      <c r="E133" s="4249"/>
      <c r="F133" s="1481" t="s">
        <v>621</v>
      </c>
      <c r="G133" s="455"/>
      <c r="H133" s="427"/>
      <c r="I133" s="427"/>
      <c r="J133" s="427"/>
      <c r="K133" s="1133"/>
      <c r="L133" s="384">
        <f t="shared" si="134"/>
        <v>0</v>
      </c>
      <c r="M133" s="385">
        <f t="shared" si="134"/>
        <v>0</v>
      </c>
      <c r="N133" s="385">
        <f t="shared" si="134"/>
        <v>0</v>
      </c>
      <c r="O133" s="385">
        <f>SUM(O112,O123)</f>
        <v>0</v>
      </c>
      <c r="P133" s="477">
        <f t="shared" si="134"/>
        <v>0</v>
      </c>
      <c r="Q133" s="474">
        <f t="shared" si="134"/>
        <v>0</v>
      </c>
      <c r="R133" s="385">
        <f t="shared" si="134"/>
        <v>0</v>
      </c>
      <c r="S133" s="385">
        <f t="shared" si="134"/>
        <v>0</v>
      </c>
      <c r="T133" s="385">
        <f t="shared" si="134"/>
        <v>0</v>
      </c>
      <c r="U133" s="477">
        <f t="shared" si="134"/>
        <v>0</v>
      </c>
      <c r="V133" s="1266"/>
      <c r="W133" s="384">
        <f t="shared" si="135"/>
        <v>0</v>
      </c>
      <c r="X133" s="385">
        <f t="shared" si="135"/>
        <v>0</v>
      </c>
      <c r="Y133" s="385">
        <f t="shared" si="135"/>
        <v>0</v>
      </c>
      <c r="Z133" s="385">
        <f t="shared" si="135"/>
        <v>0</v>
      </c>
      <c r="AA133" s="477">
        <f t="shared" si="135"/>
        <v>0</v>
      </c>
      <c r="AB133" s="1085" t="e">
        <f t="shared" si="136"/>
        <v>#DIV/0!</v>
      </c>
      <c r="AC133" s="296">
        <f t="shared" si="137"/>
        <v>0</v>
      </c>
      <c r="AD133" s="385">
        <f t="shared" si="137"/>
        <v>0</v>
      </c>
      <c r="AE133" s="385">
        <f t="shared" si="137"/>
        <v>0</v>
      </c>
      <c r="AF133" s="385"/>
      <c r="AG133" s="385">
        <f t="shared" si="138"/>
        <v>0</v>
      </c>
      <c r="AH133" s="1089" t="e">
        <f t="shared" si="139"/>
        <v>#DIV/0!</v>
      </c>
      <c r="AI133" s="430"/>
      <c r="AJ133"/>
      <c r="AL133" s="455"/>
      <c r="AM133" s="427"/>
      <c r="AN133" s="427"/>
      <c r="AO133" s="427"/>
      <c r="AP133" s="1133"/>
      <c r="AQ133" s="384">
        <f t="shared" ref="AQ133:AS133" si="141">SUM(AQ112,AQ123)</f>
        <v>0</v>
      </c>
      <c r="AR133" s="385">
        <f t="shared" si="141"/>
        <v>0</v>
      </c>
      <c r="AS133" s="477">
        <f t="shared" si="141"/>
        <v>0</v>
      </c>
    </row>
    <row r="134" spans="1:71" ht="12.75" customHeight="1">
      <c r="E134" s="4249"/>
      <c r="F134" s="1481" t="s">
        <v>622</v>
      </c>
      <c r="G134" s="455"/>
      <c r="H134" s="427"/>
      <c r="I134" s="427"/>
      <c r="J134" s="427"/>
      <c r="K134" s="1133"/>
      <c r="L134" s="384">
        <f t="shared" si="134"/>
        <v>0</v>
      </c>
      <c r="M134" s="385">
        <f t="shared" si="134"/>
        <v>0</v>
      </c>
      <c r="N134" s="385">
        <f t="shared" si="134"/>
        <v>0</v>
      </c>
      <c r="O134" s="385">
        <f>SUM(O113,O124)</f>
        <v>0</v>
      </c>
      <c r="P134" s="477">
        <f t="shared" si="134"/>
        <v>0</v>
      </c>
      <c r="Q134" s="474">
        <f t="shared" si="134"/>
        <v>0</v>
      </c>
      <c r="R134" s="385">
        <f t="shared" si="134"/>
        <v>0</v>
      </c>
      <c r="S134" s="385">
        <f t="shared" si="134"/>
        <v>0</v>
      </c>
      <c r="T134" s="385">
        <f t="shared" si="134"/>
        <v>0</v>
      </c>
      <c r="U134" s="477">
        <f t="shared" si="134"/>
        <v>0</v>
      </c>
      <c r="V134" s="1266"/>
      <c r="W134" s="384">
        <f t="shared" si="135"/>
        <v>0</v>
      </c>
      <c r="X134" s="385">
        <f t="shared" si="135"/>
        <v>0</v>
      </c>
      <c r="Y134" s="385">
        <f t="shared" si="135"/>
        <v>0</v>
      </c>
      <c r="Z134" s="385">
        <f t="shared" si="135"/>
        <v>0</v>
      </c>
      <c r="AA134" s="477">
        <f t="shared" si="135"/>
        <v>0</v>
      </c>
      <c r="AB134" s="1085" t="e">
        <f t="shared" si="136"/>
        <v>#DIV/0!</v>
      </c>
      <c r="AC134" s="296">
        <f t="shared" si="137"/>
        <v>0</v>
      </c>
      <c r="AD134" s="385">
        <f t="shared" si="137"/>
        <v>0</v>
      </c>
      <c r="AE134" s="385">
        <f t="shared" si="137"/>
        <v>0</v>
      </c>
      <c r="AF134" s="385"/>
      <c r="AG134" s="385">
        <f t="shared" si="138"/>
        <v>0</v>
      </c>
      <c r="AH134" s="1089" t="e">
        <f t="shared" si="139"/>
        <v>#DIV/0!</v>
      </c>
      <c r="AI134" s="430"/>
      <c r="AJ134"/>
      <c r="AL134" s="455"/>
      <c r="AM134" s="427"/>
      <c r="AN134" s="427"/>
      <c r="AO134" s="427"/>
      <c r="AP134" s="1133"/>
      <c r="AQ134" s="384">
        <f t="shared" ref="AQ134:AS134" si="142">SUM(AQ113,AQ124)</f>
        <v>0</v>
      </c>
      <c r="AR134" s="385">
        <f t="shared" si="142"/>
        <v>0</v>
      </c>
      <c r="AS134" s="477">
        <f t="shared" si="142"/>
        <v>0</v>
      </c>
    </row>
    <row r="135" spans="1:71" ht="12.75" customHeight="1">
      <c r="E135" s="4249"/>
      <c r="F135" s="1482" t="s">
        <v>605</v>
      </c>
      <c r="G135" s="455"/>
      <c r="H135" s="427"/>
      <c r="I135" s="427"/>
      <c r="J135" s="427"/>
      <c r="K135" s="1133"/>
      <c r="L135" s="384">
        <f t="shared" si="134"/>
        <v>1849.70004358712</v>
      </c>
      <c r="M135" s="385">
        <f t="shared" si="134"/>
        <v>49167</v>
      </c>
      <c r="N135" s="385">
        <f t="shared" si="134"/>
        <v>-12534</v>
      </c>
      <c r="O135" s="385">
        <f>SUM(O114,O125)</f>
        <v>0</v>
      </c>
      <c r="P135" s="477">
        <f t="shared" si="134"/>
        <v>1344234.2339999999</v>
      </c>
      <c r="Q135" s="474">
        <f t="shared" si="134"/>
        <v>1352151.7736382599</v>
      </c>
      <c r="R135" s="385">
        <f t="shared" si="134"/>
        <v>1351318.3484131801</v>
      </c>
      <c r="S135" s="385">
        <f t="shared" si="134"/>
        <v>1354235.3367009598</v>
      </c>
      <c r="T135" s="385">
        <f t="shared" si="134"/>
        <v>1358819.1754389</v>
      </c>
      <c r="U135" s="477">
        <f t="shared" si="134"/>
        <v>1360902.7385016</v>
      </c>
      <c r="V135" s="1266"/>
      <c r="W135" s="384">
        <f t="shared" si="135"/>
        <v>0</v>
      </c>
      <c r="X135" s="385">
        <f t="shared" si="135"/>
        <v>0</v>
      </c>
      <c r="Y135" s="385">
        <f t="shared" si="135"/>
        <v>0</v>
      </c>
      <c r="Z135" s="385">
        <f t="shared" si="135"/>
        <v>0</v>
      </c>
      <c r="AA135" s="477">
        <f t="shared" si="135"/>
        <v>0</v>
      </c>
      <c r="AB135" s="1085" t="e">
        <f t="shared" si="136"/>
        <v>#DIV/0!</v>
      </c>
      <c r="AC135" s="296">
        <f t="shared" si="137"/>
        <v>0</v>
      </c>
      <c r="AD135" s="385">
        <f t="shared" si="137"/>
        <v>0</v>
      </c>
      <c r="AE135" s="385">
        <f t="shared" si="137"/>
        <v>0</v>
      </c>
      <c r="AF135" s="385"/>
      <c r="AG135" s="385">
        <f t="shared" si="138"/>
        <v>0</v>
      </c>
      <c r="AH135" s="1089" t="e">
        <f t="shared" si="139"/>
        <v>#DIV/0!</v>
      </c>
      <c r="AI135" s="430"/>
      <c r="AJ135"/>
      <c r="AL135" s="455"/>
      <c r="AM135" s="427"/>
      <c r="AN135" s="427"/>
      <c r="AO135" s="427"/>
      <c r="AP135" s="1133"/>
      <c r="AQ135" s="384">
        <f t="shared" ref="AQ135:AS135" si="143">SUM(AQ114,AQ125)</f>
        <v>0</v>
      </c>
      <c r="AR135" s="385">
        <f t="shared" si="143"/>
        <v>0</v>
      </c>
      <c r="AS135" s="477">
        <f t="shared" si="143"/>
        <v>0</v>
      </c>
    </row>
    <row r="136" spans="1:71" ht="12.75" customHeight="1">
      <c r="E136" s="4249"/>
      <c r="F136" s="1483" t="s">
        <v>609</v>
      </c>
      <c r="G136" s="384">
        <f t="shared" ref="G136:K138" si="144">SUM(G115,G126)</f>
        <v>0</v>
      </c>
      <c r="H136" s="385">
        <f t="shared" si="144"/>
        <v>0</v>
      </c>
      <c r="I136" s="385">
        <f t="shared" si="144"/>
        <v>0</v>
      </c>
      <c r="J136" s="385">
        <f t="shared" si="144"/>
        <v>0</v>
      </c>
      <c r="K136" s="477">
        <f t="shared" si="144"/>
        <v>0</v>
      </c>
      <c r="L136" s="384">
        <f t="shared" si="134"/>
        <v>49.8799564128825</v>
      </c>
      <c r="M136" s="385">
        <f t="shared" si="134"/>
        <v>2868.49</v>
      </c>
      <c r="N136" s="385">
        <f t="shared" si="134"/>
        <v>0</v>
      </c>
      <c r="O136" s="385">
        <f>SUM(O115,O126)</f>
        <v>0</v>
      </c>
      <c r="P136" s="477">
        <f t="shared" si="134"/>
        <v>80654.054039999988</v>
      </c>
      <c r="Q136" s="474">
        <f t="shared" si="134"/>
        <v>81129.106418295589</v>
      </c>
      <c r="R136" s="385">
        <f t="shared" si="134"/>
        <v>81079.100904790816</v>
      </c>
      <c r="S136" s="385">
        <f t="shared" si="134"/>
        <v>81254.120202057587</v>
      </c>
      <c r="T136" s="385">
        <f t="shared" si="134"/>
        <v>81529.150526333993</v>
      </c>
      <c r="U136" s="477">
        <f t="shared" si="134"/>
        <v>81654.164310096006</v>
      </c>
      <c r="V136" s="1266"/>
      <c r="W136" s="384">
        <f t="shared" si="135"/>
        <v>0</v>
      </c>
      <c r="X136" s="385">
        <f t="shared" si="135"/>
        <v>0</v>
      </c>
      <c r="Y136" s="385">
        <f t="shared" si="135"/>
        <v>0</v>
      </c>
      <c r="Z136" s="385">
        <f t="shared" si="135"/>
        <v>0</v>
      </c>
      <c r="AA136" s="477">
        <f t="shared" si="135"/>
        <v>0</v>
      </c>
      <c r="AB136" s="1085" t="e">
        <f t="shared" si="136"/>
        <v>#DIV/0!</v>
      </c>
      <c r="AC136" s="384">
        <f t="shared" si="137"/>
        <v>0</v>
      </c>
      <c r="AD136" s="385">
        <f t="shared" si="137"/>
        <v>0</v>
      </c>
      <c r="AE136" s="385">
        <f t="shared" si="137"/>
        <v>0</v>
      </c>
      <c r="AF136" s="385"/>
      <c r="AG136" s="385">
        <f t="shared" si="138"/>
        <v>0</v>
      </c>
      <c r="AH136" s="1089" t="e">
        <f t="shared" si="139"/>
        <v>#DIV/0!</v>
      </c>
      <c r="AI136" s="430"/>
      <c r="AJ136"/>
      <c r="AL136" s="384">
        <f t="shared" ref="AL136:AS136" si="145">SUM(AL115,AL126)</f>
        <v>0</v>
      </c>
      <c r="AM136" s="385">
        <f t="shared" si="145"/>
        <v>0</v>
      </c>
      <c r="AN136" s="385">
        <f t="shared" si="145"/>
        <v>0</v>
      </c>
      <c r="AO136" s="385">
        <f t="shared" si="145"/>
        <v>0</v>
      </c>
      <c r="AP136" s="477">
        <f t="shared" si="145"/>
        <v>0</v>
      </c>
      <c r="AQ136" s="384">
        <f t="shared" si="145"/>
        <v>0</v>
      </c>
      <c r="AR136" s="385">
        <f t="shared" si="145"/>
        <v>0</v>
      </c>
      <c r="AS136" s="477">
        <f t="shared" si="145"/>
        <v>0</v>
      </c>
    </row>
    <row r="137" spans="1:71" ht="12.75" customHeight="1">
      <c r="E137" s="4249"/>
      <c r="F137" s="1484" t="s">
        <v>607</v>
      </c>
      <c r="G137" s="384">
        <f t="shared" si="144"/>
        <v>0</v>
      </c>
      <c r="H137" s="385">
        <f t="shared" si="144"/>
        <v>0</v>
      </c>
      <c r="I137" s="385">
        <f t="shared" si="144"/>
        <v>0</v>
      </c>
      <c r="J137" s="385">
        <f t="shared" si="144"/>
        <v>0</v>
      </c>
      <c r="K137" s="477">
        <f t="shared" si="144"/>
        <v>0</v>
      </c>
      <c r="L137" s="384">
        <f t="shared" si="134"/>
        <v>0</v>
      </c>
      <c r="M137" s="385">
        <f t="shared" si="134"/>
        <v>0</v>
      </c>
      <c r="N137" s="385">
        <f t="shared" si="134"/>
        <v>0</v>
      </c>
      <c r="O137" s="385">
        <f t="shared" si="134"/>
        <v>0</v>
      </c>
      <c r="P137" s="477">
        <f t="shared" si="134"/>
        <v>0</v>
      </c>
      <c r="Q137" s="474">
        <f t="shared" si="134"/>
        <v>0</v>
      </c>
      <c r="R137" s="385">
        <f t="shared" si="134"/>
        <v>0</v>
      </c>
      <c r="S137" s="385">
        <f t="shared" si="134"/>
        <v>0</v>
      </c>
      <c r="T137" s="385">
        <f t="shared" si="134"/>
        <v>0</v>
      </c>
      <c r="U137" s="477">
        <f t="shared" si="134"/>
        <v>0</v>
      </c>
      <c r="V137" s="1266"/>
      <c r="W137" s="384">
        <f ca="1">SUMIF($F$73:$AH$90,"Related party margin",U91:U125)</f>
        <v>0</v>
      </c>
      <c r="X137" s="385">
        <f ca="1">SUMIF($F$73:$AH$90,"Related party margin",W91:W125)</f>
        <v>0</v>
      </c>
      <c r="Y137" s="385">
        <f ca="1">SUMIF($F$73:$AH$90,"Related party margin",X91:X125)</f>
        <v>0</v>
      </c>
      <c r="Z137" s="385">
        <f ca="1">SUMIF($F$73:$AH$90,"Related party margin",Y91:Y125)</f>
        <v>0</v>
      </c>
      <c r="AA137" s="477">
        <f ca="1">SUMIF($F$73:$AH$90,"Related party margin",Z91:Z125)</f>
        <v>0</v>
      </c>
      <c r="AB137" s="1085" t="e">
        <f t="shared" ca="1" si="136"/>
        <v>#DIV/0!</v>
      </c>
      <c r="AC137" s="384">
        <f t="shared" si="137"/>
        <v>0</v>
      </c>
      <c r="AD137" s="385">
        <f t="shared" si="137"/>
        <v>0</v>
      </c>
      <c r="AE137" s="385">
        <f t="shared" si="137"/>
        <v>0</v>
      </c>
      <c r="AF137" s="385"/>
      <c r="AG137" s="385">
        <f t="shared" si="138"/>
        <v>0</v>
      </c>
      <c r="AH137" s="1089" t="e">
        <f t="shared" si="139"/>
        <v>#DIV/0!</v>
      </c>
      <c r="AI137" s="430"/>
      <c r="AJ137"/>
      <c r="AL137" s="384">
        <f t="shared" ref="AL137:AS137" si="146">SUM(AL116,AL127)</f>
        <v>0</v>
      </c>
      <c r="AM137" s="385">
        <f t="shared" si="146"/>
        <v>0</v>
      </c>
      <c r="AN137" s="385">
        <f t="shared" si="146"/>
        <v>0</v>
      </c>
      <c r="AO137" s="385">
        <f t="shared" si="146"/>
        <v>0</v>
      </c>
      <c r="AP137" s="477">
        <f t="shared" si="146"/>
        <v>0</v>
      </c>
      <c r="AQ137" s="384">
        <f t="shared" si="146"/>
        <v>0</v>
      </c>
      <c r="AR137" s="385">
        <f t="shared" si="146"/>
        <v>0</v>
      </c>
      <c r="AS137" s="477">
        <f t="shared" si="146"/>
        <v>0</v>
      </c>
    </row>
    <row r="138" spans="1:71" ht="12.75" customHeight="1">
      <c r="E138" s="4249"/>
      <c r="F138" s="1485" t="s">
        <v>610</v>
      </c>
      <c r="G138" s="473">
        <f t="shared" si="144"/>
        <v>0</v>
      </c>
      <c r="H138" s="447">
        <f t="shared" si="144"/>
        <v>0</v>
      </c>
      <c r="I138" s="447">
        <f t="shared" si="144"/>
        <v>0</v>
      </c>
      <c r="J138" s="447">
        <f t="shared" si="144"/>
        <v>0</v>
      </c>
      <c r="K138" s="468">
        <f t="shared" si="144"/>
        <v>0</v>
      </c>
      <c r="L138" s="1213">
        <f t="shared" si="134"/>
        <v>1899.5800000000024</v>
      </c>
      <c r="M138" s="1214">
        <f t="shared" si="134"/>
        <v>52035.49</v>
      </c>
      <c r="N138" s="1214">
        <f t="shared" si="134"/>
        <v>-12534</v>
      </c>
      <c r="O138" s="1214">
        <f t="shared" si="134"/>
        <v>0</v>
      </c>
      <c r="P138" s="1215">
        <f t="shared" si="134"/>
        <v>280654.05403999996</v>
      </c>
      <c r="Q138" s="462">
        <f t="shared" si="134"/>
        <v>282307.10641829559</v>
      </c>
      <c r="R138" s="447">
        <f t="shared" si="134"/>
        <v>282133.1009047908</v>
      </c>
      <c r="S138" s="447">
        <f t="shared" si="134"/>
        <v>282742.12020205753</v>
      </c>
      <c r="T138" s="447">
        <f t="shared" si="134"/>
        <v>283699.15052633401</v>
      </c>
      <c r="U138" s="468">
        <f t="shared" si="134"/>
        <v>284134.16431009601</v>
      </c>
      <c r="V138" s="1266"/>
      <c r="W138" s="1213">
        <f>SUM(W117,W128)</f>
        <v>0</v>
      </c>
      <c r="X138" s="1214">
        <f>SUM(X117,X128)</f>
        <v>0</v>
      </c>
      <c r="Y138" s="1214">
        <f>SUM(Y117,Y128)</f>
        <v>0</v>
      </c>
      <c r="Z138" s="1214">
        <f>SUM(Z117,Z128)</f>
        <v>0</v>
      </c>
      <c r="AA138" s="1215">
        <f>SUM(AA117,AA128)</f>
        <v>0</v>
      </c>
      <c r="AB138" s="1227" t="e">
        <f t="shared" si="136"/>
        <v>#DIV/0!</v>
      </c>
      <c r="AC138" s="1213">
        <f t="shared" si="137"/>
        <v>0</v>
      </c>
      <c r="AD138" s="1214">
        <f t="shared" si="137"/>
        <v>0</v>
      </c>
      <c r="AE138" s="1214">
        <f t="shared" si="137"/>
        <v>0</v>
      </c>
      <c r="AF138" s="1214"/>
      <c r="AG138" s="1214">
        <f t="shared" si="138"/>
        <v>0</v>
      </c>
      <c r="AH138" s="1233" t="e">
        <f t="shared" si="139"/>
        <v>#DIV/0!</v>
      </c>
      <c r="AI138" s="430"/>
      <c r="AJ138"/>
      <c r="AL138" s="473">
        <f t="shared" ref="AL138:AS138" si="147">SUM(AL117,AL128)</f>
        <v>0</v>
      </c>
      <c r="AM138" s="447">
        <f t="shared" si="147"/>
        <v>0</v>
      </c>
      <c r="AN138" s="447">
        <f t="shared" si="147"/>
        <v>0</v>
      </c>
      <c r="AO138" s="447">
        <f t="shared" si="147"/>
        <v>0</v>
      </c>
      <c r="AP138" s="468">
        <f t="shared" si="147"/>
        <v>0</v>
      </c>
      <c r="AQ138" s="1213">
        <f t="shared" si="147"/>
        <v>0</v>
      </c>
      <c r="AR138" s="1214">
        <f t="shared" si="147"/>
        <v>0</v>
      </c>
      <c r="AS138" s="1215">
        <f t="shared" si="147"/>
        <v>0</v>
      </c>
    </row>
    <row r="139" spans="1:71" ht="12.75" customHeight="1">
      <c r="E139" s="4249"/>
      <c r="F139" s="1487" t="s">
        <v>35</v>
      </c>
      <c r="G139" s="469">
        <f ca="1">SUMIF($F$73:$AH$90,"Less customer contributions",G91:G127)</f>
        <v>0</v>
      </c>
      <c r="H139" s="445">
        <f ca="1">SUMIF($F$73:$AH$90,"Less customer contributions",H91:H127)</f>
        <v>0</v>
      </c>
      <c r="I139" s="445">
        <f>SUM(I118,I129)</f>
        <v>0</v>
      </c>
      <c r="J139" s="445">
        <f>SUM(J118,J129)</f>
        <v>0</v>
      </c>
      <c r="K139" s="479">
        <f>SUM(K118,K129)</f>
        <v>0</v>
      </c>
      <c r="L139" s="1210">
        <f t="shared" si="134"/>
        <v>0</v>
      </c>
      <c r="M139" s="1211">
        <f t="shared" si="134"/>
        <v>0</v>
      </c>
      <c r="N139" s="1211">
        <f t="shared" si="134"/>
        <v>0</v>
      </c>
      <c r="O139" s="1211">
        <f t="shared" si="134"/>
        <v>0</v>
      </c>
      <c r="P139" s="1212">
        <f t="shared" ca="1" si="134"/>
        <v>0</v>
      </c>
      <c r="Q139" s="475">
        <f t="shared" ca="1" si="134"/>
        <v>0</v>
      </c>
      <c r="R139" s="445">
        <f t="shared" ca="1" si="134"/>
        <v>0</v>
      </c>
      <c r="S139" s="445">
        <f t="shared" ca="1" si="134"/>
        <v>0</v>
      </c>
      <c r="T139" s="445">
        <f t="shared" ca="1" si="134"/>
        <v>0</v>
      </c>
      <c r="U139" s="479">
        <f t="shared" ca="1" si="134"/>
        <v>0</v>
      </c>
      <c r="V139" s="1266"/>
      <c r="W139" s="1210">
        <f>SUM(W118,W129)</f>
        <v>0</v>
      </c>
      <c r="X139" s="1211">
        <f ca="1">SUMIF($F$73:$AH$90,"Less customer contributions",W91:W127)</f>
        <v>0</v>
      </c>
      <c r="Y139" s="1211">
        <f ca="1">SUMIF($F$73:$AH$90,"Less customer contributions",X91:X127)</f>
        <v>0</v>
      </c>
      <c r="Z139" s="1211">
        <f ca="1">SUMIF($F$73:$AH$90,"Less customer contributions",Y91:Y127)</f>
        <v>0</v>
      </c>
      <c r="AA139" s="1212">
        <f ca="1">SUMIF($F$73:$AH$90,"Less customer contributions",Z91:Z127)</f>
        <v>0</v>
      </c>
      <c r="AB139" s="1226" t="e">
        <f t="shared" ca="1" si="136"/>
        <v>#DIV/0!</v>
      </c>
      <c r="AC139" s="1210">
        <f ca="1">SUMIF($F$73:$AH$90,"Less customer contributions",AB91:AB127)</f>
        <v>0</v>
      </c>
      <c r="AD139" s="1211">
        <f ca="1">SUMIF($F$73:$AH$90,"Less customer contributions",AC91:AC127)</f>
        <v>0</v>
      </c>
      <c r="AE139" s="1211">
        <f ca="1">SUMIF($F$73:$AH$90,"Less customer contributions",AD91:AD127)</f>
        <v>0</v>
      </c>
      <c r="AF139" s="1211"/>
      <c r="AG139" s="1211">
        <f ca="1">SUMIF($F$73:$AH$90,"Less customer contributions",AF91:AF127)</f>
        <v>0</v>
      </c>
      <c r="AH139" s="1231" t="e">
        <f t="shared" ca="1" si="139"/>
        <v>#DIV/0!</v>
      </c>
      <c r="AI139" s="430"/>
      <c r="AJ139"/>
      <c r="AL139" s="469">
        <f ca="1">SUMIF($F$73:$AH$90,"Less customer contributions",AL91:AL127)</f>
        <v>0</v>
      </c>
      <c r="AM139" s="445">
        <f ca="1">SUMIF($F$73:$AH$90,"Less customer contributions",AM91:AM127)</f>
        <v>0</v>
      </c>
      <c r="AN139" s="445">
        <f>SUM(AN118,AN129)</f>
        <v>0</v>
      </c>
      <c r="AO139" s="445">
        <f>SUM(AO118,AO129)</f>
        <v>0</v>
      </c>
      <c r="AP139" s="479">
        <f>SUM(AP118,AP129)</f>
        <v>0</v>
      </c>
      <c r="AQ139" s="1210">
        <f t="shared" ref="AQ139:AS139" si="148">SUM(AQ118,AQ129)</f>
        <v>0</v>
      </c>
      <c r="AR139" s="1211">
        <f t="shared" si="148"/>
        <v>0</v>
      </c>
      <c r="AS139" s="1212">
        <f t="shared" si="148"/>
        <v>0</v>
      </c>
    </row>
    <row r="140" spans="1:71" ht="26.25" customHeight="1" thickBot="1">
      <c r="E140" s="4249"/>
      <c r="F140" s="1486" t="s">
        <v>611</v>
      </c>
      <c r="G140" s="458">
        <f t="shared" ref="G140:U140" ca="1" si="149">G138-G139</f>
        <v>0</v>
      </c>
      <c r="H140" s="449">
        <f t="shared" ca="1" si="149"/>
        <v>0</v>
      </c>
      <c r="I140" s="449">
        <f t="shared" si="149"/>
        <v>0</v>
      </c>
      <c r="J140" s="449">
        <f t="shared" si="149"/>
        <v>0</v>
      </c>
      <c r="K140" s="471">
        <f t="shared" si="149"/>
        <v>0</v>
      </c>
      <c r="L140" s="1219">
        <f>L138-L139</f>
        <v>1899.5800000000024</v>
      </c>
      <c r="M140" s="1220">
        <f t="shared" si="149"/>
        <v>52035.49</v>
      </c>
      <c r="N140" s="1220">
        <f>N138-N139</f>
        <v>-12534</v>
      </c>
      <c r="O140" s="1220">
        <f t="shared" si="149"/>
        <v>0</v>
      </c>
      <c r="P140" s="1221">
        <f t="shared" ca="1" si="149"/>
        <v>280654.05403999996</v>
      </c>
      <c r="Q140" s="452">
        <f t="shared" ca="1" si="149"/>
        <v>282307.10641829559</v>
      </c>
      <c r="R140" s="449">
        <f t="shared" ca="1" si="149"/>
        <v>282133.1009047908</v>
      </c>
      <c r="S140" s="449">
        <f t="shared" ca="1" si="149"/>
        <v>282742.12020205753</v>
      </c>
      <c r="T140" s="449">
        <f t="shared" ca="1" si="149"/>
        <v>283699.15052633401</v>
      </c>
      <c r="U140" s="471">
        <f t="shared" ca="1" si="149"/>
        <v>284134.16431009601</v>
      </c>
      <c r="V140" s="1266"/>
      <c r="W140" s="1219">
        <f ca="1">SUMIF($F$73:$AH$90,"Net total expenditure (incl. escalation)",U91:U127)</f>
        <v>0</v>
      </c>
      <c r="X140" s="1220">
        <f ca="1">SUMIF($F$73:$AH$90,"Net total expenditure (incl. escalation)",W91:W127)</f>
        <v>0</v>
      </c>
      <c r="Y140" s="1220">
        <f ca="1">SUMIF($F$73:$AH$90,"Net total expenditure (incl. escalation)",X91:X127)</f>
        <v>0</v>
      </c>
      <c r="Z140" s="1220">
        <f ca="1">SUMIF($F$73:$AH$90,"Net total expenditure (incl. escalation)",Y91:Y127)</f>
        <v>0</v>
      </c>
      <c r="AA140" s="1221">
        <f ca="1">SUMIF($F$73:$AH$90,"Net total expenditure (incl. escalation)",Z91:Z127)</f>
        <v>0</v>
      </c>
      <c r="AB140" s="1229" t="e">
        <f t="shared" ca="1" si="136"/>
        <v>#DIV/0!</v>
      </c>
      <c r="AC140" s="1219">
        <f ca="1">SUMIF($F$73:$AH$90,"Net total expenditure (incl. escalation)",AB91:AB127)</f>
        <v>0</v>
      </c>
      <c r="AD140" s="1220">
        <f ca="1">SUMIF($F$73:$AH$90,"Net total expenditure (incl. escalation)",AC91:AC127)</f>
        <v>0</v>
      </c>
      <c r="AE140" s="1220">
        <f ca="1">SUMIF($F$73:$AH$90,"Net total expenditure (incl. escalation)",AD91:AD127)</f>
        <v>0</v>
      </c>
      <c r="AF140" s="1220"/>
      <c r="AG140" s="1220">
        <f ca="1">SUMIF($F$73:$AH$90,"Net total expenditure (incl. escalation)",AF91:AF127)</f>
        <v>0</v>
      </c>
      <c r="AH140" s="1235" t="e">
        <f t="shared" ca="1" si="139"/>
        <v>#DIV/0!</v>
      </c>
      <c r="AI140" s="430"/>
      <c r="AJ140"/>
      <c r="AL140" s="458">
        <f t="shared" ref="AL140:AP140" ca="1" si="150">AL138-AL139</f>
        <v>0</v>
      </c>
      <c r="AM140" s="449">
        <f t="shared" ca="1" si="150"/>
        <v>0</v>
      </c>
      <c r="AN140" s="449">
        <f t="shared" si="150"/>
        <v>0</v>
      </c>
      <c r="AO140" s="449">
        <f t="shared" si="150"/>
        <v>0</v>
      </c>
      <c r="AP140" s="471">
        <f t="shared" si="150"/>
        <v>0</v>
      </c>
      <c r="AQ140" s="1219">
        <f>AQ138-AQ139</f>
        <v>0</v>
      </c>
      <c r="AR140" s="1220">
        <f t="shared" ref="AR140:AS140" si="151">AR138-AR139</f>
        <v>0</v>
      </c>
      <c r="AS140" s="1221">
        <f t="shared" si="151"/>
        <v>0</v>
      </c>
    </row>
    <row r="141" spans="1:71" s="69" customFormat="1" ht="45.75" customHeight="1" thickBot="1">
      <c r="A141" s="75"/>
      <c r="B141" s="75"/>
      <c r="C141" s="75"/>
      <c r="D141" s="75"/>
      <c r="E141" s="1471" t="s">
        <v>127</v>
      </c>
      <c r="F141" s="300"/>
      <c r="G141" s="3536"/>
      <c r="H141" s="3536"/>
      <c r="I141" s="3536"/>
      <c r="J141" s="3536"/>
      <c r="K141" s="3536"/>
      <c r="L141" s="3536"/>
      <c r="M141" s="3536"/>
      <c r="N141" s="3536"/>
      <c r="O141" s="3536"/>
      <c r="P141" s="3536"/>
      <c r="Q141" s="3536"/>
      <c r="R141" s="3536"/>
      <c r="S141" s="3536"/>
      <c r="T141" s="3536"/>
      <c r="U141" s="3537"/>
      <c r="V141" s="476"/>
      <c r="W141" s="3536"/>
      <c r="X141" s="3536"/>
      <c r="Y141" s="3536"/>
      <c r="Z141" s="3536"/>
      <c r="AA141" s="3536"/>
      <c r="AB141" s="3536"/>
      <c r="AC141" s="3536"/>
      <c r="AD141" s="3536"/>
      <c r="AE141" s="3536"/>
      <c r="AF141" s="3536"/>
      <c r="AG141" s="3536"/>
      <c r="AH141" s="436"/>
      <c r="AJ141" s="65"/>
      <c r="AK141" s="74"/>
      <c r="AL141" s="1812"/>
      <c r="AM141" s="1813"/>
      <c r="AN141" s="1813"/>
      <c r="AO141" s="1813"/>
      <c r="AP141" s="1813"/>
      <c r="AQ141" s="1813"/>
      <c r="AR141" s="1813"/>
      <c r="AS141" s="1814"/>
      <c r="AT141" s="74"/>
      <c r="AU141" s="74"/>
      <c r="AV141" s="74"/>
      <c r="AW141" s="74"/>
      <c r="AX141" s="74"/>
      <c r="AY141" s="74"/>
      <c r="AZ141" s="74"/>
      <c r="BA141" s="74"/>
      <c r="BB141" s="74"/>
      <c r="BC141" s="74"/>
      <c r="BD141" s="74"/>
      <c r="BE141" s="74"/>
      <c r="BF141" s="74"/>
      <c r="BG141" s="74"/>
      <c r="BH141" s="74"/>
      <c r="BI141" s="74"/>
      <c r="BJ141" s="74"/>
      <c r="BK141" s="74"/>
      <c r="BL141" s="74"/>
      <c r="BM141" s="74"/>
      <c r="BN141" s="74"/>
      <c r="BO141" s="74"/>
      <c r="BP141" s="74"/>
      <c r="BQ141" s="74"/>
      <c r="BR141" s="74"/>
      <c r="BS141" s="74"/>
    </row>
    <row r="142" spans="1:71" ht="18.75" customHeight="1" thickBot="1">
      <c r="E142" s="501"/>
      <c r="F142" s="501"/>
      <c r="G142" s="501"/>
      <c r="H142" s="501"/>
      <c r="I142" s="501"/>
      <c r="J142" s="501"/>
      <c r="K142" s="501"/>
      <c r="L142" s="501"/>
      <c r="M142" s="501"/>
      <c r="N142" s="501"/>
      <c r="O142" s="501"/>
      <c r="P142" s="501"/>
      <c r="Q142" s="501"/>
      <c r="R142" s="501"/>
      <c r="S142" s="501"/>
      <c r="T142" s="501"/>
      <c r="U142" s="501"/>
      <c r="V142" s="1266"/>
      <c r="W142" s="501"/>
      <c r="X142" s="501"/>
      <c r="Y142" s="501"/>
      <c r="Z142" s="501"/>
      <c r="AA142" s="501"/>
      <c r="AB142" s="501"/>
      <c r="AC142" s="429"/>
      <c r="AD142" s="501"/>
      <c r="AE142" s="501"/>
      <c r="AF142" s="501"/>
      <c r="AG142" s="501"/>
      <c r="AH142" s="501"/>
      <c r="AI142" s="430"/>
      <c r="AJ142"/>
    </row>
    <row r="143" spans="1:71" s="425" customFormat="1" ht="16.5" thickBot="1">
      <c r="E143" s="292" t="s">
        <v>505</v>
      </c>
      <c r="F143" s="481"/>
      <c r="G143" s="481"/>
      <c r="H143" s="481"/>
      <c r="I143" s="481"/>
      <c r="J143" s="481"/>
      <c r="K143" s="481"/>
      <c r="L143" s="481"/>
      <c r="M143" s="481"/>
      <c r="N143" s="481"/>
      <c r="O143" s="481"/>
      <c r="P143" s="481"/>
      <c r="Q143" s="481"/>
      <c r="R143" s="481"/>
      <c r="S143" s="481"/>
      <c r="T143" s="481"/>
      <c r="U143" s="453"/>
      <c r="V143" s="1266"/>
      <c r="W143" s="481"/>
      <c r="X143" s="481"/>
      <c r="Y143" s="481"/>
      <c r="Z143" s="481"/>
      <c r="AA143" s="481"/>
      <c r="AB143" s="481"/>
      <c r="AC143" s="481"/>
      <c r="AD143" s="481"/>
      <c r="AE143" s="481"/>
      <c r="AF143" s="481"/>
      <c r="AG143" s="481"/>
      <c r="AH143" s="481"/>
      <c r="AI143" s="65"/>
      <c r="AL143" s="1789"/>
      <c r="AM143" s="481"/>
      <c r="AN143" s="481"/>
      <c r="AO143" s="481"/>
      <c r="AP143" s="481"/>
      <c r="AQ143" s="481"/>
      <c r="AR143" s="481"/>
      <c r="AS143" s="453"/>
    </row>
    <row r="144" spans="1:71">
      <c r="E144" s="4240"/>
      <c r="F144" s="1488" t="s">
        <v>605</v>
      </c>
      <c r="G144" s="1595"/>
      <c r="H144" s="480"/>
      <c r="I144" s="480"/>
      <c r="J144" s="480"/>
      <c r="K144" s="552"/>
      <c r="L144" s="1697">
        <f>SUM(L96,L135)</f>
        <v>10569895.624288559</v>
      </c>
      <c r="M144" s="465">
        <f>SUM(M96,M135)</f>
        <v>22679133.539999999</v>
      </c>
      <c r="N144" s="465">
        <f t="shared" ref="N144:U145" si="152">SUM(N96,N135)</f>
        <v>19895892.319999997</v>
      </c>
      <c r="O144" s="465">
        <f t="shared" ca="1" si="152"/>
        <v>30675668.669999991</v>
      </c>
      <c r="P144" s="464">
        <f t="shared" ca="1" si="152"/>
        <v>43944234.233999997</v>
      </c>
      <c r="Q144" s="1696">
        <f t="shared" ca="1" si="152"/>
        <v>53942074.204973742</v>
      </c>
      <c r="R144" s="465">
        <f t="shared" ca="1" si="152"/>
        <v>48508995.14807909</v>
      </c>
      <c r="S144" s="465">
        <f t="shared" ca="1" si="152"/>
        <v>49956772.375955157</v>
      </c>
      <c r="T144" s="465">
        <f t="shared" ca="1" si="152"/>
        <v>53314439.258115478</v>
      </c>
      <c r="U144" s="464">
        <f t="shared" ca="1" si="152"/>
        <v>46066945.822578125</v>
      </c>
      <c r="V144" s="1266"/>
      <c r="W144" s="1697">
        <f t="shared" ref="W144:AA145" si="153">SUM(W96,W135)</f>
        <v>23052637.078696206</v>
      </c>
      <c r="X144" s="465">
        <f t="shared" si="153"/>
        <v>22671927.240836192</v>
      </c>
      <c r="Y144" s="465">
        <f t="shared" si="153"/>
        <v>23315195.587565184</v>
      </c>
      <c r="Z144" s="465">
        <f t="shared" si="153"/>
        <v>23919080.157963831</v>
      </c>
      <c r="AA144" s="464">
        <f t="shared" si="153"/>
        <v>24798651.162674904</v>
      </c>
      <c r="AB144" s="1141">
        <f t="shared" ref="AB144:AB149" si="154">SUM(G144:K144)/SUM(W144:AA144)-1</f>
        <v>-1</v>
      </c>
      <c r="AC144" s="1697">
        <f>SUM(AC96,AC135)</f>
        <v>13811982.561873391</v>
      </c>
      <c r="AD144" s="465">
        <f>SUM(AD96,AD135)</f>
        <v>3946280.7319638263</v>
      </c>
      <c r="AE144" s="465">
        <f>SUM(AF96,AE135)</f>
        <v>45601466.236026436</v>
      </c>
      <c r="AF144" s="465"/>
      <c r="AG144" s="465">
        <f>SUM(AG96,AG135)</f>
        <v>27623965.123746783</v>
      </c>
      <c r="AH144" s="17" t="e">
        <f>SUM(#REF!,AH137)</f>
        <v>#REF!</v>
      </c>
      <c r="AI144" s="430"/>
      <c r="AJ144"/>
      <c r="AL144" s="1595"/>
      <c r="AM144" s="480"/>
      <c r="AN144" s="480"/>
      <c r="AO144" s="480"/>
      <c r="AP144" s="552"/>
      <c r="AQ144" s="1697">
        <f ca="1">SUM(AQ96,AQ135)</f>
        <v>0</v>
      </c>
      <c r="AR144" s="465">
        <f ca="1">SUM(AS96,AR135)</f>
        <v>0</v>
      </c>
      <c r="AS144" s="464">
        <f t="shared" ref="AS144" ca="1" si="155">SUM(AS96,AS135)</f>
        <v>0</v>
      </c>
    </row>
    <row r="145" spans="1:71">
      <c r="E145" s="4241"/>
      <c r="F145" s="558" t="s">
        <v>609</v>
      </c>
      <c r="G145" s="384">
        <f t="shared" ref="G145:L145" si="156">SUM(G97,G136)</f>
        <v>766340.34799999965</v>
      </c>
      <c r="H145" s="385">
        <f t="shared" si="156"/>
        <v>502947.74500000005</v>
      </c>
      <c r="I145" s="385">
        <f t="shared" si="156"/>
        <v>485650.03299999988</v>
      </c>
      <c r="J145" s="385">
        <f t="shared" si="156"/>
        <v>448463.86900000001</v>
      </c>
      <c r="K145" s="477">
        <f t="shared" si="156"/>
        <v>687330.64000000025</v>
      </c>
      <c r="L145" s="384">
        <f t="shared" si="156"/>
        <v>285033.20571144228</v>
      </c>
      <c r="M145" s="385">
        <f>SUM(M97,M136)</f>
        <v>1092066.2499999998</v>
      </c>
      <c r="N145" s="385">
        <f>SUM(N97,N136)</f>
        <v>1047133.6799999999</v>
      </c>
      <c r="O145" s="385">
        <f t="shared" si="152"/>
        <v>1791510.24</v>
      </c>
      <c r="P145" s="477">
        <f t="shared" ca="1" si="152"/>
        <v>2636654.0540399998</v>
      </c>
      <c r="Q145" s="474">
        <f t="shared" ca="1" si="152"/>
        <v>3236524.4522984247</v>
      </c>
      <c r="R145" s="385">
        <f t="shared" ca="1" si="152"/>
        <v>2910539.7088847454</v>
      </c>
      <c r="S145" s="385">
        <f t="shared" ca="1" si="152"/>
        <v>2997406.3425573092</v>
      </c>
      <c r="T145" s="385">
        <f t="shared" ca="1" si="152"/>
        <v>3198866.3554869285</v>
      </c>
      <c r="U145" s="477">
        <f t="shared" ca="1" si="152"/>
        <v>2764016.7493546871</v>
      </c>
      <c r="V145" s="1266"/>
      <c r="W145" s="384">
        <f t="shared" ca="1" si="153"/>
        <v>0</v>
      </c>
      <c r="X145" s="385">
        <f t="shared" ca="1" si="153"/>
        <v>0</v>
      </c>
      <c r="Y145" s="385">
        <f t="shared" ca="1" si="153"/>
        <v>0</v>
      </c>
      <c r="Z145" s="385">
        <f t="shared" ca="1" si="153"/>
        <v>0</v>
      </c>
      <c r="AA145" s="477">
        <f t="shared" ca="1" si="153"/>
        <v>0</v>
      </c>
      <c r="AB145" s="1085" t="e">
        <f t="shared" ca="1" si="154"/>
        <v>#DIV/0!</v>
      </c>
      <c r="AC145" s="384">
        <f ca="1">SUM(AC97,AC136)</f>
        <v>579274.54864497005</v>
      </c>
      <c r="AD145" s="385">
        <f ca="1">SUM(AD97,AD136)</f>
        <v>165507.01389856287</v>
      </c>
      <c r="AE145" s="385">
        <f ca="1">SUM(AF97,AE136)</f>
        <v>1912525.4939389487</v>
      </c>
      <c r="AF145" s="385"/>
      <c r="AG145" s="385">
        <f ca="1">SUM(AG97,AG136)</f>
        <v>1158549.0972899401</v>
      </c>
      <c r="AH145" s="1089" t="e">
        <f>SUM(AH128,AH140)</f>
        <v>#DIV/0!</v>
      </c>
      <c r="AI145" s="430"/>
      <c r="AJ145"/>
      <c r="AL145" s="384">
        <f ca="1">SUM(AL97,AL136)</f>
        <v>0</v>
      </c>
      <c r="AM145" s="385">
        <f ca="1">SUM(AM97,AM136)</f>
        <v>0</v>
      </c>
      <c r="AN145" s="385">
        <f ca="1">SUM(AN97,AN136)</f>
        <v>0</v>
      </c>
      <c r="AO145" s="385">
        <f ca="1">SUM(AO97,AO136)</f>
        <v>0</v>
      </c>
      <c r="AP145" s="477">
        <f ca="1">SUM(AP97,AP136)</f>
        <v>0</v>
      </c>
      <c r="AQ145" s="384">
        <f ca="1">SUM(AQ97,AQ136)</f>
        <v>0</v>
      </c>
      <c r="AR145" s="385">
        <f ca="1">SUM(AS97,AR136)</f>
        <v>0</v>
      </c>
      <c r="AS145" s="477">
        <f t="shared" ref="AS145" ca="1" si="157">SUM(AS97,AS136)</f>
        <v>0</v>
      </c>
    </row>
    <row r="146" spans="1:71">
      <c r="E146" s="4241"/>
      <c r="F146" s="1469" t="s">
        <v>607</v>
      </c>
      <c r="G146" s="384">
        <f t="shared" ref="G146:M146" ca="1" si="158">SUMIF($F$73:$AH$90,"Related party margin",G91:G143)</f>
        <v>0</v>
      </c>
      <c r="H146" s="385">
        <f t="shared" ca="1" si="158"/>
        <v>0</v>
      </c>
      <c r="I146" s="385">
        <f t="shared" ca="1" si="158"/>
        <v>0</v>
      </c>
      <c r="J146" s="385">
        <f t="shared" ca="1" si="158"/>
        <v>0</v>
      </c>
      <c r="K146" s="477">
        <f t="shared" ca="1" si="158"/>
        <v>0</v>
      </c>
      <c r="L146" s="384">
        <f t="shared" ca="1" si="158"/>
        <v>0</v>
      </c>
      <c r="M146" s="385">
        <f t="shared" ca="1" si="158"/>
        <v>0</v>
      </c>
      <c r="N146" s="385">
        <f t="shared" ref="N146:U146" ca="1" si="159">SUMIF($F$73:$AH$90,"Related party margin",M91:M143)</f>
        <v>0</v>
      </c>
      <c r="O146" s="385">
        <f t="shared" ca="1" si="159"/>
        <v>0</v>
      </c>
      <c r="P146" s="477">
        <f t="shared" ca="1" si="159"/>
        <v>0</v>
      </c>
      <c r="Q146" s="474">
        <f t="shared" ca="1" si="159"/>
        <v>0</v>
      </c>
      <c r="R146" s="385">
        <f t="shared" ca="1" si="159"/>
        <v>0</v>
      </c>
      <c r="S146" s="385">
        <f t="shared" ca="1" si="159"/>
        <v>0</v>
      </c>
      <c r="T146" s="385">
        <f t="shared" ca="1" si="159"/>
        <v>0</v>
      </c>
      <c r="U146" s="477">
        <f t="shared" ca="1" si="159"/>
        <v>0</v>
      </c>
      <c r="V146" s="1266"/>
      <c r="W146" s="384">
        <f ca="1">SUMIF($F$73:$AH$90,"Related party margin",U91:U143)</f>
        <v>0</v>
      </c>
      <c r="X146" s="385">
        <f ca="1">SUMIF($F$73:$AH$90,"Related party margin",W91:W143)</f>
        <v>0</v>
      </c>
      <c r="Y146" s="385">
        <f ca="1">SUMIF($F$73:$AH$90,"Related party margin",X91:X143)</f>
        <v>0</v>
      </c>
      <c r="Z146" s="385">
        <f ca="1">SUMIF($F$73:$AH$90,"Related party margin",Y91:Y143)</f>
        <v>0</v>
      </c>
      <c r="AA146" s="477">
        <f ca="1">SUMIF($F$73:$AH$90,"Related party margin",Z91:Z143)</f>
        <v>0</v>
      </c>
      <c r="AB146" s="1085" t="e">
        <f t="shared" ca="1" si="154"/>
        <v>#DIV/0!</v>
      </c>
      <c r="AC146" s="384">
        <f ca="1">SUMIF($F$73:$AH$90,"Related party margin",AB91:AB143)</f>
        <v>0</v>
      </c>
      <c r="AD146" s="385">
        <f ca="1">SUMIF($F$73:$AH$90,"Related party margin",AC91:AC143)</f>
        <v>0</v>
      </c>
      <c r="AE146" s="385">
        <f ca="1">SUMIF($F$73:$AH$90,"Related party margin",AD91:AD143)</f>
        <v>0</v>
      </c>
      <c r="AF146" s="385"/>
      <c r="AG146" s="385">
        <f ca="1">SUMIF($F$73:$AH$90,"Related party margin",AF91:AF143)</f>
        <v>0</v>
      </c>
      <c r="AH146" s="1089" t="e">
        <f ca="1">SUM(AH129,AH141)</f>
        <v>#DIV/0!</v>
      </c>
      <c r="AI146" s="430"/>
      <c r="AJ146"/>
      <c r="AL146" s="384">
        <f t="shared" ref="AL146:AR146" ca="1" si="160">SUMIF($F$73:$AH$90,"Related party margin",AL91:AL143)</f>
        <v>0</v>
      </c>
      <c r="AM146" s="385">
        <f t="shared" ca="1" si="160"/>
        <v>0</v>
      </c>
      <c r="AN146" s="385">
        <f t="shared" ca="1" si="160"/>
        <v>0</v>
      </c>
      <c r="AO146" s="385">
        <f t="shared" ca="1" si="160"/>
        <v>0</v>
      </c>
      <c r="AP146" s="477">
        <f t="shared" ca="1" si="160"/>
        <v>0</v>
      </c>
      <c r="AQ146" s="384">
        <f t="shared" ca="1" si="160"/>
        <v>0</v>
      </c>
      <c r="AR146" s="385">
        <f t="shared" ca="1" si="160"/>
        <v>0</v>
      </c>
      <c r="AS146" s="477">
        <f t="shared" ref="AS146" ca="1" si="161">SUMIF($F$73:$AH$90,"Related party margin",AR91:AR143)</f>
        <v>0</v>
      </c>
    </row>
    <row r="147" spans="1:71">
      <c r="E147" s="4241"/>
      <c r="F147" s="1489" t="s">
        <v>610</v>
      </c>
      <c r="G147" s="885">
        <f t="shared" ref="G147:L147" ca="1" si="162">SUM(G99,G138)</f>
        <v>7663403.4799999958</v>
      </c>
      <c r="H147" s="879">
        <f t="shared" ca="1" si="162"/>
        <v>5029477.4500000011</v>
      </c>
      <c r="I147" s="879">
        <f t="shared" ca="1" si="162"/>
        <v>4856500.3299999991</v>
      </c>
      <c r="J147" s="879">
        <f t="shared" ca="1" si="162"/>
        <v>4484638.6900000004</v>
      </c>
      <c r="K147" s="886">
        <f t="shared" ca="1" si="162"/>
        <v>9495444.8900000043</v>
      </c>
      <c r="L147" s="885">
        <f t="shared" ca="1" si="162"/>
        <v>10854928.830000002</v>
      </c>
      <c r="M147" s="879">
        <f ca="1">SUM(M99,M138)</f>
        <v>23771199.789999995</v>
      </c>
      <c r="N147" s="879">
        <f ca="1">SUM(N99,N138)</f>
        <v>20943025.999999996</v>
      </c>
      <c r="O147" s="879">
        <f ca="1">SUM(O144:O146)</f>
        <v>32467178.909999989</v>
      </c>
      <c r="P147" s="886">
        <f t="shared" ref="P147:U147" ca="1" si="163">SUM(P144:P146)</f>
        <v>46580888.288039997</v>
      </c>
      <c r="Q147" s="879">
        <f t="shared" ca="1" si="163"/>
        <v>57178598.657272168</v>
      </c>
      <c r="R147" s="879">
        <f t="shared" ca="1" si="163"/>
        <v>51419534.856963836</v>
      </c>
      <c r="S147" s="879">
        <f t="shared" ca="1" si="163"/>
        <v>52954178.718512468</v>
      </c>
      <c r="T147" s="879">
        <f t="shared" ca="1" si="163"/>
        <v>56513305.613602407</v>
      </c>
      <c r="U147" s="879">
        <f t="shared" ca="1" si="163"/>
        <v>48830962.571932815</v>
      </c>
      <c r="V147" s="1266"/>
      <c r="W147" s="885">
        <f ca="1">SUM(W99,W138)</f>
        <v>23052637.078696206</v>
      </c>
      <c r="X147" s="879">
        <f ca="1">SUM(X99,X138)</f>
        <v>22671927.240836192</v>
      </c>
      <c r="Y147" s="879">
        <f ca="1">SUM(Y99,Y138)</f>
        <v>23315195.587565184</v>
      </c>
      <c r="Z147" s="879">
        <f ca="1">SUM(Z99,Z138)</f>
        <v>23919080.157963831</v>
      </c>
      <c r="AA147" s="886">
        <f ca="1">SUM(AA99,AA138)</f>
        <v>24798651.162674904</v>
      </c>
      <c r="AB147" s="1149">
        <f t="shared" ca="1" si="154"/>
        <v>-0.73225087838340741</v>
      </c>
      <c r="AC147" s="885">
        <f ca="1">SUM(AC99,AC138)</f>
        <v>14391257.110518361</v>
      </c>
      <c r="AD147" s="879">
        <f ca="1">SUM(AD99,AD138)</f>
        <v>4111787.745862389</v>
      </c>
      <c r="AE147" s="879">
        <f ca="1">SUM(AF99,AE138)</f>
        <v>47513991.729965381</v>
      </c>
      <c r="AF147" s="879"/>
      <c r="AG147" s="879">
        <f ca="1">SUM(AG99,AG138)</f>
        <v>28782514.221036721</v>
      </c>
      <c r="AH147" s="18"/>
      <c r="AI147" s="430"/>
      <c r="AJ147"/>
      <c r="AL147" s="885">
        <f t="shared" ref="AL147:AQ147" ca="1" si="164">SUM(AL99,AL138)</f>
        <v>0</v>
      </c>
      <c r="AM147" s="879">
        <f t="shared" ca="1" si="164"/>
        <v>0</v>
      </c>
      <c r="AN147" s="879">
        <f t="shared" ca="1" si="164"/>
        <v>0</v>
      </c>
      <c r="AO147" s="879">
        <f t="shared" ca="1" si="164"/>
        <v>0</v>
      </c>
      <c r="AP147" s="886">
        <f t="shared" ca="1" si="164"/>
        <v>0</v>
      </c>
      <c r="AQ147" s="885">
        <f t="shared" ca="1" si="164"/>
        <v>0</v>
      </c>
      <c r="AR147" s="879">
        <f ca="1">SUM(AS99,AR138)</f>
        <v>0</v>
      </c>
      <c r="AS147" s="886">
        <f t="shared" ref="AS147" ca="1" si="165">SUM(AS99,AS138)</f>
        <v>0</v>
      </c>
    </row>
    <row r="148" spans="1:71">
      <c r="E148" s="4241"/>
      <c r="F148" s="1491" t="s">
        <v>35</v>
      </c>
      <c r="G148" s="384">
        <f t="shared" ref="G148:M148" ca="1" si="166">SUMIF($F$73:$AH$90,"Less customer contributions",G91:G143)</f>
        <v>0</v>
      </c>
      <c r="H148" s="385">
        <f t="shared" ca="1" si="166"/>
        <v>0</v>
      </c>
      <c r="I148" s="385">
        <f t="shared" ca="1" si="166"/>
        <v>0</v>
      </c>
      <c r="J148" s="385">
        <f t="shared" ca="1" si="166"/>
        <v>0</v>
      </c>
      <c r="K148" s="477">
        <f t="shared" ca="1" si="166"/>
        <v>0</v>
      </c>
      <c r="L148" s="384">
        <f t="shared" ca="1" si="166"/>
        <v>0</v>
      </c>
      <c r="M148" s="385">
        <f t="shared" ca="1" si="166"/>
        <v>0</v>
      </c>
      <c r="N148" s="385">
        <f t="shared" ref="N148:U148" ca="1" si="167">SUMIF($F$73:$AH$90,"Less customer contributions",M91:M143)</f>
        <v>0</v>
      </c>
      <c r="O148" s="385">
        <f t="shared" ca="1" si="167"/>
        <v>0</v>
      </c>
      <c r="P148" s="477">
        <f t="shared" ca="1" si="167"/>
        <v>0</v>
      </c>
      <c r="Q148" s="474">
        <f t="shared" ca="1" si="167"/>
        <v>0</v>
      </c>
      <c r="R148" s="385">
        <f t="shared" ca="1" si="167"/>
        <v>0</v>
      </c>
      <c r="S148" s="385">
        <f t="shared" ca="1" si="167"/>
        <v>0</v>
      </c>
      <c r="T148" s="385">
        <f t="shared" ca="1" si="167"/>
        <v>0</v>
      </c>
      <c r="U148" s="477">
        <f t="shared" ca="1" si="167"/>
        <v>0</v>
      </c>
      <c r="V148" s="1266"/>
      <c r="W148" s="384">
        <f ca="1">SUMIF($F$73:$AH$90,"Less customer contributions",U91:U143)</f>
        <v>0</v>
      </c>
      <c r="X148" s="385">
        <f ca="1">SUMIF($F$73:$AH$90,"Less customer contributions",W91:W143)</f>
        <v>0</v>
      </c>
      <c r="Y148" s="385">
        <f ca="1">SUMIF($F$73:$AH$90,"Less customer contributions",X91:X143)</f>
        <v>0</v>
      </c>
      <c r="Z148" s="385">
        <f ca="1">SUMIF($F$73:$AH$90,"Less customer contributions",Y91:Y143)</f>
        <v>0</v>
      </c>
      <c r="AA148" s="477">
        <f ca="1">SUMIF($F$73:$AH$90,"Less customer contributions",Z91:Z143)</f>
        <v>0</v>
      </c>
      <c r="AB148" s="1085" t="e">
        <f t="shared" ca="1" si="154"/>
        <v>#DIV/0!</v>
      </c>
      <c r="AC148" s="384">
        <f ca="1">SUMIF($F$73:$AH$90,"Less customer contributions",AB91:AB143)</f>
        <v>0</v>
      </c>
      <c r="AD148" s="385">
        <f ca="1">SUMIF($F$73:$AH$90,"Less customer contributions",AC91:AC143)</f>
        <v>0</v>
      </c>
      <c r="AE148" s="385">
        <f ca="1">SUMIF($F$73:$AH$90,"Less customer contributions",AD91:AD143)</f>
        <v>0</v>
      </c>
      <c r="AF148" s="385"/>
      <c r="AG148" s="385">
        <f ca="1">SUMIF($F$73:$AH$90,"Less customer contributions",AF91:AF143)</f>
        <v>0</v>
      </c>
      <c r="AH148" s="1089"/>
      <c r="AI148" s="430"/>
      <c r="AJ148"/>
      <c r="AL148" s="384">
        <f t="shared" ref="AL148:AR148" ca="1" si="168">SUMIF($F$73:$AH$90,"Less customer contributions",AL91:AL143)</f>
        <v>0</v>
      </c>
      <c r="AM148" s="385">
        <f t="shared" ca="1" si="168"/>
        <v>0</v>
      </c>
      <c r="AN148" s="385">
        <f t="shared" ca="1" si="168"/>
        <v>0</v>
      </c>
      <c r="AO148" s="385">
        <f t="shared" ca="1" si="168"/>
        <v>0</v>
      </c>
      <c r="AP148" s="477">
        <f t="shared" ca="1" si="168"/>
        <v>0</v>
      </c>
      <c r="AQ148" s="384">
        <f t="shared" ca="1" si="168"/>
        <v>0</v>
      </c>
      <c r="AR148" s="385">
        <f t="shared" ca="1" si="168"/>
        <v>0</v>
      </c>
      <c r="AS148" s="477">
        <f t="shared" ref="AS148" ca="1" si="169">SUMIF($F$73:$AH$90,"Less customer contributions",AR91:AR143)</f>
        <v>0</v>
      </c>
    </row>
    <row r="149" spans="1:71" ht="13.5" thickBot="1">
      <c r="E149" s="4242"/>
      <c r="F149" s="1490" t="s">
        <v>611</v>
      </c>
      <c r="G149" s="1698">
        <f t="shared" ref="G149:AA149" ca="1" si="170">G147-G148</f>
        <v>7663403.4799999958</v>
      </c>
      <c r="H149" s="1205">
        <f t="shared" ca="1" si="170"/>
        <v>5029477.4500000011</v>
      </c>
      <c r="I149" s="1205">
        <f t="shared" ca="1" si="170"/>
        <v>4856500.3299999991</v>
      </c>
      <c r="J149" s="1205">
        <f t="shared" ca="1" si="170"/>
        <v>4484638.6900000004</v>
      </c>
      <c r="K149" s="1206">
        <f t="shared" ca="1" si="170"/>
        <v>9495444.8900000043</v>
      </c>
      <c r="L149" s="1698">
        <f t="shared" ca="1" si="170"/>
        <v>10854928.830000002</v>
      </c>
      <c r="M149" s="1205">
        <f t="shared" ca="1" si="170"/>
        <v>23771199.789999995</v>
      </c>
      <c r="N149" s="1205">
        <f ca="1">N147-N148</f>
        <v>20943025.999999996</v>
      </c>
      <c r="O149" s="1205">
        <f t="shared" ca="1" si="170"/>
        <v>32467178.909999989</v>
      </c>
      <c r="P149" s="1206">
        <f t="shared" ca="1" si="170"/>
        <v>46580888.288039997</v>
      </c>
      <c r="Q149" s="3178">
        <f t="shared" ca="1" si="170"/>
        <v>57178598.657272168</v>
      </c>
      <c r="R149" s="3179">
        <f t="shared" ca="1" si="170"/>
        <v>51419534.856963836</v>
      </c>
      <c r="S149" s="3179">
        <f t="shared" ca="1" si="170"/>
        <v>52954178.718512468</v>
      </c>
      <c r="T149" s="3179">
        <f t="shared" ca="1" si="170"/>
        <v>56513305.613602407</v>
      </c>
      <c r="U149" s="3180">
        <f t="shared" ca="1" si="170"/>
        <v>48830962.571932815</v>
      </c>
      <c r="V149" s="1266"/>
      <c r="W149" s="1698">
        <f t="shared" ca="1" si="170"/>
        <v>23052637.078696206</v>
      </c>
      <c r="X149" s="1205">
        <f t="shared" ca="1" si="170"/>
        <v>22671927.240836192</v>
      </c>
      <c r="Y149" s="1205">
        <f t="shared" ca="1" si="170"/>
        <v>23315195.587565184</v>
      </c>
      <c r="Z149" s="1205">
        <f t="shared" ca="1" si="170"/>
        <v>23919080.157963831</v>
      </c>
      <c r="AA149" s="1206">
        <f t="shared" ca="1" si="170"/>
        <v>24798651.162674904</v>
      </c>
      <c r="AB149" s="1237">
        <f t="shared" ca="1" si="154"/>
        <v>-0.73225087838340741</v>
      </c>
      <c r="AC149" s="1698">
        <f ca="1">AC147-AC148</f>
        <v>14391257.110518361</v>
      </c>
      <c r="AD149" s="1205">
        <f ca="1">AD147-AD148</f>
        <v>4111787.745862389</v>
      </c>
      <c r="AE149" s="1205">
        <f ca="1">AE147-AE148</f>
        <v>47513991.729965381</v>
      </c>
      <c r="AF149" s="1205"/>
      <c r="AG149" s="1205">
        <f ca="1">AG147-AG148</f>
        <v>28782514.221036721</v>
      </c>
      <c r="AH149" s="9"/>
      <c r="AI149" s="430"/>
      <c r="AJ149"/>
      <c r="AL149" s="1698">
        <f t="shared" ref="AL149:AS149" ca="1" si="171">AL147-AL148</f>
        <v>0</v>
      </c>
      <c r="AM149" s="1205">
        <f t="shared" ca="1" si="171"/>
        <v>0</v>
      </c>
      <c r="AN149" s="1205">
        <f t="shared" ca="1" si="171"/>
        <v>0</v>
      </c>
      <c r="AO149" s="1205">
        <f t="shared" ca="1" si="171"/>
        <v>0</v>
      </c>
      <c r="AP149" s="1206">
        <f t="shared" ca="1" si="171"/>
        <v>0</v>
      </c>
      <c r="AQ149" s="1698">
        <f t="shared" ca="1" si="171"/>
        <v>0</v>
      </c>
      <c r="AR149" s="1205">
        <f t="shared" ca="1" si="171"/>
        <v>0</v>
      </c>
      <c r="AS149" s="1206">
        <f t="shared" ca="1" si="171"/>
        <v>0</v>
      </c>
    </row>
    <row r="150" spans="1:71" s="69" customFormat="1" ht="45.75" customHeight="1" thickBot="1">
      <c r="A150" s="75"/>
      <c r="B150" s="75"/>
      <c r="C150" s="75"/>
      <c r="D150" s="75"/>
      <c r="E150" s="3538" t="s">
        <v>127</v>
      </c>
      <c r="F150" s="3539"/>
      <c r="G150" s="3536"/>
      <c r="H150" s="3536"/>
      <c r="I150" s="3536"/>
      <c r="J150" s="3536"/>
      <c r="K150" s="3536"/>
      <c r="L150" s="3536"/>
      <c r="M150" s="3536"/>
      <c r="N150" s="3536"/>
      <c r="O150" s="3536"/>
      <c r="P150" s="3536"/>
      <c r="Q150" s="3536"/>
      <c r="R150" s="3536"/>
      <c r="S150" s="3536"/>
      <c r="T150" s="3536"/>
      <c r="U150" s="436"/>
      <c r="V150" s="476"/>
      <c r="W150" s="3536"/>
      <c r="X150" s="3536"/>
      <c r="Y150" s="3536"/>
      <c r="Z150" s="3536"/>
      <c r="AA150" s="3536"/>
      <c r="AB150" s="3536"/>
      <c r="AC150" s="3536"/>
      <c r="AD150" s="3536"/>
      <c r="AE150" s="3536"/>
      <c r="AF150" s="3536"/>
      <c r="AG150" s="3536"/>
      <c r="AH150" s="3537"/>
      <c r="AJ150" s="65"/>
      <c r="AK150" s="74"/>
      <c r="AL150" s="1812"/>
      <c r="AM150" s="1813"/>
      <c r="AN150" s="1813"/>
      <c r="AO150" s="1813"/>
      <c r="AP150" s="1813"/>
      <c r="AQ150" s="1813"/>
      <c r="AR150" s="1813"/>
      <c r="AS150" s="1814"/>
      <c r="AT150" s="74"/>
      <c r="AU150" s="74"/>
      <c r="AV150" s="74"/>
      <c r="AW150" s="74"/>
      <c r="AX150" s="74"/>
      <c r="AY150" s="74"/>
      <c r="AZ150" s="74"/>
      <c r="BA150" s="74"/>
      <c r="BB150" s="74"/>
      <c r="BC150" s="74"/>
      <c r="BD150" s="74"/>
      <c r="BE150" s="74"/>
      <c r="BF150" s="74"/>
      <c r="BG150" s="74"/>
      <c r="BH150" s="74"/>
      <c r="BI150" s="74"/>
      <c r="BJ150" s="74"/>
      <c r="BK150" s="74"/>
      <c r="BL150" s="74"/>
      <c r="BM150" s="74"/>
      <c r="BN150" s="74"/>
      <c r="BO150" s="74"/>
      <c r="BP150" s="74"/>
      <c r="BQ150" s="74"/>
      <c r="BR150" s="74"/>
      <c r="BS150" s="74"/>
    </row>
    <row r="158" spans="1:71">
      <c r="F158" s="139"/>
    </row>
  </sheetData>
  <mergeCells count="49">
    <mergeCell ref="W107:AA107"/>
    <mergeCell ref="AC107:AG107"/>
    <mergeCell ref="W105:AB105"/>
    <mergeCell ref="AC105:AH105"/>
    <mergeCell ref="W106:AA106"/>
    <mergeCell ref="AC106:AG106"/>
    <mergeCell ref="E144:E149"/>
    <mergeCell ref="E105:F108"/>
    <mergeCell ref="G105:K105"/>
    <mergeCell ref="L105:P105"/>
    <mergeCell ref="Q105:U105"/>
    <mergeCell ref="E109:E119"/>
    <mergeCell ref="E120:E130"/>
    <mergeCell ref="E131:E140"/>
    <mergeCell ref="O106:U106"/>
    <mergeCell ref="O107:U107"/>
    <mergeCell ref="G106:N106"/>
    <mergeCell ref="G107:N107"/>
    <mergeCell ref="G19:N19"/>
    <mergeCell ref="G20:N20"/>
    <mergeCell ref="E91:E101"/>
    <mergeCell ref="E73:E89"/>
    <mergeCell ref="E56:E72"/>
    <mergeCell ref="E39:E55"/>
    <mergeCell ref="E22:E38"/>
    <mergeCell ref="E8:I8"/>
    <mergeCell ref="E9:I9"/>
    <mergeCell ref="E10:I10"/>
    <mergeCell ref="AC19:AG19"/>
    <mergeCell ref="E11:I11"/>
    <mergeCell ref="E18:F21"/>
    <mergeCell ref="G18:K18"/>
    <mergeCell ref="Q18:U18"/>
    <mergeCell ref="W20:AA20"/>
    <mergeCell ref="AC20:AG20"/>
    <mergeCell ref="AC18:AH18"/>
    <mergeCell ref="W18:AB18"/>
    <mergeCell ref="L18:P18"/>
    <mergeCell ref="W19:AA19"/>
    <mergeCell ref="O19:U19"/>
    <mergeCell ref="O20:U20"/>
    <mergeCell ref="AL106:AS106"/>
    <mergeCell ref="AL107:AS107"/>
    <mergeCell ref="AL18:AP18"/>
    <mergeCell ref="AQ18:AS18"/>
    <mergeCell ref="AL19:AS19"/>
    <mergeCell ref="AL20:AS20"/>
    <mergeCell ref="AL105:AP105"/>
    <mergeCell ref="AQ105:AS105"/>
  </mergeCells>
  <pageMargins left="0.75" right="0.75" top="1" bottom="1" header="0.5" footer="0.5"/>
  <pageSetup paperSize="9" orientation="portrait" horizontalDpi="4294967293" r:id="rId1"/>
  <headerFooter alignWithMargins="0"/>
  <customProperties>
    <customPr name="layoutContexts" r:id="rId2"/>
    <customPr name="SaveUndoMode" r:id="rId3"/>
  </customProperties>
  <drawing r:id="rId4"/>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pageSetUpPr autoPageBreaks="0"/>
  </sheetPr>
  <dimension ref="A1:AK252"/>
  <sheetViews>
    <sheetView showGridLines="0" topLeftCell="F16" zoomScale="70" zoomScaleNormal="70" workbookViewId="0">
      <selection activeCell="N37" sqref="N37"/>
    </sheetView>
  </sheetViews>
  <sheetFormatPr defaultColWidth="9.140625" defaultRowHeight="12.75" outlineLevelRow="1"/>
  <cols>
    <col min="1" max="3" width="11" style="170" hidden="1" customWidth="1"/>
    <col min="4" max="4" width="23.28515625" style="170" customWidth="1"/>
    <col min="5" max="5" width="44.28515625" style="170" customWidth="1"/>
    <col min="6" max="6" width="65.85546875" style="170" customWidth="1"/>
    <col min="7" max="22" width="15.7109375" style="170" customWidth="1"/>
    <col min="23" max="23" width="36.7109375" style="170" customWidth="1"/>
    <col min="24" max="26" width="8.7109375"/>
    <col min="27" max="34" width="15.7109375" style="1266" customWidth="1"/>
    <col min="35" max="16384" width="9.140625" style="170"/>
  </cols>
  <sheetData>
    <row r="1" spans="1:35" s="217" customFormat="1" ht="24" customHeight="1">
      <c r="E1" s="2272" t="str">
        <f>IF(dms_DataQuality="backcast",INDEX(dms_Worksheet_List,MATCH(dms_Model,dms_Model_List))&amp;" BACKCAST",INDEX(dms_Worksheet_List,MATCH(dms_Model,dms_Model_List)))</f>
        <v>REGULATORY REPORTING STATEMENT</v>
      </c>
      <c r="F1" s="518"/>
      <c r="G1" s="518"/>
      <c r="H1" s="219"/>
      <c r="I1" s="219"/>
      <c r="J1" s="219"/>
      <c r="K1" s="219"/>
      <c r="L1" s="219"/>
      <c r="M1" s="219"/>
      <c r="N1" s="219"/>
      <c r="O1" s="219"/>
      <c r="P1" s="219"/>
      <c r="Q1" s="219"/>
      <c r="R1" s="219"/>
      <c r="S1" s="219"/>
      <c r="T1" s="219"/>
      <c r="U1" s="219"/>
      <c r="V1" s="219"/>
      <c r="W1" s="219"/>
      <c r="X1" s="219"/>
      <c r="Y1" s="219"/>
      <c r="Z1" s="219"/>
      <c r="AA1" s="518"/>
      <c r="AB1" s="219"/>
      <c r="AC1" s="219"/>
      <c r="AD1" s="219"/>
      <c r="AE1" s="219"/>
      <c r="AF1" s="219"/>
      <c r="AG1" s="219"/>
      <c r="AH1" s="219"/>
      <c r="AI1" s="65"/>
    </row>
    <row r="2" spans="1:35" s="217" customFormat="1" ht="24" customHeight="1">
      <c r="E2" s="2277" t="str">
        <f>INDEX(dms_TradingNameFull_List,MATCH(dms_TradingName,dms_TradingName_List))</f>
        <v>Multinet Gas (DB No.1) Pty Ltd (ACN 086 026 986), Multinet Gas (DB No.2) Pty Ltd (ACN 086 230 122)</v>
      </c>
      <c r="F2" s="220"/>
      <c r="G2" s="220"/>
      <c r="H2" s="219"/>
      <c r="I2" s="219"/>
      <c r="J2" s="219"/>
      <c r="K2" s="219"/>
      <c r="L2" s="219"/>
      <c r="M2" s="219"/>
      <c r="N2" s="219"/>
      <c r="O2" s="219"/>
      <c r="P2" s="219"/>
      <c r="Q2" s="219"/>
      <c r="R2" s="219"/>
      <c r="S2" s="219"/>
      <c r="T2" s="219"/>
      <c r="U2" s="219"/>
      <c r="V2" s="219"/>
      <c r="W2" s="219"/>
      <c r="X2" s="219"/>
      <c r="Y2" s="219"/>
      <c r="Z2" s="219"/>
      <c r="AA2" s="1267"/>
      <c r="AB2" s="219"/>
      <c r="AC2" s="219"/>
      <c r="AD2" s="219"/>
      <c r="AE2" s="219"/>
      <c r="AF2" s="219"/>
      <c r="AG2" s="219"/>
      <c r="AH2" s="219"/>
      <c r="AI2" s="65"/>
    </row>
    <row r="3" spans="1:35" s="217" customFormat="1" ht="24" customHeight="1">
      <c r="E3" s="2277" t="str">
        <f ca="1">IF(SUM(dms_SingleYear_Model)&gt;0,CRY,CONCATENATE(FRCP_y1," to ",dms_MultiYear_FinalYear_Result))</f>
        <v>2018 to 2022</v>
      </c>
      <c r="F3" s="221"/>
      <c r="G3" s="221"/>
      <c r="H3" s="222"/>
      <c r="I3" s="221"/>
      <c r="J3" s="221"/>
      <c r="K3" s="221"/>
      <c r="L3" s="221"/>
      <c r="M3" s="221"/>
      <c r="N3" s="221"/>
      <c r="O3" s="221"/>
      <c r="P3" s="221"/>
      <c r="Q3" s="221"/>
      <c r="R3" s="221"/>
      <c r="S3" s="221"/>
      <c r="T3" s="221"/>
      <c r="U3" s="221"/>
      <c r="V3" s="221"/>
      <c r="W3" s="221"/>
      <c r="X3" s="1265"/>
      <c r="Y3" s="1265"/>
      <c r="Z3" s="1265"/>
      <c r="AA3" s="1265"/>
      <c r="AB3" s="222"/>
      <c r="AC3" s="1265"/>
      <c r="AD3" s="1265"/>
      <c r="AE3" s="1265"/>
      <c r="AF3" s="1265"/>
      <c r="AG3" s="1265"/>
      <c r="AH3" s="1265"/>
      <c r="AI3" s="65"/>
    </row>
    <row r="4" spans="1:35" s="159" customFormat="1" ht="24" customHeight="1">
      <c r="B4" s="10"/>
      <c r="C4" s="12"/>
      <c r="D4"/>
      <c r="E4" s="12" t="s">
        <v>462</v>
      </c>
      <c r="F4" s="12"/>
      <c r="G4" s="12"/>
      <c r="H4" s="12"/>
      <c r="I4" s="12"/>
      <c r="J4" s="12"/>
      <c r="K4" s="12"/>
      <c r="L4" s="12"/>
      <c r="M4" s="12"/>
      <c r="N4" s="12"/>
      <c r="O4" s="12"/>
      <c r="P4" s="12"/>
      <c r="Q4" s="12"/>
      <c r="R4" s="12"/>
      <c r="S4" s="12"/>
      <c r="T4" s="12"/>
      <c r="U4" s="12"/>
      <c r="V4" s="12"/>
      <c r="W4" s="12"/>
      <c r="X4" s="12"/>
      <c r="Y4" s="12"/>
      <c r="Z4" s="12"/>
      <c r="AA4" s="12"/>
      <c r="AB4" s="12"/>
      <c r="AC4" s="12"/>
      <c r="AD4" s="12"/>
      <c r="AE4" s="12"/>
      <c r="AF4" s="12"/>
      <c r="AG4" s="12"/>
      <c r="AH4" s="12"/>
    </row>
    <row r="5" spans="1:35" s="501" customFormat="1" ht="25.5" customHeight="1" thickBot="1">
      <c r="A5" s="299"/>
      <c r="B5" s="299"/>
      <c r="C5" s="299"/>
      <c r="D5" s="299"/>
      <c r="E5" s="282"/>
      <c r="F5" s="282"/>
      <c r="G5"/>
      <c r="H5"/>
      <c r="I5"/>
      <c r="J5"/>
      <c r="K5"/>
      <c r="L5"/>
      <c r="M5"/>
      <c r="N5"/>
      <c r="O5"/>
      <c r="P5"/>
      <c r="Q5"/>
      <c r="R5"/>
      <c r="S5"/>
      <c r="T5"/>
      <c r="U5"/>
      <c r="V5"/>
      <c r="W5"/>
      <c r="X5"/>
      <c r="Y5"/>
      <c r="Z5"/>
      <c r="AA5"/>
      <c r="AB5"/>
      <c r="AC5"/>
      <c r="AD5"/>
      <c r="AE5"/>
      <c r="AF5"/>
      <c r="AG5"/>
      <c r="AH5"/>
    </row>
    <row r="6" spans="1:35" s="501" customFormat="1">
      <c r="A6" s="997" t="s">
        <v>196</v>
      </c>
      <c r="B6" s="998" t="s">
        <v>202</v>
      </c>
      <c r="C6" s="1003"/>
      <c r="D6" s="299"/>
      <c r="E6" s="152" t="s">
        <v>61</v>
      </c>
      <c r="F6" s="152"/>
      <c r="G6" s="152"/>
      <c r="H6" s="152"/>
      <c r="I6" s="152"/>
      <c r="J6" s="152"/>
      <c r="K6" s="152"/>
      <c r="L6" s="152"/>
      <c r="M6" s="282"/>
      <c r="N6" s="282"/>
      <c r="O6" s="282"/>
      <c r="P6" s="282"/>
      <c r="Q6" s="282"/>
      <c r="R6" s="282"/>
      <c r="S6" s="282"/>
      <c r="U6" s="299"/>
      <c r="V6" s="299"/>
      <c r="W6"/>
      <c r="X6"/>
      <c r="Y6"/>
      <c r="Z6"/>
      <c r="AA6"/>
      <c r="AB6"/>
      <c r="AC6"/>
      <c r="AD6"/>
      <c r="AE6"/>
      <c r="AF6"/>
      <c r="AG6"/>
      <c r="AH6"/>
    </row>
    <row r="7" spans="1:35" s="501" customFormat="1" ht="15.75" customHeight="1">
      <c r="A7" s="999" t="s">
        <v>197</v>
      </c>
      <c r="B7" s="1000" t="s">
        <v>203</v>
      </c>
      <c r="C7" s="1004"/>
      <c r="D7" s="299"/>
      <c r="E7" s="4211" t="s">
        <v>463</v>
      </c>
      <c r="F7" s="4211"/>
      <c r="G7" s="4211"/>
      <c r="H7" s="4211"/>
      <c r="I7" s="4211"/>
      <c r="J7" s="4211"/>
      <c r="K7" s="4211"/>
      <c r="L7" s="4211"/>
      <c r="M7" s="282"/>
      <c r="N7" s="282"/>
      <c r="O7" s="282"/>
      <c r="P7" s="282"/>
      <c r="Q7" s="282"/>
      <c r="R7" s="282"/>
      <c r="S7" s="282"/>
      <c r="U7" s="299"/>
      <c r="V7" s="299"/>
      <c r="W7"/>
      <c r="X7"/>
      <c r="Y7"/>
      <c r="Z7"/>
      <c r="AA7"/>
      <c r="AB7"/>
      <c r="AC7"/>
      <c r="AD7"/>
      <c r="AE7"/>
      <c r="AF7"/>
      <c r="AG7"/>
      <c r="AH7"/>
    </row>
    <row r="8" spans="1:35" s="69" customFormat="1" ht="34.5" customHeight="1">
      <c r="A8" s="999" t="s">
        <v>198</v>
      </c>
      <c r="B8" s="1000" t="s">
        <v>204</v>
      </c>
      <c r="C8" s="1005"/>
      <c r="D8" s="392"/>
      <c r="E8" s="4163" t="str">
        <f>CONCATENATE("As set out in cl.6.1 of the ", dms_TradingName, " RIN, for tables 7.1 to 7.2, where the requested data is captured in the ", dms_TradingName, " capex model it is not required to be reentered in the RIN template tables.  If the requested data has not been provided in the ", dms_TradingName, " RIN please enter into the tables. This may require the insertion of new lines in each table.")</f>
        <v>As set out in cl.6.1 of the Multinet Gas RIN, for tables 7.1 to 7.2, where the requested data is captured in the Multinet Gas capex model it is not required to be reentered in the RIN template tables.  If the requested data has not been provided in the Multinet Gas RIN please enter into the tables. This may require the insertion of new lines in each table.</v>
      </c>
      <c r="F8" s="4163"/>
      <c r="G8" s="4163"/>
      <c r="H8" s="4163"/>
      <c r="I8" s="4163"/>
      <c r="J8" s="4163"/>
      <c r="K8" s="4163"/>
      <c r="L8" s="4163"/>
      <c r="M8" s="282"/>
      <c r="N8" s="282"/>
      <c r="O8" s="282"/>
      <c r="P8" s="282"/>
      <c r="Q8" s="282"/>
      <c r="R8" s="282"/>
      <c r="S8" s="282"/>
      <c r="T8" s="511"/>
      <c r="U8" s="511"/>
      <c r="V8" s="511"/>
      <c r="W8"/>
      <c r="X8"/>
      <c r="Y8"/>
      <c r="Z8"/>
      <c r="AA8"/>
      <c r="AB8"/>
      <c r="AC8"/>
      <c r="AD8"/>
      <c r="AE8"/>
      <c r="AF8"/>
      <c r="AG8"/>
      <c r="AH8"/>
    </row>
    <row r="9" spans="1:35" s="69" customFormat="1" ht="39" customHeight="1">
      <c r="A9" s="999" t="s">
        <v>199</v>
      </c>
      <c r="B9" s="1000" t="s">
        <v>205</v>
      </c>
      <c r="C9" s="1005"/>
      <c r="D9" s="392"/>
      <c r="E9" s="4163" t="s">
        <v>445</v>
      </c>
      <c r="F9" s="4163"/>
      <c r="G9" s="4163"/>
      <c r="H9" s="4163"/>
      <c r="I9" s="4163"/>
      <c r="J9" s="4163"/>
      <c r="K9" s="4163"/>
      <c r="L9" s="4163"/>
      <c r="M9" s="282"/>
      <c r="N9" s="282"/>
      <c r="O9" s="282"/>
      <c r="P9" s="282"/>
      <c r="Q9" s="282"/>
      <c r="R9" s="282"/>
      <c r="S9" s="282"/>
      <c r="T9" s="511"/>
      <c r="U9" s="511"/>
      <c r="V9" s="511"/>
      <c r="W9" s="511"/>
      <c r="X9"/>
      <c r="Y9"/>
      <c r="Z9"/>
      <c r="AA9"/>
      <c r="AB9"/>
      <c r="AC9"/>
      <c r="AD9"/>
      <c r="AE9"/>
      <c r="AF9"/>
      <c r="AG9"/>
      <c r="AH9"/>
    </row>
    <row r="10" spans="1:35" s="93" customFormat="1" ht="34.5" customHeight="1">
      <c r="A10" s="999" t="s">
        <v>195</v>
      </c>
      <c r="B10" s="1000" t="s">
        <v>201</v>
      </c>
      <c r="C10" s="1006"/>
      <c r="D10" s="513"/>
      <c r="E10" s="4163" t="str">
        <f>CONCATENATE("Subject to cl.6.1 of the ", dms_TradingName, " RIN, where linked/adjustable overhead expenditure and related party margin expenditure is not provided in the ", dms_TradingName, " capex model, overhead expenditure and related party margin expenditure should be linked to allocations derived in tabs '14. Overheads' and '15. Related party transactions'.")</f>
        <v>Subject to cl.6.1 of the Multinet Gas RIN, where linked/adjustable overhead expenditure and related party margin expenditure is not provided in the Multinet Gas capex model, overhead expenditure and related party margin expenditure should be linked to allocations derived in tabs '14. Overheads' and '15. Related party transactions'.</v>
      </c>
      <c r="F10" s="4163"/>
      <c r="G10" s="4163"/>
      <c r="H10" s="4163"/>
      <c r="I10" s="4163"/>
      <c r="J10" s="4163"/>
      <c r="K10" s="4163"/>
      <c r="L10" s="4163"/>
      <c r="M10" s="514"/>
      <c r="N10" s="514"/>
      <c r="O10" s="515"/>
      <c r="P10" s="515"/>
      <c r="Q10" s="513"/>
      <c r="R10" s="513"/>
      <c r="S10" s="513"/>
      <c r="T10" s="513"/>
      <c r="U10" s="513"/>
      <c r="V10" s="513"/>
      <c r="W10" s="513"/>
      <c r="X10"/>
      <c r="Y10"/>
      <c r="Z10"/>
      <c r="AA10"/>
      <c r="AB10"/>
      <c r="AC10"/>
      <c r="AD10"/>
      <c r="AE10"/>
      <c r="AG10" s="514"/>
      <c r="AH10" s="514"/>
    </row>
    <row r="11" spans="1:35" s="93" customFormat="1" ht="22.5" customHeight="1">
      <c r="A11" s="999" t="s">
        <v>200</v>
      </c>
      <c r="B11" s="1000" t="s">
        <v>206</v>
      </c>
      <c r="C11" s="1006"/>
      <c r="D11" s="513"/>
      <c r="E11" s="4163" t="s">
        <v>161</v>
      </c>
      <c r="F11" s="4163"/>
      <c r="G11" s="4163"/>
      <c r="H11" s="4212"/>
      <c r="I11" s="4212"/>
      <c r="J11" s="4212"/>
      <c r="K11" s="4212"/>
      <c r="L11" s="4212"/>
      <c r="M11" s="514"/>
      <c r="N11" s="514"/>
      <c r="O11" s="515"/>
      <c r="P11" s="515"/>
      <c r="Q11" s="513"/>
      <c r="R11" s="513"/>
      <c r="S11" s="513"/>
      <c r="T11" s="513"/>
      <c r="U11" s="513"/>
      <c r="V11" s="513"/>
      <c r="W11" s="513"/>
      <c r="X11"/>
      <c r="Y11"/>
      <c r="Z11"/>
      <c r="AA11"/>
      <c r="AB11"/>
      <c r="AC11"/>
      <c r="AD11"/>
      <c r="AE11"/>
      <c r="AG11" s="514"/>
      <c r="AH11" s="514"/>
    </row>
    <row r="12" spans="1:35" s="78" customFormat="1" ht="28.5" customHeight="1" thickBot="1">
      <c r="A12" s="1001" t="s">
        <v>284</v>
      </c>
      <c r="B12" s="1002" t="s">
        <v>623</v>
      </c>
      <c r="C12" s="1007"/>
      <c r="D12" s="299"/>
      <c r="E12" s="533"/>
      <c r="F12" s="533"/>
      <c r="G12" s="533"/>
      <c r="H12" s="299"/>
      <c r="I12" s="299"/>
      <c r="J12" s="299"/>
      <c r="K12" s="299"/>
      <c r="L12" s="299"/>
      <c r="M12" s="299"/>
      <c r="N12" s="299"/>
      <c r="O12" s="299"/>
      <c r="P12" s="299"/>
      <c r="Q12" s="299"/>
      <c r="R12" s="299"/>
      <c r="S12" s="299"/>
      <c r="T12" s="299"/>
      <c r="U12" s="299"/>
      <c r="V12" s="299"/>
      <c r="W12" s="299"/>
      <c r="X12"/>
      <c r="Y12"/>
      <c r="Z12"/>
      <c r="AA12" s="533"/>
      <c r="AB12" s="299"/>
      <c r="AC12" s="299"/>
      <c r="AD12" s="299"/>
      <c r="AE12" s="299"/>
      <c r="AF12" s="299"/>
      <c r="AG12" s="299"/>
      <c r="AH12" s="299"/>
    </row>
    <row r="13" spans="1:35" s="65" customFormat="1" ht="45" customHeight="1" thickBot="1">
      <c r="A13" s="282"/>
      <c r="B13" s="282"/>
      <c r="C13" s="282"/>
      <c r="D13" s="282"/>
      <c r="E13" s="282"/>
      <c r="F13" s="282"/>
      <c r="G13" s="282"/>
      <c r="H13" s="282"/>
      <c r="I13" s="282"/>
      <c r="J13" s="282"/>
      <c r="K13" s="282"/>
      <c r="L13" s="282"/>
      <c r="M13" s="282"/>
      <c r="N13" s="282"/>
      <c r="O13" s="282"/>
      <c r="P13" s="282"/>
      <c r="Q13" s="282"/>
      <c r="R13" s="282"/>
      <c r="S13" s="282"/>
      <c r="T13" s="282"/>
      <c r="U13" s="282"/>
      <c r="V13" s="282"/>
      <c r="W13" s="282"/>
      <c r="X13"/>
      <c r="Y13"/>
      <c r="Z13"/>
      <c r="AA13" s="1268"/>
      <c r="AB13" s="1268"/>
      <c r="AC13" s="1268"/>
      <c r="AD13" s="1268"/>
      <c r="AE13" s="1268"/>
      <c r="AF13" s="1268"/>
      <c r="AG13" s="1268"/>
      <c r="AH13" s="1268"/>
    </row>
    <row r="14" spans="1:35" s="1266" customFormat="1" ht="23.25" customHeight="1" thickBot="1">
      <c r="A14" s="299"/>
      <c r="B14" s="299"/>
      <c r="C14" s="299"/>
      <c r="D14" s="299"/>
      <c r="E14" s="769" t="s">
        <v>506</v>
      </c>
      <c r="F14" s="769"/>
      <c r="G14" s="769"/>
      <c r="H14" s="769"/>
      <c r="I14" s="769"/>
      <c r="J14" s="769"/>
      <c r="K14" s="769"/>
      <c r="L14" s="769"/>
      <c r="M14" s="769"/>
      <c r="N14" s="769"/>
      <c r="O14" s="769"/>
      <c r="P14" s="769"/>
      <c r="Q14" s="769"/>
      <c r="R14" s="769"/>
      <c r="S14" s="769"/>
      <c r="T14" s="769"/>
      <c r="U14" s="769"/>
      <c r="V14" s="769"/>
      <c r="W14" s="769"/>
      <c r="AA14" s="769" t="s">
        <v>674</v>
      </c>
      <c r="AB14" s="769"/>
      <c r="AC14" s="769"/>
      <c r="AD14" s="769"/>
      <c r="AE14" s="769"/>
      <c r="AF14" s="769"/>
      <c r="AG14" s="769"/>
      <c r="AH14" s="1303"/>
    </row>
    <row r="15" spans="1:35" s="65" customFormat="1" ht="23.25" customHeight="1" thickBot="1">
      <c r="A15" s="283"/>
      <c r="B15" s="283"/>
      <c r="C15" s="283"/>
      <c r="D15" s="283"/>
      <c r="E15" s="2867" t="s">
        <v>673</v>
      </c>
      <c r="F15" s="1373"/>
      <c r="G15" s="1373"/>
      <c r="H15" s="1373"/>
      <c r="I15" s="1373"/>
      <c r="J15" s="1373"/>
      <c r="K15" s="1373"/>
      <c r="L15" s="1373"/>
      <c r="M15" s="1373"/>
      <c r="N15" s="1373"/>
      <c r="O15" s="1373"/>
      <c r="P15" s="1373"/>
      <c r="Q15" s="1373"/>
      <c r="R15" s="1373"/>
      <c r="S15" s="1373"/>
      <c r="T15" s="1373"/>
      <c r="U15" s="1373"/>
      <c r="V15" s="1373"/>
      <c r="W15" s="1374"/>
      <c r="X15"/>
      <c r="Y15"/>
      <c r="Z15"/>
      <c r="AA15" s="1372"/>
      <c r="AB15" s="1373"/>
      <c r="AC15" s="1373"/>
      <c r="AD15" s="1373"/>
      <c r="AE15" s="1373"/>
      <c r="AF15" s="1373"/>
      <c r="AG15" s="1373"/>
      <c r="AH15" s="1374"/>
    </row>
    <row r="16" spans="1:35" s="501" customFormat="1" ht="51.75" customHeight="1">
      <c r="A16" s="299"/>
      <c r="B16" s="299"/>
      <c r="C16" s="299"/>
      <c r="D16" s="299"/>
      <c r="E16" s="284"/>
      <c r="F16" s="546"/>
      <c r="G16" s="4186" t="s">
        <v>36</v>
      </c>
      <c r="H16" s="4137"/>
      <c r="I16" s="4137"/>
      <c r="J16" s="4137"/>
      <c r="K16" s="4137"/>
      <c r="L16" s="4187" t="s">
        <v>37</v>
      </c>
      <c r="M16" s="4188"/>
      <c r="N16" s="4188"/>
      <c r="O16" s="4188"/>
      <c r="P16" s="4188"/>
      <c r="Q16" s="4178" t="s">
        <v>356</v>
      </c>
      <c r="R16" s="4105" t="s">
        <v>75</v>
      </c>
      <c r="S16" s="4137"/>
      <c r="T16" s="4137"/>
      <c r="U16" s="4137"/>
      <c r="V16" s="4177"/>
      <c r="W16" s="4272" t="s">
        <v>162</v>
      </c>
      <c r="X16"/>
      <c r="Y16"/>
      <c r="Z16"/>
      <c r="AA16" s="4186" t="s">
        <v>36</v>
      </c>
      <c r="AB16" s="4137"/>
      <c r="AC16" s="4137"/>
      <c r="AD16" s="4137"/>
      <c r="AE16" s="4137"/>
      <c r="AF16" s="4187" t="s">
        <v>37</v>
      </c>
      <c r="AG16" s="4188"/>
      <c r="AH16" s="4189"/>
    </row>
    <row r="17" spans="1:34" s="501" customFormat="1" ht="36" customHeight="1">
      <c r="A17" s="299"/>
      <c r="B17" s="299"/>
      <c r="C17" s="299"/>
      <c r="D17" s="299"/>
      <c r="E17" s="1273"/>
      <c r="F17" s="547"/>
      <c r="G17" s="4125" t="s">
        <v>569</v>
      </c>
      <c r="H17" s="4126"/>
      <c r="I17" s="4126"/>
      <c r="J17" s="4126"/>
      <c r="K17" s="4126"/>
      <c r="L17" s="4126"/>
      <c r="M17" s="4126"/>
      <c r="N17" s="4126"/>
      <c r="O17" s="4129" t="s">
        <v>568</v>
      </c>
      <c r="P17" s="4213"/>
      <c r="Q17" s="4179"/>
      <c r="R17" s="4132" t="str">
        <f>CONCATENATE("$0's, real ",dms_DollarReal)</f>
        <v>$0's, real December 2017</v>
      </c>
      <c r="S17" s="4132"/>
      <c r="T17" s="4132"/>
      <c r="U17" s="4132"/>
      <c r="V17" s="4274"/>
      <c r="W17" s="4273"/>
      <c r="X17"/>
      <c r="Y17"/>
      <c r="Z17"/>
      <c r="AA17" s="4125" t="str">
        <f>CONCATENATE("$0's, real ",dms_DollarReal)</f>
        <v>$0's, real December 2017</v>
      </c>
      <c r="AB17" s="4126"/>
      <c r="AC17" s="4126"/>
      <c r="AD17" s="4126"/>
      <c r="AE17" s="4126"/>
      <c r="AF17" s="4126"/>
      <c r="AG17" s="4126"/>
      <c r="AH17" s="4169"/>
    </row>
    <row r="18" spans="1:34" s="501" customFormat="1" ht="35.25" customHeight="1">
      <c r="A18" s="403" t="s">
        <v>191</v>
      </c>
      <c r="B18" s="403" t="s">
        <v>192</v>
      </c>
      <c r="C18" s="532" t="s">
        <v>207</v>
      </c>
      <c r="D18" s="282"/>
      <c r="E18" s="1273"/>
      <c r="F18" s="547"/>
      <c r="G18" s="4125" t="s">
        <v>56</v>
      </c>
      <c r="H18" s="4126"/>
      <c r="I18" s="4126"/>
      <c r="J18" s="4126"/>
      <c r="K18" s="4126"/>
      <c r="L18" s="4126"/>
      <c r="M18" s="4126"/>
      <c r="N18" s="4127"/>
      <c r="O18" s="4128" t="s">
        <v>57</v>
      </c>
      <c r="P18" s="4213"/>
      <c r="Q18" s="3635" t="s">
        <v>347</v>
      </c>
      <c r="R18" s="4132" t="s">
        <v>57</v>
      </c>
      <c r="S18" s="4132"/>
      <c r="T18" s="4132"/>
      <c r="U18" s="4132"/>
      <c r="V18" s="4274"/>
      <c r="W18" s="4273"/>
      <c r="X18"/>
      <c r="Y18"/>
      <c r="Z18"/>
      <c r="AA18" s="4125" t="s">
        <v>56</v>
      </c>
      <c r="AB18" s="4126"/>
      <c r="AC18" s="4126"/>
      <c r="AD18" s="4126"/>
      <c r="AE18" s="4126"/>
      <c r="AF18" s="4126"/>
      <c r="AG18" s="4126"/>
      <c r="AH18" s="4169"/>
    </row>
    <row r="19" spans="1:34" s="501" customFormat="1" ht="21" customHeight="1" thickBot="1">
      <c r="A19" s="65"/>
      <c r="B19" s="65"/>
      <c r="C19" s="65"/>
      <c r="D19" s="282"/>
      <c r="E19" s="3047"/>
      <c r="F19" s="3540"/>
      <c r="G19" s="1313">
        <f t="array" ref="G19:K19">PRCP</f>
        <v>2008</v>
      </c>
      <c r="H19" s="1314">
        <v>2009</v>
      </c>
      <c r="I19" s="1314">
        <v>2010</v>
      </c>
      <c r="J19" s="1314">
        <v>2011</v>
      </c>
      <c r="K19" s="1314">
        <v>2012</v>
      </c>
      <c r="L19" s="379">
        <f>CRCP_y1</f>
        <v>2013</v>
      </c>
      <c r="M19" s="379">
        <f>CRCP_y2</f>
        <v>2014</v>
      </c>
      <c r="N19" s="379">
        <f>CRCP_y3</f>
        <v>2015</v>
      </c>
      <c r="O19" s="379">
        <f>CRCP_y4</f>
        <v>2016</v>
      </c>
      <c r="P19" s="379">
        <f>CRCP_y5</f>
        <v>2017</v>
      </c>
      <c r="Q19" s="380" t="s">
        <v>118</v>
      </c>
      <c r="R19" s="1314" t="str">
        <f t="array" ref="R19:V19">FRCP</f>
        <v>2018</v>
      </c>
      <c r="S19" s="1314">
        <v>2019</v>
      </c>
      <c r="T19" s="1314">
        <v>2020</v>
      </c>
      <c r="U19" s="1314">
        <v>2021</v>
      </c>
      <c r="V19" s="381">
        <v>2022</v>
      </c>
      <c r="W19" s="382"/>
      <c r="X19"/>
      <c r="Y19"/>
      <c r="Z19"/>
      <c r="AA19" s="1313">
        <f t="array" ref="AA19:AE19">PRCP</f>
        <v>2008</v>
      </c>
      <c r="AB19" s="1314">
        <v>2009</v>
      </c>
      <c r="AC19" s="1314">
        <v>2010</v>
      </c>
      <c r="AD19" s="1314">
        <v>2011</v>
      </c>
      <c r="AE19" s="1314">
        <v>2012</v>
      </c>
      <c r="AF19" s="379">
        <f>CRCP_y1</f>
        <v>2013</v>
      </c>
      <c r="AG19" s="379">
        <f>CRCP_y2</f>
        <v>2014</v>
      </c>
      <c r="AH19" s="1772">
        <f>CRCP_y3</f>
        <v>2015</v>
      </c>
    </row>
    <row r="20" spans="1:34" s="78" customFormat="1" ht="40.5" customHeight="1" thickBot="1">
      <c r="A20" s="299"/>
      <c r="B20" s="299"/>
      <c r="C20" s="299"/>
      <c r="D20" s="299"/>
      <c r="E20" s="4259"/>
      <c r="F20" s="4260"/>
      <c r="G20" s="1707"/>
      <c r="H20" s="1708"/>
      <c r="I20" s="1708"/>
      <c r="J20" s="1708"/>
      <c r="K20" s="1708"/>
      <c r="L20" s="1708"/>
      <c r="M20" s="1708"/>
      <c r="N20" s="1708"/>
      <c r="O20" s="1708"/>
      <c r="P20" s="1708"/>
      <c r="Q20" s="1708"/>
      <c r="R20" s="1708"/>
      <c r="S20" s="1708"/>
      <c r="T20" s="1708"/>
      <c r="U20" s="1708"/>
      <c r="V20" s="1708"/>
      <c r="W20" s="1709"/>
      <c r="X20"/>
      <c r="Y20"/>
      <c r="Z20"/>
      <c r="AA20" s="1820"/>
      <c r="AB20" s="1708"/>
      <c r="AC20" s="1708"/>
      <c r="AD20" s="1708"/>
      <c r="AE20" s="1708"/>
      <c r="AF20" s="1708"/>
      <c r="AG20" s="1708"/>
      <c r="AH20" s="1709"/>
    </row>
    <row r="21" spans="1:34" s="501" customFormat="1" ht="27.75" customHeight="1" outlineLevel="1">
      <c r="A21" s="78"/>
      <c r="B21" s="78"/>
      <c r="C21" s="78"/>
      <c r="D21" s="299"/>
      <c r="E21" s="3636" t="s">
        <v>1539</v>
      </c>
      <c r="F21" s="880" t="s">
        <v>619</v>
      </c>
      <c r="G21" s="1699"/>
      <c r="H21" s="1700"/>
      <c r="I21" s="1700"/>
      <c r="J21" s="1700"/>
      <c r="K21" s="1710"/>
      <c r="L21" s="564"/>
      <c r="M21" s="565"/>
      <c r="N21" s="565"/>
      <c r="O21" s="565"/>
      <c r="P21" s="566"/>
      <c r="Q21" s="1280"/>
      <c r="R21" s="565"/>
      <c r="S21" s="565"/>
      <c r="T21" s="565"/>
      <c r="U21" s="565"/>
      <c r="V21" s="566"/>
      <c r="W21" s="4262"/>
      <c r="X21"/>
      <c r="Y21"/>
      <c r="Z21"/>
      <c r="AA21" s="553"/>
      <c r="AB21" s="554"/>
      <c r="AC21" s="554"/>
      <c r="AD21" s="554"/>
      <c r="AE21" s="555"/>
      <c r="AF21" s="564"/>
      <c r="AG21" s="565"/>
      <c r="AH21" s="566"/>
    </row>
    <row r="22" spans="1:34" s="501" customFormat="1" ht="12.75" customHeight="1" outlineLevel="1">
      <c r="A22" s="78"/>
      <c r="B22" s="78"/>
      <c r="C22" s="78"/>
      <c r="D22" s="299"/>
      <c r="E22" s="524"/>
      <c r="F22" s="542" t="s">
        <v>585</v>
      </c>
      <c r="G22" s="1701"/>
      <c r="H22" s="1702"/>
      <c r="I22" s="1702"/>
      <c r="J22" s="1702"/>
      <c r="K22" s="1711"/>
      <c r="L22" s="486"/>
      <c r="M22" s="485"/>
      <c r="N22" s="485"/>
      <c r="O22" s="485"/>
      <c r="P22" s="487"/>
      <c r="Q22" s="1281"/>
      <c r="R22" s="444"/>
      <c r="S22" s="485"/>
      <c r="T22" s="485"/>
      <c r="U22" s="485"/>
      <c r="V22" s="487"/>
      <c r="W22" s="4263"/>
      <c r="X22"/>
      <c r="Y22"/>
      <c r="Z22"/>
      <c r="AA22" s="497"/>
      <c r="AB22" s="495"/>
      <c r="AC22" s="495"/>
      <c r="AD22" s="495"/>
      <c r="AE22" s="556"/>
      <c r="AF22" s="489"/>
      <c r="AG22" s="490"/>
      <c r="AH22" s="491"/>
    </row>
    <row r="23" spans="1:34" s="501" customFormat="1" ht="12.75" customHeight="1" outlineLevel="1">
      <c r="D23" s="299"/>
      <c r="E23" s="524"/>
      <c r="F23" s="542" t="s">
        <v>584</v>
      </c>
      <c r="G23" s="1701"/>
      <c r="H23" s="1702"/>
      <c r="I23" s="1702"/>
      <c r="J23" s="1702"/>
      <c r="K23" s="1711"/>
      <c r="L23" s="486">
        <v>30426.57</v>
      </c>
      <c r="M23" s="485">
        <v>7334.87</v>
      </c>
      <c r="N23" s="485">
        <v>1365.91</v>
      </c>
      <c r="O23" s="485"/>
      <c r="P23" s="487"/>
      <c r="Q23" s="1281"/>
      <c r="R23" s="444"/>
      <c r="S23" s="485"/>
      <c r="T23" s="485"/>
      <c r="U23" s="485"/>
      <c r="V23" s="487"/>
      <c r="W23" s="4263"/>
      <c r="X23"/>
      <c r="Y23"/>
      <c r="Z23"/>
      <c r="AA23" s="497"/>
      <c r="AB23" s="495"/>
      <c r="AC23" s="495"/>
      <c r="AD23" s="495"/>
      <c r="AE23" s="556"/>
      <c r="AF23" s="489"/>
      <c r="AG23" s="490"/>
      <c r="AH23" s="491"/>
    </row>
    <row r="24" spans="1:34" s="501" customFormat="1" ht="12.75" customHeight="1" outlineLevel="1">
      <c r="D24" s="299"/>
      <c r="E24" s="524"/>
      <c r="F24" s="542" t="s">
        <v>604</v>
      </c>
      <c r="G24" s="1701"/>
      <c r="H24" s="1702"/>
      <c r="I24" s="1702"/>
      <c r="J24" s="1702"/>
      <c r="K24" s="1711"/>
      <c r="L24" s="486"/>
      <c r="M24" s="485"/>
      <c r="N24" s="485"/>
      <c r="O24" s="485"/>
      <c r="P24" s="487"/>
      <c r="Q24" s="1281"/>
      <c r="R24" s="444"/>
      <c r="S24" s="485"/>
      <c r="T24" s="485"/>
      <c r="U24" s="485"/>
      <c r="V24" s="487"/>
      <c r="W24" s="4263"/>
      <c r="X24" s="1266"/>
      <c r="Y24" s="1266"/>
      <c r="Z24" s="1266"/>
      <c r="AA24" s="497"/>
      <c r="AB24" s="495"/>
      <c r="AC24" s="495"/>
      <c r="AD24" s="495"/>
      <c r="AE24" s="556"/>
      <c r="AF24" s="489"/>
      <c r="AG24" s="490"/>
      <c r="AH24" s="491"/>
    </row>
    <row r="25" spans="1:34" s="501" customFormat="1" ht="12.75" customHeight="1" outlineLevel="1">
      <c r="D25" s="299"/>
      <c r="E25" s="524"/>
      <c r="F25" s="543" t="s">
        <v>605</v>
      </c>
      <c r="G25" s="486"/>
      <c r="H25" s="485"/>
      <c r="I25" s="485"/>
      <c r="J25" s="485"/>
      <c r="K25" s="487"/>
      <c r="L25" s="384">
        <f>SUM(L22:L24)</f>
        <v>30426.57</v>
      </c>
      <c r="M25" s="385">
        <f>SUM(M22:M24)</f>
        <v>7334.87</v>
      </c>
      <c r="N25" s="385">
        <f>SUM(N22:N24)</f>
        <v>1365.91</v>
      </c>
      <c r="O25" s="385">
        <f>SUM(O22:O24)</f>
        <v>0</v>
      </c>
      <c r="P25" s="477">
        <f>SUM(P22:P24)</f>
        <v>0</v>
      </c>
      <c r="Q25" s="1282"/>
      <c r="R25" s="474">
        <f>SUM(R22:R24)</f>
        <v>0</v>
      </c>
      <c r="S25" s="385">
        <f>SUM(S22:S24)</f>
        <v>0</v>
      </c>
      <c r="T25" s="385">
        <f>SUM(T22:T24)</f>
        <v>0</v>
      </c>
      <c r="U25" s="385">
        <f>SUM(U22:U24)</f>
        <v>0</v>
      </c>
      <c r="V25" s="477">
        <f>SUM(V22:V24)</f>
        <v>0</v>
      </c>
      <c r="W25" s="4263"/>
      <c r="X25" s="1266"/>
      <c r="Y25" s="1266"/>
      <c r="Z25" s="1266"/>
      <c r="AA25" s="497"/>
      <c r="AB25" s="495"/>
      <c r="AC25" s="495"/>
      <c r="AD25" s="495"/>
      <c r="AE25" s="556"/>
      <c r="AF25" s="489"/>
      <c r="AG25" s="490"/>
      <c r="AH25" s="491"/>
    </row>
    <row r="26" spans="1:34" s="501" customFormat="1" ht="12.75" customHeight="1" outlineLevel="1">
      <c r="D26" s="299"/>
      <c r="E26" s="524"/>
      <c r="F26" s="542" t="s">
        <v>609</v>
      </c>
      <c r="G26" s="486"/>
      <c r="H26" s="485"/>
      <c r="I26" s="485"/>
      <c r="J26" s="485"/>
      <c r="K26" s="487"/>
      <c r="L26" s="536">
        <v>790.60633638444699</v>
      </c>
      <c r="M26" s="537">
        <v>308.43</v>
      </c>
      <c r="N26" s="537">
        <v>76.09</v>
      </c>
      <c r="O26" s="537">
        <v>0</v>
      </c>
      <c r="P26" s="573">
        <v>0</v>
      </c>
      <c r="Q26" s="1281"/>
      <c r="R26" s="529"/>
      <c r="S26" s="504"/>
      <c r="T26" s="504"/>
      <c r="U26" s="504"/>
      <c r="V26" s="545"/>
      <c r="W26" s="4263"/>
      <c r="X26" s="1266"/>
      <c r="Y26" s="1266"/>
      <c r="Z26" s="1266"/>
      <c r="AA26" s="497"/>
      <c r="AB26" s="495"/>
      <c r="AC26" s="495"/>
      <c r="AD26" s="495"/>
      <c r="AE26" s="556"/>
      <c r="AF26" s="489"/>
      <c r="AG26" s="490"/>
      <c r="AH26" s="491"/>
    </row>
    <row r="27" spans="1:34" s="501" customFormat="1" ht="12.75" customHeight="1" outlineLevel="1">
      <c r="D27" s="299"/>
      <c r="E27" s="524"/>
      <c r="F27" s="542" t="s">
        <v>607</v>
      </c>
      <c r="G27" s="486"/>
      <c r="H27" s="485"/>
      <c r="I27" s="485"/>
      <c r="J27" s="485"/>
      <c r="K27" s="487"/>
      <c r="L27" s="489">
        <v>0</v>
      </c>
      <c r="M27" s="490">
        <v>0</v>
      </c>
      <c r="N27" s="490">
        <v>0</v>
      </c>
      <c r="O27" s="490">
        <v>0</v>
      </c>
      <c r="P27" s="491">
        <v>0</v>
      </c>
      <c r="Q27" s="1281"/>
      <c r="R27" s="444"/>
      <c r="S27" s="485"/>
      <c r="T27" s="485"/>
      <c r="U27" s="485"/>
      <c r="V27" s="487"/>
      <c r="W27" s="4263"/>
      <c r="X27" s="1266"/>
      <c r="Y27" s="1266"/>
      <c r="Z27" s="1266"/>
      <c r="AA27" s="497"/>
      <c r="AB27" s="495"/>
      <c r="AC27" s="495"/>
      <c r="AD27" s="495"/>
      <c r="AE27" s="556"/>
      <c r="AF27" s="489"/>
      <c r="AG27" s="490"/>
      <c r="AH27" s="491"/>
    </row>
    <row r="28" spans="1:34" s="501" customFormat="1" ht="12.75" customHeight="1" outlineLevel="1">
      <c r="D28" s="299"/>
      <c r="E28" s="524"/>
      <c r="F28" s="543" t="s">
        <v>610</v>
      </c>
      <c r="G28" s="384">
        <f>SUM(G26:G27)</f>
        <v>0</v>
      </c>
      <c r="H28" s="385">
        <f>SUM(H26:H27)</f>
        <v>0</v>
      </c>
      <c r="I28" s="385">
        <f>SUM(I26:I27)</f>
        <v>0</v>
      </c>
      <c r="J28" s="385">
        <f>SUM(J26:J27)</f>
        <v>0</v>
      </c>
      <c r="K28" s="477">
        <f>SUM(K26:K27)</f>
        <v>0</v>
      </c>
      <c r="L28" s="384">
        <f>SUM(L25:L27)</f>
        <v>31217.176336384447</v>
      </c>
      <c r="M28" s="385">
        <f>SUM(M25:M27)</f>
        <v>7643.3</v>
      </c>
      <c r="N28" s="385">
        <f>SUM(N25:N27)</f>
        <v>1442</v>
      </c>
      <c r="O28" s="385">
        <f>SUM(O26:O27)</f>
        <v>0</v>
      </c>
      <c r="P28" s="477">
        <f>SUM(P26:P27)</f>
        <v>0</v>
      </c>
      <c r="Q28" s="1282"/>
      <c r="R28" s="474">
        <f>SUM(R26:R27)</f>
        <v>0</v>
      </c>
      <c r="S28" s="385">
        <f>SUM(S26:S27)</f>
        <v>0</v>
      </c>
      <c r="T28" s="385">
        <f>SUM(T26:T27)</f>
        <v>0</v>
      </c>
      <c r="U28" s="385">
        <f>SUM(U26:U27)</f>
        <v>0</v>
      </c>
      <c r="V28" s="477">
        <f>SUM(V26:V27)</f>
        <v>0</v>
      </c>
      <c r="W28" s="4263"/>
      <c r="X28" s="1266"/>
      <c r="Y28" s="1266"/>
      <c r="Z28" s="1266"/>
      <c r="AA28" s="497"/>
      <c r="AB28" s="495"/>
      <c r="AC28" s="495"/>
      <c r="AD28" s="495"/>
      <c r="AE28" s="556"/>
      <c r="AF28" s="489"/>
      <c r="AG28" s="490"/>
      <c r="AH28" s="491"/>
    </row>
    <row r="29" spans="1:34" s="501" customFormat="1" ht="12.75" customHeight="1" outlineLevel="1">
      <c r="D29" s="299"/>
      <c r="E29" s="524"/>
      <c r="F29" s="542" t="s">
        <v>35</v>
      </c>
      <c r="G29" s="486"/>
      <c r="H29" s="485"/>
      <c r="I29" s="485"/>
      <c r="J29" s="485"/>
      <c r="K29" s="487"/>
      <c r="L29" s="486"/>
      <c r="M29" s="485"/>
      <c r="N29" s="485"/>
      <c r="O29" s="485"/>
      <c r="P29" s="487"/>
      <c r="Q29" s="1281"/>
      <c r="R29" s="444"/>
      <c r="S29" s="485"/>
      <c r="T29" s="485"/>
      <c r="U29" s="485"/>
      <c r="V29" s="487"/>
      <c r="W29" s="4263"/>
      <c r="X29" s="1266"/>
      <c r="Y29" s="1266"/>
      <c r="Z29" s="1266"/>
      <c r="AA29" s="497"/>
      <c r="AB29" s="495"/>
      <c r="AC29" s="495"/>
      <c r="AD29" s="495"/>
      <c r="AE29" s="556"/>
      <c r="AF29" s="489"/>
      <c r="AG29" s="490"/>
      <c r="AH29" s="491"/>
    </row>
    <row r="30" spans="1:34" s="501" customFormat="1" ht="12.75" customHeight="1" outlineLevel="1" thickBot="1">
      <c r="D30" s="299"/>
      <c r="E30" s="525"/>
      <c r="F30" s="1501" t="s">
        <v>611</v>
      </c>
      <c r="G30" s="1458">
        <f t="shared" ref="G30:N30" si="0">G28-G29</f>
        <v>0</v>
      </c>
      <c r="H30" s="387">
        <f t="shared" si="0"/>
        <v>0</v>
      </c>
      <c r="I30" s="387">
        <f t="shared" si="0"/>
        <v>0</v>
      </c>
      <c r="J30" s="387">
        <f t="shared" si="0"/>
        <v>0</v>
      </c>
      <c r="K30" s="528">
        <f t="shared" si="0"/>
        <v>0</v>
      </c>
      <c r="L30" s="1458">
        <f t="shared" si="0"/>
        <v>31217.176336384447</v>
      </c>
      <c r="M30" s="387">
        <f>M28-M29</f>
        <v>7643.3</v>
      </c>
      <c r="N30" s="387">
        <f t="shared" si="0"/>
        <v>1442</v>
      </c>
      <c r="O30" s="387">
        <f>O28-O29</f>
        <v>0</v>
      </c>
      <c r="P30" s="528">
        <f>P28-P29</f>
        <v>0</v>
      </c>
      <c r="Q30" s="1283"/>
      <c r="R30" s="527">
        <f>R28-R29</f>
        <v>0</v>
      </c>
      <c r="S30" s="387">
        <f>S28-S29</f>
        <v>0</v>
      </c>
      <c r="T30" s="387">
        <f>T28-T29</f>
        <v>0</v>
      </c>
      <c r="U30" s="387">
        <f>U28-U29</f>
        <v>0</v>
      </c>
      <c r="V30" s="528">
        <f>V28-V29</f>
        <v>0</v>
      </c>
      <c r="W30" s="4264"/>
      <c r="X30" s="1266"/>
      <c r="Y30" s="1266"/>
      <c r="Z30" s="1266"/>
      <c r="AA30" s="497"/>
      <c r="AB30" s="495"/>
      <c r="AC30" s="495"/>
      <c r="AD30" s="495"/>
      <c r="AE30" s="556"/>
      <c r="AF30" s="489"/>
      <c r="AG30" s="490"/>
      <c r="AH30" s="491"/>
    </row>
    <row r="31" spans="1:34" s="501" customFormat="1" ht="12.75" customHeight="1" outlineLevel="1">
      <c r="D31" s="299"/>
      <c r="E31" s="3636" t="s">
        <v>1358</v>
      </c>
      <c r="F31" s="880" t="s">
        <v>619</v>
      </c>
      <c r="G31" s="1699"/>
      <c r="H31" s="1700"/>
      <c r="I31" s="1700"/>
      <c r="J31" s="1700"/>
      <c r="K31" s="1710"/>
      <c r="L31" s="564"/>
      <c r="M31" s="565"/>
      <c r="N31" s="565"/>
      <c r="O31" s="565"/>
      <c r="P31" s="566"/>
      <c r="Q31" s="1280"/>
      <c r="R31" s="565"/>
      <c r="S31" s="565"/>
      <c r="T31" s="565"/>
      <c r="U31" s="565"/>
      <c r="V31" s="566"/>
      <c r="W31" s="4262"/>
      <c r="X31" s="1266"/>
      <c r="Y31" s="1266"/>
      <c r="Z31" s="1266"/>
      <c r="AA31" s="497"/>
      <c r="AB31" s="495"/>
      <c r="AC31" s="495"/>
      <c r="AD31" s="495"/>
      <c r="AE31" s="556"/>
      <c r="AF31" s="489"/>
      <c r="AG31" s="490"/>
      <c r="AH31" s="491"/>
    </row>
    <row r="32" spans="1:34" s="501" customFormat="1" ht="12.75" customHeight="1" outlineLevel="1">
      <c r="D32" s="299"/>
      <c r="E32" s="524"/>
      <c r="F32" s="542" t="s">
        <v>585</v>
      </c>
      <c r="G32" s="1701"/>
      <c r="H32" s="1702"/>
      <c r="I32" s="1702"/>
      <c r="J32" s="1702"/>
      <c r="K32" s="1711"/>
      <c r="L32" s="486"/>
      <c r="M32" s="485"/>
      <c r="N32" s="485"/>
      <c r="O32" s="485"/>
      <c r="P32" s="487"/>
      <c r="Q32" s="1281"/>
      <c r="R32" s="444"/>
      <c r="S32" s="485"/>
      <c r="T32" s="485"/>
      <c r="U32" s="485"/>
      <c r="V32" s="487"/>
      <c r="W32" s="4263"/>
      <c r="X32" s="1266"/>
      <c r="Y32" s="1266"/>
      <c r="Z32" s="1266"/>
      <c r="AA32" s="497"/>
      <c r="AB32" s="495"/>
      <c r="AC32" s="495"/>
      <c r="AD32" s="495"/>
      <c r="AE32" s="556"/>
      <c r="AF32" s="489"/>
      <c r="AG32" s="490"/>
      <c r="AH32" s="491"/>
    </row>
    <row r="33" spans="4:34" s="501" customFormat="1" ht="12.75" customHeight="1" outlineLevel="1">
      <c r="D33" s="299"/>
      <c r="E33" s="524"/>
      <c r="F33" s="542" t="s">
        <v>584</v>
      </c>
      <c r="G33" s="1701"/>
      <c r="H33" s="1702"/>
      <c r="I33" s="1702"/>
      <c r="J33" s="1702"/>
      <c r="K33" s="1711"/>
      <c r="L33" s="486">
        <v>91976.49</v>
      </c>
      <c r="M33" s="485">
        <v>18896.439999999999</v>
      </c>
      <c r="N33" s="485">
        <v>101468.69</v>
      </c>
      <c r="O33" s="485">
        <v>19009.349999999999</v>
      </c>
      <c r="P33" s="487">
        <f>'[6]Detailed Capex Inputs'!$N$26*1000000</f>
        <v>60000</v>
      </c>
      <c r="Q33" s="1281"/>
      <c r="R33" s="444"/>
      <c r="S33" s="485"/>
      <c r="T33" s="485"/>
      <c r="U33" s="485"/>
      <c r="V33" s="487"/>
      <c r="W33" s="4263"/>
      <c r="X33" s="1266"/>
      <c r="Y33" s="1266"/>
      <c r="Z33" s="1266"/>
      <c r="AA33" s="497"/>
      <c r="AB33" s="495"/>
      <c r="AC33" s="495"/>
      <c r="AD33" s="495"/>
      <c r="AE33" s="556"/>
      <c r="AF33" s="489"/>
      <c r="AG33" s="490"/>
      <c r="AH33" s="491"/>
    </row>
    <row r="34" spans="4:34" s="501" customFormat="1" ht="12.75" customHeight="1" outlineLevel="1">
      <c r="D34" s="299"/>
      <c r="E34" s="524"/>
      <c r="F34" s="542" t="s">
        <v>604</v>
      </c>
      <c r="G34" s="1701"/>
      <c r="H34" s="1702"/>
      <c r="I34" s="1702"/>
      <c r="J34" s="1702"/>
      <c r="K34" s="1711"/>
      <c r="L34" s="486"/>
      <c r="M34" s="485"/>
      <c r="N34" s="485"/>
      <c r="O34" s="485"/>
      <c r="P34" s="487"/>
      <c r="Q34" s="1281"/>
      <c r="R34" s="444"/>
      <c r="S34" s="485"/>
      <c r="T34" s="485"/>
      <c r="U34" s="485"/>
      <c r="V34" s="487"/>
      <c r="W34" s="4263"/>
      <c r="X34" s="1266"/>
      <c r="Y34" s="1266"/>
      <c r="Z34" s="1266"/>
      <c r="AA34" s="497"/>
      <c r="AB34" s="495"/>
      <c r="AC34" s="495"/>
      <c r="AD34" s="495"/>
      <c r="AE34" s="556"/>
      <c r="AF34" s="489"/>
      <c r="AG34" s="490"/>
      <c r="AH34" s="491"/>
    </row>
    <row r="35" spans="4:34" s="501" customFormat="1" ht="12.75" customHeight="1" outlineLevel="1">
      <c r="D35" s="299"/>
      <c r="E35" s="524"/>
      <c r="F35" s="543" t="s">
        <v>605</v>
      </c>
      <c r="G35" s="486">
        <v>89486.945999999996</v>
      </c>
      <c r="H35" s="485">
        <v>72124.109999999986</v>
      </c>
      <c r="I35" s="485">
        <v>3597.192</v>
      </c>
      <c r="J35" s="485">
        <v>62331.650999999998</v>
      </c>
      <c r="K35" s="487">
        <v>84238.614678899074</v>
      </c>
      <c r="L35" s="384">
        <f>SUM(L32:L34)</f>
        <v>91976.49</v>
      </c>
      <c r="M35" s="385">
        <f>SUM(M32:M34)</f>
        <v>18896.439999999999</v>
      </c>
      <c r="N35" s="385">
        <f>SUM(N32:N34)</f>
        <v>101468.69</v>
      </c>
      <c r="O35" s="385">
        <f>SUM(O32:O34)</f>
        <v>19009.349999999999</v>
      </c>
      <c r="P35" s="477">
        <f>SUM(P32:P34)</f>
        <v>60000</v>
      </c>
      <c r="Q35" s="1282"/>
      <c r="R35" s="474">
        <f>SUM(R32:R34)</f>
        <v>0</v>
      </c>
      <c r="S35" s="385">
        <f>SUM(S32:S34)</f>
        <v>0</v>
      </c>
      <c r="T35" s="385">
        <f>SUM(T32:T34)</f>
        <v>0</v>
      </c>
      <c r="U35" s="385">
        <f>SUM(U32:U34)</f>
        <v>0</v>
      </c>
      <c r="V35" s="477">
        <f>SUM(V32:V34)</f>
        <v>0</v>
      </c>
      <c r="W35" s="4263"/>
      <c r="X35" s="1266"/>
      <c r="Y35" s="1266"/>
      <c r="Z35" s="1266"/>
      <c r="AA35" s="497"/>
      <c r="AB35" s="495"/>
      <c r="AC35" s="495"/>
      <c r="AD35" s="495"/>
      <c r="AE35" s="556"/>
      <c r="AF35" s="489"/>
      <c r="AG35" s="490"/>
      <c r="AH35" s="491"/>
    </row>
    <row r="36" spans="4:34" s="501" customFormat="1" ht="12.75" customHeight="1" outlineLevel="1">
      <c r="D36" s="299"/>
      <c r="E36" s="524"/>
      <c r="F36" s="542" t="s">
        <v>609</v>
      </c>
      <c r="G36" s="486">
        <v>9942.9940000000006</v>
      </c>
      <c r="H36" s="485">
        <v>8013.7899999999981</v>
      </c>
      <c r="I36" s="485">
        <v>399.68800000000005</v>
      </c>
      <c r="J36" s="485">
        <v>6925.7390000000005</v>
      </c>
      <c r="K36" s="487">
        <v>7581.4753211009247</v>
      </c>
      <c r="L36" s="536">
        <v>2389.9241942946815</v>
      </c>
      <c r="M36" s="537">
        <v>1033</v>
      </c>
      <c r="N36" s="537">
        <v>5487.3099999999995</v>
      </c>
      <c r="O36" s="537">
        <f>0.85265*1000</f>
        <v>852.65</v>
      </c>
      <c r="P36" s="573">
        <f>P35*0.06</f>
        <v>3600</v>
      </c>
      <c r="Q36" s="1281"/>
      <c r="R36" s="529"/>
      <c r="S36" s="504"/>
      <c r="T36" s="504"/>
      <c r="U36" s="504"/>
      <c r="V36" s="545"/>
      <c r="W36" s="4263"/>
      <c r="X36" s="1266"/>
      <c r="Y36" s="1266"/>
      <c r="Z36" s="1266"/>
      <c r="AA36" s="497"/>
      <c r="AB36" s="495"/>
      <c r="AC36" s="495"/>
      <c r="AD36" s="495"/>
      <c r="AE36" s="556"/>
      <c r="AF36" s="489"/>
      <c r="AG36" s="490"/>
      <c r="AH36" s="491"/>
    </row>
    <row r="37" spans="4:34" s="501" customFormat="1" ht="12.75" customHeight="1" outlineLevel="1">
      <c r="D37" s="299"/>
      <c r="E37" s="524"/>
      <c r="F37" s="542" t="s">
        <v>607</v>
      </c>
      <c r="G37" s="486"/>
      <c r="H37" s="485"/>
      <c r="I37" s="485"/>
      <c r="J37" s="485"/>
      <c r="K37" s="487"/>
      <c r="L37" s="489">
        <v>0</v>
      </c>
      <c r="M37" s="490">
        <v>0</v>
      </c>
      <c r="N37" s="490">
        <v>0</v>
      </c>
      <c r="O37" s="490">
        <v>0</v>
      </c>
      <c r="P37" s="491">
        <v>0</v>
      </c>
      <c r="Q37" s="1281"/>
      <c r="R37" s="444"/>
      <c r="S37" s="485"/>
      <c r="T37" s="485"/>
      <c r="U37" s="485"/>
      <c r="V37" s="487"/>
      <c r="W37" s="4263"/>
      <c r="X37" s="1266"/>
      <c r="Y37" s="1266"/>
      <c r="Z37" s="1266"/>
      <c r="AA37" s="497"/>
      <c r="AB37" s="495"/>
      <c r="AC37" s="495"/>
      <c r="AD37" s="495"/>
      <c r="AE37" s="556"/>
      <c r="AF37" s="489"/>
      <c r="AG37" s="490"/>
      <c r="AH37" s="491"/>
    </row>
    <row r="38" spans="4:34" s="501" customFormat="1" ht="12.75" customHeight="1" outlineLevel="1">
      <c r="D38" s="299"/>
      <c r="E38" s="524"/>
      <c r="F38" s="543" t="s">
        <v>610</v>
      </c>
      <c r="G38" s="384">
        <f t="shared" ref="G38:O38" si="1">SUM(G35:G37)</f>
        <v>99429.94</v>
      </c>
      <c r="H38" s="385">
        <f t="shared" si="1"/>
        <v>80137.89999999998</v>
      </c>
      <c r="I38" s="385">
        <f t="shared" si="1"/>
        <v>3996.88</v>
      </c>
      <c r="J38" s="385">
        <f t="shared" si="1"/>
        <v>69257.39</v>
      </c>
      <c r="K38" s="385">
        <f t="shared" si="1"/>
        <v>91820.09</v>
      </c>
      <c r="L38" s="384">
        <f t="shared" si="1"/>
        <v>94366.414194294688</v>
      </c>
      <c r="M38" s="385">
        <f t="shared" si="1"/>
        <v>19929.439999999999</v>
      </c>
      <c r="N38" s="385">
        <f t="shared" si="1"/>
        <v>106956</v>
      </c>
      <c r="O38" s="385">
        <f t="shared" si="1"/>
        <v>19862</v>
      </c>
      <c r="P38" s="477">
        <f>SUM(P36:P37)</f>
        <v>3600</v>
      </c>
      <c r="Q38" s="1282"/>
      <c r="R38" s="474">
        <f>SUM(R36:R37)</f>
        <v>0</v>
      </c>
      <c r="S38" s="385">
        <f>SUM(S36:S37)</f>
        <v>0</v>
      </c>
      <c r="T38" s="385">
        <f>SUM(T36:T37)</f>
        <v>0</v>
      </c>
      <c r="U38" s="385">
        <f>SUM(U36:U37)</f>
        <v>0</v>
      </c>
      <c r="V38" s="477">
        <f>SUM(V36:V37)</f>
        <v>0</v>
      </c>
      <c r="W38" s="4263"/>
      <c r="X38" s="1266"/>
      <c r="Y38" s="1266"/>
      <c r="Z38" s="1266"/>
      <c r="AA38" s="497"/>
      <c r="AB38" s="495"/>
      <c r="AC38" s="495"/>
      <c r="AD38" s="495"/>
      <c r="AE38" s="556"/>
      <c r="AF38" s="489"/>
      <c r="AG38" s="490"/>
      <c r="AH38" s="491"/>
    </row>
    <row r="39" spans="4:34" s="501" customFormat="1" ht="12.75" customHeight="1" outlineLevel="1">
      <c r="D39" s="299"/>
      <c r="E39" s="524"/>
      <c r="F39" s="542" t="s">
        <v>35</v>
      </c>
      <c r="G39" s="486"/>
      <c r="H39" s="485"/>
      <c r="I39" s="485"/>
      <c r="J39" s="485"/>
      <c r="K39" s="487"/>
      <c r="L39" s="486"/>
      <c r="M39" s="485"/>
      <c r="N39" s="485"/>
      <c r="O39" s="485"/>
      <c r="P39" s="487"/>
      <c r="Q39" s="1281"/>
      <c r="R39" s="444"/>
      <c r="S39" s="485"/>
      <c r="T39" s="485"/>
      <c r="U39" s="485"/>
      <c r="V39" s="487"/>
      <c r="W39" s="4263"/>
      <c r="X39" s="1266"/>
      <c r="Y39" s="1266"/>
      <c r="Z39" s="1266"/>
      <c r="AA39" s="497"/>
      <c r="AB39" s="495"/>
      <c r="AC39" s="495"/>
      <c r="AD39" s="495"/>
      <c r="AE39" s="556"/>
      <c r="AF39" s="489"/>
      <c r="AG39" s="490"/>
      <c r="AH39" s="491"/>
    </row>
    <row r="40" spans="4:34" s="501" customFormat="1" ht="12.75" customHeight="1" outlineLevel="1" thickBot="1">
      <c r="D40" s="299"/>
      <c r="E40" s="524"/>
      <c r="F40" s="1501" t="s">
        <v>611</v>
      </c>
      <c r="G40" s="1458">
        <f t="shared" ref="G40:N40" si="2">G38-G39</f>
        <v>99429.94</v>
      </c>
      <c r="H40" s="387">
        <f t="shared" si="2"/>
        <v>80137.89999999998</v>
      </c>
      <c r="I40" s="387">
        <f t="shared" si="2"/>
        <v>3996.88</v>
      </c>
      <c r="J40" s="387">
        <f t="shared" si="2"/>
        <v>69257.39</v>
      </c>
      <c r="K40" s="528">
        <f t="shared" si="2"/>
        <v>91820.09</v>
      </c>
      <c r="L40" s="1458">
        <f t="shared" si="2"/>
        <v>94366.414194294688</v>
      </c>
      <c r="M40" s="387">
        <f t="shared" si="2"/>
        <v>19929.439999999999</v>
      </c>
      <c r="N40" s="387">
        <f t="shared" si="2"/>
        <v>106956</v>
      </c>
      <c r="O40" s="387">
        <f>O38-O39</f>
        <v>19862</v>
      </c>
      <c r="P40" s="528">
        <f>P38-P39</f>
        <v>3600</v>
      </c>
      <c r="Q40" s="1283"/>
      <c r="R40" s="527">
        <f>R38-R39</f>
        <v>0</v>
      </c>
      <c r="S40" s="387">
        <f>S38-S39</f>
        <v>0</v>
      </c>
      <c r="T40" s="387">
        <f>T38-T39</f>
        <v>0</v>
      </c>
      <c r="U40" s="387">
        <f>U38-U39</f>
        <v>0</v>
      </c>
      <c r="V40" s="528">
        <f>V38-V39</f>
        <v>0</v>
      </c>
      <c r="W40" s="4264"/>
      <c r="X40" s="1266"/>
      <c r="Y40" s="1266"/>
      <c r="Z40" s="1266"/>
      <c r="AA40" s="497"/>
      <c r="AB40" s="495"/>
      <c r="AC40" s="495"/>
      <c r="AD40" s="495"/>
      <c r="AE40" s="556"/>
      <c r="AF40" s="489"/>
      <c r="AG40" s="490"/>
      <c r="AH40" s="491"/>
    </row>
    <row r="41" spans="4:34" s="501" customFormat="1" ht="12.75" customHeight="1" outlineLevel="1">
      <c r="D41" s="299"/>
      <c r="E41" s="567" t="s">
        <v>1540</v>
      </c>
      <c r="F41" s="880" t="s">
        <v>619</v>
      </c>
      <c r="G41" s="1699"/>
      <c r="H41" s="1700"/>
      <c r="I41" s="1700"/>
      <c r="J41" s="1700"/>
      <c r="K41" s="1710"/>
      <c r="L41" s="564"/>
      <c r="M41" s="565"/>
      <c r="N41" s="565"/>
      <c r="O41" s="565"/>
      <c r="P41" s="566"/>
      <c r="Q41" s="1280"/>
      <c r="R41" s="565"/>
      <c r="S41" s="565"/>
      <c r="T41" s="565"/>
      <c r="U41" s="565"/>
      <c r="V41" s="566"/>
      <c r="W41" s="4262"/>
      <c r="X41" s="1266"/>
      <c r="Y41" s="1266"/>
      <c r="Z41" s="1266"/>
      <c r="AA41" s="497"/>
      <c r="AB41" s="495"/>
      <c r="AC41" s="495"/>
      <c r="AD41" s="495"/>
      <c r="AE41" s="556"/>
      <c r="AF41" s="489"/>
      <c r="AG41" s="490"/>
      <c r="AH41" s="491"/>
    </row>
    <row r="42" spans="4:34" s="501" customFormat="1" ht="12.75" customHeight="1" outlineLevel="1">
      <c r="D42" s="299"/>
      <c r="E42" s="524"/>
      <c r="F42" s="542" t="s">
        <v>585</v>
      </c>
      <c r="G42" s="1701"/>
      <c r="H42" s="1702"/>
      <c r="I42" s="1702"/>
      <c r="J42" s="1702"/>
      <c r="K42" s="1711"/>
      <c r="L42" s="486"/>
      <c r="M42" s="485"/>
      <c r="N42" s="485"/>
      <c r="O42" s="485"/>
      <c r="P42" s="487"/>
      <c r="Q42" s="1281"/>
      <c r="R42" s="444"/>
      <c r="S42" s="485"/>
      <c r="T42" s="485"/>
      <c r="U42" s="485"/>
      <c r="V42" s="487"/>
      <c r="W42" s="4263"/>
      <c r="X42" s="1266"/>
      <c r="Y42" s="1266"/>
      <c r="Z42" s="1266"/>
      <c r="AA42" s="497"/>
      <c r="AB42" s="495"/>
      <c r="AC42" s="495"/>
      <c r="AD42" s="495"/>
      <c r="AE42" s="556"/>
      <c r="AF42" s="489"/>
      <c r="AG42" s="490"/>
      <c r="AH42" s="491"/>
    </row>
    <row r="43" spans="4:34" s="501" customFormat="1" ht="12.75" customHeight="1" outlineLevel="1">
      <c r="D43" s="299"/>
      <c r="E43" s="524"/>
      <c r="F43" s="542" t="s">
        <v>584</v>
      </c>
      <c r="G43" s="1701"/>
      <c r="H43" s="1702"/>
      <c r="I43" s="1702"/>
      <c r="J43" s="1702"/>
      <c r="K43" s="1711"/>
      <c r="L43" s="486">
        <v>24435.81</v>
      </c>
      <c r="M43" s="485"/>
      <c r="N43" s="485"/>
      <c r="O43" s="485"/>
      <c r="P43" s="487"/>
      <c r="Q43" s="1281"/>
      <c r="R43" s="444"/>
      <c r="S43" s="485"/>
      <c r="T43" s="485"/>
      <c r="U43" s="485"/>
      <c r="V43" s="487"/>
      <c r="W43" s="4263"/>
      <c r="X43" s="1266"/>
      <c r="Y43" s="1266"/>
      <c r="Z43" s="1266"/>
      <c r="AA43" s="497"/>
      <c r="AB43" s="495"/>
      <c r="AC43" s="495"/>
      <c r="AD43" s="495"/>
      <c r="AE43" s="556"/>
      <c r="AF43" s="489"/>
      <c r="AG43" s="490"/>
      <c r="AH43" s="491"/>
    </row>
    <row r="44" spans="4:34" s="501" customFormat="1" ht="12.75" customHeight="1" outlineLevel="1">
      <c r="D44" s="299"/>
      <c r="E44" s="524"/>
      <c r="F44" s="542" t="s">
        <v>604</v>
      </c>
      <c r="G44" s="1701"/>
      <c r="H44" s="1702"/>
      <c r="I44" s="1702"/>
      <c r="J44" s="1702"/>
      <c r="K44" s="1711"/>
      <c r="L44" s="486"/>
      <c r="M44" s="485"/>
      <c r="N44" s="485"/>
      <c r="O44" s="485"/>
      <c r="P44" s="487"/>
      <c r="Q44" s="1281"/>
      <c r="R44" s="444"/>
      <c r="S44" s="485"/>
      <c r="T44" s="485"/>
      <c r="U44" s="485"/>
      <c r="V44" s="487"/>
      <c r="W44" s="4263"/>
      <c r="X44"/>
      <c r="Y44"/>
      <c r="Z44"/>
      <c r="AA44" s="497"/>
      <c r="AB44" s="495"/>
      <c r="AC44" s="495"/>
      <c r="AD44" s="495"/>
      <c r="AE44" s="556"/>
      <c r="AF44" s="489"/>
      <c r="AG44" s="490"/>
      <c r="AH44" s="491"/>
    </row>
    <row r="45" spans="4:34" s="501" customFormat="1" ht="12.75" customHeight="1" outlineLevel="1">
      <c r="D45" s="299"/>
      <c r="E45" s="524"/>
      <c r="F45" s="543" t="s">
        <v>605</v>
      </c>
      <c r="G45" s="486"/>
      <c r="H45" s="485"/>
      <c r="I45" s="485"/>
      <c r="J45" s="485"/>
      <c r="K45" s="487"/>
      <c r="L45" s="384">
        <f>SUM(L42:L44)</f>
        <v>24435.81</v>
      </c>
      <c r="M45" s="385">
        <f>SUM(M42:M44)</f>
        <v>0</v>
      </c>
      <c r="N45" s="385">
        <f>SUM(N42:N44)</f>
        <v>0</v>
      </c>
      <c r="O45" s="385">
        <f>SUM(O42:O44)</f>
        <v>0</v>
      </c>
      <c r="P45" s="477">
        <f>SUM(P42:P44)</f>
        <v>0</v>
      </c>
      <c r="Q45" s="1282"/>
      <c r="R45" s="474">
        <f>SUM(R42:R44)</f>
        <v>0</v>
      </c>
      <c r="S45" s="385">
        <f>SUM(S42:S44)</f>
        <v>0</v>
      </c>
      <c r="T45" s="385">
        <f>SUM(T42:T44)</f>
        <v>0</v>
      </c>
      <c r="U45" s="385">
        <f>SUM(U42:U44)</f>
        <v>0</v>
      </c>
      <c r="V45" s="477">
        <f>SUM(V42:V44)</f>
        <v>0</v>
      </c>
      <c r="W45" s="4263"/>
      <c r="X45"/>
      <c r="Y45"/>
      <c r="Z45"/>
      <c r="AA45" s="489"/>
      <c r="AB45" s="490"/>
      <c r="AC45" s="490"/>
      <c r="AD45" s="490"/>
      <c r="AE45" s="491"/>
      <c r="AF45" s="384">
        <f t="shared" ref="AF45:AH45" si="3">SUM(AF22:AF44)</f>
        <v>0</v>
      </c>
      <c r="AG45" s="385">
        <f t="shared" si="3"/>
        <v>0</v>
      </c>
      <c r="AH45" s="477">
        <f t="shared" si="3"/>
        <v>0</v>
      </c>
    </row>
    <row r="46" spans="4:34" s="501" customFormat="1" ht="12.75" customHeight="1" outlineLevel="1">
      <c r="D46" s="299"/>
      <c r="E46" s="524"/>
      <c r="F46" s="542" t="s">
        <v>609</v>
      </c>
      <c r="G46" s="486"/>
      <c r="H46" s="485"/>
      <c r="I46" s="485"/>
      <c r="J46" s="485"/>
      <c r="K46" s="487"/>
      <c r="L46" s="536">
        <v>634.941967520047</v>
      </c>
      <c r="M46" s="537">
        <v>0</v>
      </c>
      <c r="N46" s="537">
        <v>0</v>
      </c>
      <c r="O46" s="537">
        <v>0</v>
      </c>
      <c r="P46" s="573">
        <v>0</v>
      </c>
      <c r="Q46" s="1281"/>
      <c r="R46" s="529"/>
      <c r="S46" s="504"/>
      <c r="T46" s="504"/>
      <c r="U46" s="504"/>
      <c r="V46" s="545"/>
      <c r="W46" s="4263"/>
      <c r="X46"/>
      <c r="Y46"/>
      <c r="Z46"/>
      <c r="AA46" s="489"/>
      <c r="AB46" s="490"/>
      <c r="AC46" s="490"/>
      <c r="AD46" s="490"/>
      <c r="AE46" s="491"/>
      <c r="AF46" s="536">
        <v>0</v>
      </c>
      <c r="AG46" s="537">
        <v>0</v>
      </c>
      <c r="AH46" s="573">
        <v>0</v>
      </c>
    </row>
    <row r="47" spans="4:34" s="501" customFormat="1" ht="12.75" customHeight="1" outlineLevel="1">
      <c r="D47" s="299"/>
      <c r="E47" s="524"/>
      <c r="F47" s="542" t="s">
        <v>607</v>
      </c>
      <c r="G47" s="486"/>
      <c r="H47" s="485"/>
      <c r="I47" s="485"/>
      <c r="J47" s="485"/>
      <c r="K47" s="487"/>
      <c r="L47" s="489">
        <v>0</v>
      </c>
      <c r="M47" s="490">
        <v>0</v>
      </c>
      <c r="N47" s="490">
        <v>0</v>
      </c>
      <c r="O47" s="490">
        <v>0</v>
      </c>
      <c r="P47" s="491">
        <v>0</v>
      </c>
      <c r="Q47" s="1281"/>
      <c r="R47" s="444"/>
      <c r="S47" s="485"/>
      <c r="T47" s="485"/>
      <c r="U47" s="485"/>
      <c r="V47" s="487"/>
      <c r="W47" s="4263"/>
      <c r="X47"/>
      <c r="Y47"/>
      <c r="Z47"/>
      <c r="AA47" s="489"/>
      <c r="AB47" s="490"/>
      <c r="AC47" s="490"/>
      <c r="AD47" s="490"/>
      <c r="AE47" s="491"/>
      <c r="AF47" s="489">
        <v>0</v>
      </c>
      <c r="AG47" s="490">
        <v>0</v>
      </c>
      <c r="AH47" s="491">
        <v>0</v>
      </c>
    </row>
    <row r="48" spans="4:34" s="501" customFormat="1" ht="12.75" customHeight="1" outlineLevel="1">
      <c r="D48" s="299"/>
      <c r="E48" s="524"/>
      <c r="F48" s="543" t="s">
        <v>610</v>
      </c>
      <c r="G48" s="384">
        <f>SUM(G46:G47)</f>
        <v>0</v>
      </c>
      <c r="H48" s="385">
        <f>SUM(H46:H47)</f>
        <v>0</v>
      </c>
      <c r="I48" s="385">
        <f>SUM(I46:I47)</f>
        <v>0</v>
      </c>
      <c r="J48" s="385">
        <f>SUM(J46:J47)</f>
        <v>0</v>
      </c>
      <c r="K48" s="477">
        <f>SUM(K46:K47)</f>
        <v>0</v>
      </c>
      <c r="L48" s="384">
        <f>SUM(L45:L47)</f>
        <v>25070.751967520049</v>
      </c>
      <c r="M48" s="385">
        <f>SUM(M46:M47)</f>
        <v>0</v>
      </c>
      <c r="N48" s="385">
        <f>SUM(N46:N47)</f>
        <v>0</v>
      </c>
      <c r="O48" s="385">
        <f>SUM(O46:O47)</f>
        <v>0</v>
      </c>
      <c r="P48" s="477">
        <f>SUM(P46:P47)</f>
        <v>0</v>
      </c>
      <c r="Q48" s="1282"/>
      <c r="R48" s="474">
        <f>SUM(R46:R47)</f>
        <v>0</v>
      </c>
      <c r="S48" s="385">
        <f>SUM(S46:S47)</f>
        <v>0</v>
      </c>
      <c r="T48" s="385">
        <f>SUM(T46:T47)</f>
        <v>0</v>
      </c>
      <c r="U48" s="385">
        <f>SUM(U46:U47)</f>
        <v>0</v>
      </c>
      <c r="V48" s="477">
        <f>SUM(V46:V47)</f>
        <v>0</v>
      </c>
      <c r="W48" s="4263"/>
      <c r="X48"/>
      <c r="Y48"/>
      <c r="Z48"/>
      <c r="AA48" s="384">
        <f t="shared" ref="AA48:AH48" si="4">SUM(AA46:AA47)</f>
        <v>0</v>
      </c>
      <c r="AB48" s="385">
        <f t="shared" si="4"/>
        <v>0</v>
      </c>
      <c r="AC48" s="385">
        <f t="shared" si="4"/>
        <v>0</v>
      </c>
      <c r="AD48" s="385">
        <f t="shared" si="4"/>
        <v>0</v>
      </c>
      <c r="AE48" s="477">
        <f t="shared" si="4"/>
        <v>0</v>
      </c>
      <c r="AF48" s="384">
        <f t="shared" si="4"/>
        <v>0</v>
      </c>
      <c r="AG48" s="385">
        <f t="shared" si="4"/>
        <v>0</v>
      </c>
      <c r="AH48" s="477">
        <f t="shared" si="4"/>
        <v>0</v>
      </c>
    </row>
    <row r="49" spans="1:34" s="501" customFormat="1" ht="12.75" customHeight="1" outlineLevel="1">
      <c r="D49" s="299"/>
      <c r="E49" s="524"/>
      <c r="F49" s="542" t="s">
        <v>35</v>
      </c>
      <c r="G49" s="486"/>
      <c r="H49" s="485"/>
      <c r="I49" s="485"/>
      <c r="J49" s="485"/>
      <c r="K49" s="487"/>
      <c r="L49" s="486"/>
      <c r="M49" s="485"/>
      <c r="N49" s="485"/>
      <c r="O49" s="485"/>
      <c r="P49" s="487"/>
      <c r="Q49" s="1281"/>
      <c r="R49" s="444"/>
      <c r="S49" s="485"/>
      <c r="T49" s="485"/>
      <c r="U49" s="485"/>
      <c r="V49" s="487"/>
      <c r="W49" s="4263"/>
      <c r="X49"/>
      <c r="Y49"/>
      <c r="Z49"/>
      <c r="AA49" s="489"/>
      <c r="AB49" s="490"/>
      <c r="AC49" s="490"/>
      <c r="AD49" s="490"/>
      <c r="AE49" s="491"/>
      <c r="AF49" s="489"/>
      <c r="AG49" s="490"/>
      <c r="AH49" s="491"/>
    </row>
    <row r="50" spans="1:34" s="501" customFormat="1" ht="12.75" customHeight="1" outlineLevel="1" thickBot="1">
      <c r="D50" s="299"/>
      <c r="E50" s="524"/>
      <c r="F50" s="1501" t="s">
        <v>611</v>
      </c>
      <c r="G50" s="1458">
        <f t="shared" ref="G50:L50" si="5">G48-G49</f>
        <v>0</v>
      </c>
      <c r="H50" s="387">
        <f t="shared" si="5"/>
        <v>0</v>
      </c>
      <c r="I50" s="387">
        <f t="shared" si="5"/>
        <v>0</v>
      </c>
      <c r="J50" s="387">
        <f t="shared" si="5"/>
        <v>0</v>
      </c>
      <c r="K50" s="528">
        <f t="shared" si="5"/>
        <v>0</v>
      </c>
      <c r="L50" s="1458">
        <f t="shared" si="5"/>
        <v>25070.751967520049</v>
      </c>
      <c r="M50" s="387">
        <f>M48-M49</f>
        <v>0</v>
      </c>
      <c r="N50" s="387">
        <f>N48-N49</f>
        <v>0</v>
      </c>
      <c r="O50" s="387">
        <f>O48-O49</f>
        <v>0</v>
      </c>
      <c r="P50" s="528">
        <f>P48-P49</f>
        <v>0</v>
      </c>
      <c r="Q50" s="1283"/>
      <c r="R50" s="527">
        <f>R48-R49</f>
        <v>0</v>
      </c>
      <c r="S50" s="387">
        <f>S48-S49</f>
        <v>0</v>
      </c>
      <c r="T50" s="387">
        <f>T48-T49</f>
        <v>0</v>
      </c>
      <c r="U50" s="387">
        <f>U48-U49</f>
        <v>0</v>
      </c>
      <c r="V50" s="528">
        <f>V48-V49</f>
        <v>0</v>
      </c>
      <c r="W50" s="4264"/>
      <c r="X50"/>
      <c r="Y50"/>
      <c r="Z50"/>
      <c r="AA50" s="1458">
        <f t="shared" ref="AA50:AH50" si="6">AA48-AA49</f>
        <v>0</v>
      </c>
      <c r="AB50" s="387">
        <f t="shared" si="6"/>
        <v>0</v>
      </c>
      <c r="AC50" s="387">
        <f t="shared" si="6"/>
        <v>0</v>
      </c>
      <c r="AD50" s="387">
        <f t="shared" si="6"/>
        <v>0</v>
      </c>
      <c r="AE50" s="528">
        <f t="shared" si="6"/>
        <v>0</v>
      </c>
      <c r="AF50" s="1458">
        <f t="shared" si="6"/>
        <v>0</v>
      </c>
      <c r="AG50" s="387">
        <f t="shared" si="6"/>
        <v>0</v>
      </c>
      <c r="AH50" s="528">
        <f t="shared" si="6"/>
        <v>0</v>
      </c>
    </row>
    <row r="51" spans="1:34" s="501" customFormat="1" ht="23.25" customHeight="1" outlineLevel="1">
      <c r="A51" s="78"/>
      <c r="B51" s="78"/>
      <c r="C51" s="78"/>
      <c r="D51" s="299"/>
      <c r="E51" s="3181" t="s">
        <v>1541</v>
      </c>
      <c r="F51" s="880" t="s">
        <v>619</v>
      </c>
      <c r="G51" s="1699"/>
      <c r="H51" s="1700"/>
      <c r="I51" s="1700"/>
      <c r="J51" s="1700"/>
      <c r="K51" s="1710"/>
      <c r="L51" s="564"/>
      <c r="M51" s="565"/>
      <c r="N51" s="565"/>
      <c r="O51" s="565"/>
      <c r="P51" s="566"/>
      <c r="Q51" s="1280"/>
      <c r="R51" s="565"/>
      <c r="S51" s="565"/>
      <c r="T51" s="565"/>
      <c r="U51" s="565"/>
      <c r="V51" s="566"/>
      <c r="W51" s="4262"/>
      <c r="X51"/>
      <c r="Y51"/>
      <c r="Z51"/>
      <c r="AA51" s="553"/>
      <c r="AB51" s="554"/>
      <c r="AC51" s="554"/>
      <c r="AD51" s="554"/>
      <c r="AE51" s="555"/>
      <c r="AF51" s="564"/>
      <c r="AG51" s="565"/>
      <c r="AH51" s="566"/>
    </row>
    <row r="52" spans="1:34" s="501" customFormat="1" ht="12.75" customHeight="1" outlineLevel="1">
      <c r="D52" s="299"/>
      <c r="E52" s="3182"/>
      <c r="F52" s="542" t="s">
        <v>585</v>
      </c>
      <c r="G52" s="1701"/>
      <c r="H52" s="1702"/>
      <c r="I52" s="1702"/>
      <c r="J52" s="1702"/>
      <c r="K52" s="1711"/>
      <c r="L52" s="486"/>
      <c r="M52" s="485"/>
      <c r="N52" s="485"/>
      <c r="O52" s="485"/>
      <c r="P52" s="487"/>
      <c r="Q52" s="1281"/>
      <c r="R52" s="444"/>
      <c r="S52" s="485"/>
      <c r="T52" s="485"/>
      <c r="U52" s="485"/>
      <c r="V52" s="487"/>
      <c r="W52" s="4263"/>
      <c r="X52"/>
      <c r="Y52"/>
      <c r="Z52"/>
      <c r="AA52" s="497"/>
      <c r="AB52" s="495"/>
      <c r="AC52" s="495"/>
      <c r="AD52" s="495"/>
      <c r="AE52" s="556"/>
      <c r="AF52" s="489"/>
      <c r="AG52" s="490"/>
      <c r="AH52" s="491"/>
    </row>
    <row r="53" spans="1:34" s="501" customFormat="1" ht="12.75" customHeight="1" outlineLevel="1">
      <c r="D53" s="299"/>
      <c r="E53" s="3183">
        <v>157290.01999999999</v>
      </c>
      <c r="F53" s="542" t="s">
        <v>584</v>
      </c>
      <c r="G53" s="1701"/>
      <c r="H53" s="1702"/>
      <c r="I53" s="1702"/>
      <c r="J53" s="1702"/>
      <c r="K53" s="1711"/>
      <c r="L53" s="486">
        <v>10450.149999999994</v>
      </c>
      <c r="M53" s="485"/>
      <c r="N53" s="485"/>
      <c r="O53" s="485"/>
      <c r="P53" s="487"/>
      <c r="Q53" s="1281"/>
      <c r="R53" s="444"/>
      <c r="S53" s="485"/>
      <c r="T53" s="485"/>
      <c r="U53" s="485"/>
      <c r="V53" s="487"/>
      <c r="W53" s="4263"/>
      <c r="X53"/>
      <c r="Y53"/>
      <c r="Z53"/>
      <c r="AA53" s="497"/>
      <c r="AB53" s="495"/>
      <c r="AC53" s="495"/>
      <c r="AD53" s="495"/>
      <c r="AE53" s="556"/>
      <c r="AF53" s="489"/>
      <c r="AG53" s="490"/>
      <c r="AH53" s="491"/>
    </row>
    <row r="54" spans="1:34" s="501" customFormat="1" ht="12.75" customHeight="1" outlineLevel="1">
      <c r="D54" s="299"/>
      <c r="E54" s="3184">
        <v>146839.87</v>
      </c>
      <c r="F54" s="542" t="s">
        <v>604</v>
      </c>
      <c r="G54" s="1701"/>
      <c r="H54" s="1702"/>
      <c r="I54" s="1702"/>
      <c r="J54" s="1702"/>
      <c r="K54" s="1711"/>
      <c r="L54" s="486"/>
      <c r="M54" s="485"/>
      <c r="N54" s="485"/>
      <c r="O54" s="485"/>
      <c r="P54" s="487"/>
      <c r="Q54" s="1281"/>
      <c r="R54" s="444"/>
      <c r="S54" s="485"/>
      <c r="T54" s="485"/>
      <c r="U54" s="485"/>
      <c r="V54" s="487"/>
      <c r="W54" s="4263"/>
      <c r="X54"/>
      <c r="Y54"/>
      <c r="Z54"/>
      <c r="AA54" s="497"/>
      <c r="AB54" s="495"/>
      <c r="AC54" s="495"/>
      <c r="AD54" s="495"/>
      <c r="AE54" s="556"/>
      <c r="AF54" s="489"/>
      <c r="AG54" s="490"/>
      <c r="AH54" s="491"/>
    </row>
    <row r="55" spans="1:34" s="501" customFormat="1" ht="12.75" customHeight="1" outlineLevel="1">
      <c r="D55" s="299"/>
      <c r="E55" s="524"/>
      <c r="F55" s="543" t="s">
        <v>605</v>
      </c>
      <c r="G55" s="486"/>
      <c r="H55" s="485"/>
      <c r="I55" s="485"/>
      <c r="J55" s="485"/>
      <c r="K55" s="487"/>
      <c r="L55" s="384">
        <f>SUM(L52:L54)</f>
        <v>10450.149999999994</v>
      </c>
      <c r="M55" s="385">
        <f>SUM(M52:M54)</f>
        <v>0</v>
      </c>
      <c r="N55" s="385">
        <f>SUM(N52:N54)</f>
        <v>0</v>
      </c>
      <c r="O55" s="385">
        <f>SUM(O52:O54)</f>
        <v>0</v>
      </c>
      <c r="P55" s="477">
        <f>SUM(P52:P54)</f>
        <v>0</v>
      </c>
      <c r="Q55" s="1282"/>
      <c r="R55" s="474">
        <f>SUM(R52:R54)</f>
        <v>0</v>
      </c>
      <c r="S55" s="385">
        <f>SUM(S52:S54)</f>
        <v>0</v>
      </c>
      <c r="T55" s="385">
        <f>SUM(T52:T54)</f>
        <v>0</v>
      </c>
      <c r="U55" s="385">
        <f>SUM(U52:U54)</f>
        <v>0</v>
      </c>
      <c r="V55" s="477">
        <f>SUM(V52:V54)</f>
        <v>0</v>
      </c>
      <c r="W55" s="4263"/>
      <c r="X55"/>
      <c r="Y55"/>
      <c r="Z55"/>
      <c r="AA55" s="489"/>
      <c r="AB55" s="490"/>
      <c r="AC55" s="490"/>
      <c r="AD55" s="490"/>
      <c r="AE55" s="491"/>
      <c r="AF55" s="384">
        <f t="shared" ref="AF55:AH55" si="7">SUM(AF52:AF54)</f>
        <v>0</v>
      </c>
      <c r="AG55" s="385">
        <f t="shared" si="7"/>
        <v>0</v>
      </c>
      <c r="AH55" s="477">
        <f t="shared" si="7"/>
        <v>0</v>
      </c>
    </row>
    <row r="56" spans="1:34" s="501" customFormat="1" ht="12.75" customHeight="1" outlineLevel="1">
      <c r="D56" s="299"/>
      <c r="E56" s="3185">
        <f>E53-E54</f>
        <v>10450.149999999994</v>
      </c>
      <c r="F56" s="542" t="s">
        <v>609</v>
      </c>
      <c r="G56" s="486"/>
      <c r="H56" s="485"/>
      <c r="I56" s="485"/>
      <c r="J56" s="485"/>
      <c r="K56" s="487"/>
      <c r="L56" s="536">
        <v>271.53750180082488</v>
      </c>
      <c r="M56" s="537">
        <v>0</v>
      </c>
      <c r="N56" s="537">
        <v>0</v>
      </c>
      <c r="O56" s="537">
        <v>0</v>
      </c>
      <c r="P56" s="573">
        <v>0</v>
      </c>
      <c r="Q56" s="1281"/>
      <c r="R56" s="529"/>
      <c r="S56" s="504"/>
      <c r="T56" s="504"/>
      <c r="U56" s="504"/>
      <c r="V56" s="545"/>
      <c r="W56" s="4263"/>
      <c r="X56"/>
      <c r="Y56"/>
      <c r="Z56"/>
      <c r="AA56" s="489"/>
      <c r="AB56" s="490"/>
      <c r="AC56" s="490"/>
      <c r="AD56" s="490"/>
      <c r="AE56" s="491"/>
      <c r="AF56" s="536">
        <v>0</v>
      </c>
      <c r="AG56" s="537">
        <v>0</v>
      </c>
      <c r="AH56" s="573">
        <v>0</v>
      </c>
    </row>
    <row r="57" spans="1:34" s="501" customFormat="1" ht="12.75" customHeight="1" outlineLevel="1">
      <c r="D57" s="299"/>
      <c r="E57" s="524"/>
      <c r="F57" s="542" t="s">
        <v>607</v>
      </c>
      <c r="G57" s="486"/>
      <c r="H57" s="485"/>
      <c r="I57" s="485"/>
      <c r="J57" s="485"/>
      <c r="K57" s="487"/>
      <c r="L57" s="489">
        <v>0</v>
      </c>
      <c r="M57" s="490">
        <v>0</v>
      </c>
      <c r="N57" s="490">
        <v>0</v>
      </c>
      <c r="O57" s="490">
        <v>0</v>
      </c>
      <c r="P57" s="491">
        <v>0</v>
      </c>
      <c r="Q57" s="1281"/>
      <c r="R57" s="444"/>
      <c r="S57" s="485"/>
      <c r="T57" s="485"/>
      <c r="U57" s="485"/>
      <c r="V57" s="487"/>
      <c r="W57" s="4263"/>
      <c r="X57"/>
      <c r="Y57"/>
      <c r="Z57"/>
      <c r="AA57" s="489"/>
      <c r="AB57" s="490"/>
      <c r="AC57" s="490"/>
      <c r="AD57" s="490"/>
      <c r="AE57" s="491"/>
      <c r="AF57" s="489">
        <v>0</v>
      </c>
      <c r="AG57" s="490">
        <v>0</v>
      </c>
      <c r="AH57" s="491">
        <v>0</v>
      </c>
    </row>
    <row r="58" spans="1:34" s="501" customFormat="1" ht="12.75" customHeight="1" outlineLevel="1">
      <c r="D58" s="299"/>
      <c r="E58" s="4261" t="s">
        <v>1542</v>
      </c>
      <c r="F58" s="543" t="s">
        <v>610</v>
      </c>
      <c r="G58" s="384">
        <f>SUM(G56:G57)</f>
        <v>0</v>
      </c>
      <c r="H58" s="385">
        <f>SUM(H56:H57)</f>
        <v>0</v>
      </c>
      <c r="I58" s="385">
        <f>SUM(I56:I57)</f>
        <v>0</v>
      </c>
      <c r="J58" s="385">
        <f>SUM(J56:J57)</f>
        <v>0</v>
      </c>
      <c r="K58" s="477">
        <f>SUM(K56:K57)</f>
        <v>0</v>
      </c>
      <c r="L58" s="384">
        <f>SUM(L55:L57)</f>
        <v>10721.68750180082</v>
      </c>
      <c r="M58" s="385">
        <f>SUM(M56:M57)</f>
        <v>0</v>
      </c>
      <c r="N58" s="385">
        <f>SUM(N56:N57)</f>
        <v>0</v>
      </c>
      <c r="O58" s="385">
        <f>SUM(O56:O57)</f>
        <v>0</v>
      </c>
      <c r="P58" s="477">
        <f>SUM(P56:P57)</f>
        <v>0</v>
      </c>
      <c r="Q58" s="1282"/>
      <c r="R58" s="474">
        <f>SUM(R56:R57)</f>
        <v>0</v>
      </c>
      <c r="S58" s="385">
        <f>SUM(S56:S57)</f>
        <v>0</v>
      </c>
      <c r="T58" s="385">
        <f>SUM(T56:T57)</f>
        <v>0</v>
      </c>
      <c r="U58" s="385">
        <f>SUM(U56:U57)</f>
        <v>0</v>
      </c>
      <c r="V58" s="477">
        <f>SUM(V56:V57)</f>
        <v>0</v>
      </c>
      <c r="W58" s="4263"/>
      <c r="X58"/>
      <c r="Y58"/>
      <c r="Z58"/>
      <c r="AA58" s="384">
        <f t="shared" ref="AA58:AH58" si="8">SUM(AA56:AA57)</f>
        <v>0</v>
      </c>
      <c r="AB58" s="385">
        <f t="shared" si="8"/>
        <v>0</v>
      </c>
      <c r="AC58" s="385">
        <f t="shared" si="8"/>
        <v>0</v>
      </c>
      <c r="AD58" s="385">
        <f t="shared" si="8"/>
        <v>0</v>
      </c>
      <c r="AE58" s="477">
        <f t="shared" si="8"/>
        <v>0</v>
      </c>
      <c r="AF58" s="384">
        <f t="shared" si="8"/>
        <v>0</v>
      </c>
      <c r="AG58" s="385">
        <f t="shared" si="8"/>
        <v>0</v>
      </c>
      <c r="AH58" s="477">
        <f t="shared" si="8"/>
        <v>0</v>
      </c>
    </row>
    <row r="59" spans="1:34" s="501" customFormat="1" ht="12.75" customHeight="1" outlineLevel="1">
      <c r="D59" s="299"/>
      <c r="E59" s="4261"/>
      <c r="F59" s="542" t="s">
        <v>35</v>
      </c>
      <c r="G59" s="486"/>
      <c r="H59" s="485"/>
      <c r="I59" s="485"/>
      <c r="J59" s="485"/>
      <c r="K59" s="487"/>
      <c r="L59" s="486"/>
      <c r="M59" s="485"/>
      <c r="N59" s="485"/>
      <c r="O59" s="485"/>
      <c r="P59" s="487"/>
      <c r="Q59" s="1281"/>
      <c r="R59" s="444"/>
      <c r="S59" s="485"/>
      <c r="T59" s="485"/>
      <c r="U59" s="485"/>
      <c r="V59" s="487"/>
      <c r="W59" s="4263"/>
      <c r="X59"/>
      <c r="Y59"/>
      <c r="Z59"/>
      <c r="AA59" s="489"/>
      <c r="AB59" s="490"/>
      <c r="AC59" s="490"/>
      <c r="AD59" s="490"/>
      <c r="AE59" s="491"/>
      <c r="AF59" s="489"/>
      <c r="AG59" s="490"/>
      <c r="AH59" s="491"/>
    </row>
    <row r="60" spans="1:34" s="501" customFormat="1" ht="12.75" customHeight="1" outlineLevel="1" thickBot="1">
      <c r="D60" s="299"/>
      <c r="E60" s="524"/>
      <c r="F60" s="1501" t="s">
        <v>611</v>
      </c>
      <c r="G60" s="1458">
        <f t="shared" ref="G60:L60" si="9">G58-G59</f>
        <v>0</v>
      </c>
      <c r="H60" s="387">
        <f t="shared" si="9"/>
        <v>0</v>
      </c>
      <c r="I60" s="387">
        <f t="shared" si="9"/>
        <v>0</v>
      </c>
      <c r="J60" s="387">
        <f t="shared" si="9"/>
        <v>0</v>
      </c>
      <c r="K60" s="528">
        <f t="shared" si="9"/>
        <v>0</v>
      </c>
      <c r="L60" s="1458">
        <f t="shared" si="9"/>
        <v>10721.68750180082</v>
      </c>
      <c r="M60" s="387">
        <f>M58-M59</f>
        <v>0</v>
      </c>
      <c r="N60" s="387">
        <f>N58-N59</f>
        <v>0</v>
      </c>
      <c r="O60" s="387">
        <f>O58-O59</f>
        <v>0</v>
      </c>
      <c r="P60" s="528">
        <f>P58-P59</f>
        <v>0</v>
      </c>
      <c r="Q60" s="1283"/>
      <c r="R60" s="527">
        <f>R58-R59</f>
        <v>0</v>
      </c>
      <c r="S60" s="387">
        <f>S58-S59</f>
        <v>0</v>
      </c>
      <c r="T60" s="387">
        <f>T58-T59</f>
        <v>0</v>
      </c>
      <c r="U60" s="387">
        <f>U58-U59</f>
        <v>0</v>
      </c>
      <c r="V60" s="528">
        <f>V58-V59</f>
        <v>0</v>
      </c>
      <c r="W60" s="4264"/>
      <c r="X60"/>
      <c r="Y60"/>
      <c r="Z60"/>
      <c r="AA60" s="1458">
        <f t="shared" ref="AA60:AH60" si="10">AA58-AA59</f>
        <v>0</v>
      </c>
      <c r="AB60" s="387">
        <f t="shared" si="10"/>
        <v>0</v>
      </c>
      <c r="AC60" s="387">
        <f t="shared" si="10"/>
        <v>0</v>
      </c>
      <c r="AD60" s="387">
        <f t="shared" si="10"/>
        <v>0</v>
      </c>
      <c r="AE60" s="528">
        <f t="shared" si="10"/>
        <v>0</v>
      </c>
      <c r="AF60" s="1458">
        <f t="shared" si="10"/>
        <v>0</v>
      </c>
      <c r="AG60" s="387">
        <f t="shared" si="10"/>
        <v>0</v>
      </c>
      <c r="AH60" s="528">
        <f t="shared" si="10"/>
        <v>0</v>
      </c>
    </row>
    <row r="61" spans="1:34" s="501" customFormat="1" ht="18">
      <c r="D61" s="299"/>
      <c r="E61" s="1712" t="str">
        <f>CONCATENATE(E20, " Totals")</f>
        <v xml:space="preserve"> Totals</v>
      </c>
      <c r="F61" s="1713" t="s">
        <v>605</v>
      </c>
      <c r="G61" s="560">
        <f ca="1">SUMIF($F$21:$P$60,"Total direct expenditure",G$21:G$60)</f>
        <v>89486.945999999996</v>
      </c>
      <c r="H61" s="521">
        <f t="shared" ref="H61:P61" ca="1" si="11">SUMIF($F$21:$P$60,"Total direct expenditure",H$21:H$60)</f>
        <v>72124.109999999986</v>
      </c>
      <c r="I61" s="521">
        <f t="shared" ca="1" si="11"/>
        <v>3597.192</v>
      </c>
      <c r="J61" s="521">
        <f t="shared" ca="1" si="11"/>
        <v>62331.650999999998</v>
      </c>
      <c r="K61" s="575">
        <f t="shared" ca="1" si="11"/>
        <v>84238.614678899074</v>
      </c>
      <c r="L61" s="1534">
        <f t="shared" ca="1" si="11"/>
        <v>157289.01999999999</v>
      </c>
      <c r="M61" s="521">
        <f t="shared" ca="1" si="11"/>
        <v>26231.309999999998</v>
      </c>
      <c r="N61" s="521">
        <f t="shared" ca="1" si="11"/>
        <v>102834.6</v>
      </c>
      <c r="O61" s="521">
        <f t="shared" ca="1" si="11"/>
        <v>19009.349999999999</v>
      </c>
      <c r="P61" s="526">
        <f t="shared" ca="1" si="11"/>
        <v>60000</v>
      </c>
      <c r="Q61" s="1284"/>
      <c r="R61" s="560">
        <f ca="1">SUMIF($E$21:$P$60,"Total direct expenditure",R$21:R$60)</f>
        <v>0</v>
      </c>
      <c r="S61" s="521">
        <f ca="1">SUMIF($E$21:$P$60,"Total direct expenditure",S$21:S$60)</f>
        <v>0</v>
      </c>
      <c r="T61" s="521">
        <f ca="1">SUMIF($E$21:$P$60,"Total direct expenditure",T$21:T$60)</f>
        <v>0</v>
      </c>
      <c r="U61" s="521">
        <f ca="1">SUMIF($E$21:$P$60,"Total direct expenditure",U$21:U$60)</f>
        <v>0</v>
      </c>
      <c r="V61" s="526">
        <f ca="1">SUMIF($E$21:$P$60,"Total direct expenditure",V$21:V$60)</f>
        <v>0</v>
      </c>
      <c r="W61" s="4265"/>
      <c r="X61"/>
      <c r="Y61"/>
      <c r="Z61"/>
      <c r="AA61" s="1534">
        <f t="shared" ref="AA61:AH61" ca="1" si="12">SUMIF($E$21:$P$60,"Total direct expenditure",AA$21:AA$60)</f>
        <v>0</v>
      </c>
      <c r="AB61" s="562">
        <f t="shared" ca="1" si="12"/>
        <v>0</v>
      </c>
      <c r="AC61" s="562">
        <f t="shared" ca="1" si="12"/>
        <v>0</v>
      </c>
      <c r="AD61" s="562">
        <f t="shared" ca="1" si="12"/>
        <v>0</v>
      </c>
      <c r="AE61" s="563">
        <f t="shared" ca="1" si="12"/>
        <v>0</v>
      </c>
      <c r="AF61" s="1534">
        <f t="shared" ca="1" si="12"/>
        <v>0</v>
      </c>
      <c r="AG61" s="562">
        <f t="shared" ca="1" si="12"/>
        <v>0</v>
      </c>
      <c r="AH61" s="563">
        <f t="shared" ca="1" si="12"/>
        <v>0</v>
      </c>
    </row>
    <row r="62" spans="1:34" s="501" customFormat="1">
      <c r="D62" s="299"/>
      <c r="E62" s="1714"/>
      <c r="F62" s="1713" t="str">
        <f>CONCATENATE("Total direct expenditure - ",E20)</f>
        <v xml:space="preserve">Total direct expenditure - </v>
      </c>
      <c r="G62" s="560">
        <f t="shared" ref="G62:P62" ca="1" si="13">SUMIF($E$21:$P$60,"Total direct expenditure (incl escalation)",G$21:G$60)</f>
        <v>0</v>
      </c>
      <c r="H62" s="521">
        <f t="shared" ca="1" si="13"/>
        <v>0</v>
      </c>
      <c r="I62" s="521">
        <f t="shared" ca="1" si="13"/>
        <v>0</v>
      </c>
      <c r="J62" s="521">
        <f t="shared" ca="1" si="13"/>
        <v>0</v>
      </c>
      <c r="K62" s="526">
        <f t="shared" ca="1" si="13"/>
        <v>0</v>
      </c>
      <c r="L62" s="559">
        <f t="shared" ca="1" si="13"/>
        <v>0</v>
      </c>
      <c r="M62" s="521">
        <f t="shared" ca="1" si="13"/>
        <v>0</v>
      </c>
      <c r="N62" s="521">
        <f t="shared" ca="1" si="13"/>
        <v>0</v>
      </c>
      <c r="O62" s="521">
        <f t="shared" ca="1" si="13"/>
        <v>0</v>
      </c>
      <c r="P62" s="526">
        <f t="shared" ca="1" si="13"/>
        <v>0</v>
      </c>
      <c r="Q62" s="1285"/>
      <c r="R62" s="560">
        <f ca="1">SUMIF($E$21:$P$60,"Total direct expenditure (incl escalation)",R$21:R$60)</f>
        <v>0</v>
      </c>
      <c r="S62" s="521">
        <f ca="1">SUMIF($E$21:$P$60,"Total direct expenditure (incl escalation)",S$21:S$60)</f>
        <v>0</v>
      </c>
      <c r="T62" s="521">
        <f ca="1">SUMIF($E$21:$P$60,"Total direct expenditure (incl escalation)",T$21:T$60)</f>
        <v>0</v>
      </c>
      <c r="U62" s="521">
        <f ca="1">SUMIF($E$21:$P$60,"Total direct expenditure (incl escalation)",U$21:U$60)</f>
        <v>0</v>
      </c>
      <c r="V62" s="526">
        <f ca="1">SUMIF($E$21:$P$60,"Total direct expenditure (incl escalation)",V$21:V$60)</f>
        <v>0</v>
      </c>
      <c r="W62" s="4266"/>
      <c r="X62"/>
      <c r="Y62"/>
      <c r="Z62"/>
      <c r="AA62" s="559">
        <f t="shared" ref="AA62:AH62" ca="1" si="14">SUMIF($E$21:$P$60,"Total direct expenditure (incl escalation)",AA$21:AA$60)</f>
        <v>0</v>
      </c>
      <c r="AB62" s="521">
        <f t="shared" ca="1" si="14"/>
        <v>0</v>
      </c>
      <c r="AC62" s="521">
        <f t="shared" ca="1" si="14"/>
        <v>0</v>
      </c>
      <c r="AD62" s="521">
        <f t="shared" ca="1" si="14"/>
        <v>0</v>
      </c>
      <c r="AE62" s="523">
        <f t="shared" ca="1" si="14"/>
        <v>0</v>
      </c>
      <c r="AF62" s="559">
        <f t="shared" ca="1" si="14"/>
        <v>0</v>
      </c>
      <c r="AG62" s="521">
        <f t="shared" ca="1" si="14"/>
        <v>0</v>
      </c>
      <c r="AH62" s="523">
        <f t="shared" ca="1" si="14"/>
        <v>0</v>
      </c>
    </row>
    <row r="63" spans="1:34" s="501" customFormat="1">
      <c r="D63" s="299"/>
      <c r="E63" s="1714"/>
      <c r="F63" s="1715" t="str">
        <f>CONCATENATE("Total overhead expenditure - ", E20)</f>
        <v xml:space="preserve">Total overhead expenditure - </v>
      </c>
      <c r="G63" s="560">
        <f ca="1">SUMIF($F$21:$P$60,"Total overhead expenditure",G$21:G$60)</f>
        <v>9942.9940000000006</v>
      </c>
      <c r="H63" s="521">
        <f t="shared" ref="H63:P63" ca="1" si="15">SUMIF($F$21:$P$60,"Total overhead expenditure",H$21:H$60)</f>
        <v>8013.7899999999981</v>
      </c>
      <c r="I63" s="521">
        <f t="shared" ca="1" si="15"/>
        <v>399.68800000000005</v>
      </c>
      <c r="J63" s="521">
        <f t="shared" ca="1" si="15"/>
        <v>6925.7390000000005</v>
      </c>
      <c r="K63" s="526">
        <f t="shared" ca="1" si="15"/>
        <v>7581.4753211009247</v>
      </c>
      <c r="L63" s="559">
        <f t="shared" ca="1" si="15"/>
        <v>4087.01</v>
      </c>
      <c r="M63" s="521">
        <f t="shared" ca="1" si="15"/>
        <v>1341.43</v>
      </c>
      <c r="N63" s="521">
        <f t="shared" ca="1" si="15"/>
        <v>5563.4</v>
      </c>
      <c r="O63" s="521">
        <f t="shared" ca="1" si="15"/>
        <v>852.65</v>
      </c>
      <c r="P63" s="526">
        <f t="shared" ca="1" si="15"/>
        <v>3600</v>
      </c>
      <c r="Q63" s="1285"/>
      <c r="R63" s="560">
        <f ca="1">SUMIF($E$21:$P$60,"Total overhead expenditure",R$21:R$60)</f>
        <v>0</v>
      </c>
      <c r="S63" s="521">
        <f ca="1">SUMIF($E$21:$P$60,"Total overhead expenditure",S$21:S$60)</f>
        <v>0</v>
      </c>
      <c r="T63" s="521">
        <f ca="1">SUMIF($E$21:$P$60,"Total overhead expenditure",T$21:T$60)</f>
        <v>0</v>
      </c>
      <c r="U63" s="521">
        <f ca="1">SUMIF($E$21:$P$60,"Total overhead expenditure",U$21:U$60)</f>
        <v>0</v>
      </c>
      <c r="V63" s="526">
        <f ca="1">SUMIF($E$21:$P$60,"Total overhead expenditure",V$21:V$60)</f>
        <v>0</v>
      </c>
      <c r="W63" s="4266"/>
      <c r="X63"/>
      <c r="Y63"/>
      <c r="Z63"/>
      <c r="AA63" s="559">
        <f t="shared" ref="AA63:AH63" ca="1" si="16">SUMIF($E$21:$P$60,"Total overhead expenditure",AA$21:AA$60)</f>
        <v>0</v>
      </c>
      <c r="AB63" s="521">
        <f t="shared" ca="1" si="16"/>
        <v>0</v>
      </c>
      <c r="AC63" s="521">
        <f t="shared" ca="1" si="16"/>
        <v>0</v>
      </c>
      <c r="AD63" s="521">
        <f t="shared" ca="1" si="16"/>
        <v>0</v>
      </c>
      <c r="AE63" s="523">
        <f t="shared" ca="1" si="16"/>
        <v>0</v>
      </c>
      <c r="AF63" s="559">
        <f t="shared" ca="1" si="16"/>
        <v>0</v>
      </c>
      <c r="AG63" s="521">
        <f t="shared" ca="1" si="16"/>
        <v>0</v>
      </c>
      <c r="AH63" s="523">
        <f t="shared" ca="1" si="16"/>
        <v>0</v>
      </c>
    </row>
    <row r="64" spans="1:34" s="501" customFormat="1">
      <c r="D64" s="299"/>
      <c r="E64" s="1714"/>
      <c r="F64" s="1715" t="str">
        <f>CONCATENATE("Related party margin expenditure - ",E20)</f>
        <v xml:space="preserve">Related party margin expenditure - </v>
      </c>
      <c r="G64" s="560">
        <f t="shared" ref="G64:P64" ca="1" si="17">SUMIF($E$21:$P$60,"Related party margin",G$21:G$60)</f>
        <v>0</v>
      </c>
      <c r="H64" s="521">
        <f t="shared" ca="1" si="17"/>
        <v>0</v>
      </c>
      <c r="I64" s="521">
        <f t="shared" ca="1" si="17"/>
        <v>0</v>
      </c>
      <c r="J64" s="521">
        <f t="shared" ca="1" si="17"/>
        <v>0</v>
      </c>
      <c r="K64" s="526">
        <f t="shared" ca="1" si="17"/>
        <v>0</v>
      </c>
      <c r="L64" s="559">
        <f t="shared" ca="1" si="17"/>
        <v>0</v>
      </c>
      <c r="M64" s="521">
        <f t="shared" ca="1" si="17"/>
        <v>0</v>
      </c>
      <c r="N64" s="521">
        <f t="shared" ca="1" si="17"/>
        <v>0</v>
      </c>
      <c r="O64" s="521">
        <f t="shared" ca="1" si="17"/>
        <v>0</v>
      </c>
      <c r="P64" s="526">
        <f t="shared" ca="1" si="17"/>
        <v>0</v>
      </c>
      <c r="Q64" s="1285"/>
      <c r="R64" s="560">
        <f ca="1">SUMIF($E$21:$P$60,"Related party margin",R$21:R$60)</f>
        <v>0</v>
      </c>
      <c r="S64" s="521">
        <f ca="1">SUMIF($E$21:$P$60,"Related party margin",S$21:S$60)</f>
        <v>0</v>
      </c>
      <c r="T64" s="521">
        <f ca="1">SUMIF($E$21:$P$60,"Related party margin",T$21:T$60)</f>
        <v>0</v>
      </c>
      <c r="U64" s="521">
        <f ca="1">SUMIF($E$21:$P$60,"Related party margin",U$21:U$60)</f>
        <v>0</v>
      </c>
      <c r="V64" s="526">
        <f ca="1">SUMIF($E$21:$P$60,"Related party margin",V$21:V$60)</f>
        <v>0</v>
      </c>
      <c r="W64" s="4266"/>
      <c r="X64"/>
      <c r="Y64"/>
      <c r="Z64"/>
      <c r="AA64" s="559">
        <f t="shared" ref="AA64:AH64" ca="1" si="18">SUMIF($E$21:$P$60,"Related party margin",AA$21:AA$60)</f>
        <v>0</v>
      </c>
      <c r="AB64" s="521">
        <f t="shared" ca="1" si="18"/>
        <v>0</v>
      </c>
      <c r="AC64" s="521">
        <f t="shared" ca="1" si="18"/>
        <v>0</v>
      </c>
      <c r="AD64" s="521">
        <f t="shared" ca="1" si="18"/>
        <v>0</v>
      </c>
      <c r="AE64" s="523">
        <f t="shared" ca="1" si="18"/>
        <v>0</v>
      </c>
      <c r="AF64" s="559">
        <f t="shared" ca="1" si="18"/>
        <v>0</v>
      </c>
      <c r="AG64" s="521">
        <f t="shared" ca="1" si="18"/>
        <v>0</v>
      </c>
      <c r="AH64" s="523">
        <f t="shared" ca="1" si="18"/>
        <v>0</v>
      </c>
    </row>
    <row r="65" spans="1:34" s="69" customFormat="1">
      <c r="A65" s="75"/>
      <c r="B65" s="75"/>
      <c r="C65" s="75"/>
      <c r="D65" s="348"/>
      <c r="E65" s="1716"/>
      <c r="F65" s="1717" t="str">
        <f>CONCATENATE("Total gross expenditure - ",E20)</f>
        <v xml:space="preserve">Total gross expenditure - </v>
      </c>
      <c r="G65" s="1241">
        <f ca="1">SUMIF($F$21:$P$60,"Total gross expenditure",G$21:G$60)</f>
        <v>99429.94</v>
      </c>
      <c r="H65" s="1239">
        <f t="shared" ref="H65:P65" ca="1" si="19">SUMIF($F$21:$P$60,"Total gross expenditure",H$21:H$60)</f>
        <v>80137.89999999998</v>
      </c>
      <c r="I65" s="1239">
        <f t="shared" ca="1" si="19"/>
        <v>3996.88</v>
      </c>
      <c r="J65" s="1239">
        <f t="shared" ca="1" si="19"/>
        <v>69257.39</v>
      </c>
      <c r="K65" s="1242">
        <f t="shared" ca="1" si="19"/>
        <v>91820.09</v>
      </c>
      <c r="L65" s="1238">
        <f t="shared" ca="1" si="19"/>
        <v>161376.03000000003</v>
      </c>
      <c r="M65" s="1239">
        <f t="shared" ca="1" si="19"/>
        <v>27572.739999999998</v>
      </c>
      <c r="N65" s="1239">
        <f t="shared" ca="1" si="19"/>
        <v>108398</v>
      </c>
      <c r="O65" s="1239">
        <f t="shared" ca="1" si="19"/>
        <v>19862</v>
      </c>
      <c r="P65" s="1242">
        <f t="shared" ca="1" si="19"/>
        <v>3600</v>
      </c>
      <c r="Q65" s="1286"/>
      <c r="R65" s="1241">
        <f ca="1">SUMIF($E$21:$P$60,"Total gross expenditure",R$21:R$60)</f>
        <v>0</v>
      </c>
      <c r="S65" s="1239">
        <f ca="1">SUMIF($E$21:$P$60,"Total gross expenditure",S$21:S$60)</f>
        <v>0</v>
      </c>
      <c r="T65" s="1239">
        <f ca="1">SUMIF($E$21:$P$60,"Total gross expenditure",T$21:T$60)</f>
        <v>0</v>
      </c>
      <c r="U65" s="1239">
        <f ca="1">SUMIF($E$21:$P$60,"Total gross expenditure",U$21:U$60)</f>
        <v>0</v>
      </c>
      <c r="V65" s="1242">
        <f ca="1">SUMIF($E$21:$P$60,"Total gross expenditure",V$21:V$60)</f>
        <v>0</v>
      </c>
      <c r="W65" s="4266"/>
      <c r="X65"/>
      <c r="Y65"/>
      <c r="Z65"/>
      <c r="AA65" s="1238">
        <f t="shared" ref="AA65:AH65" ca="1" si="20">SUMIF($E$21:$P$60,"Total gross expenditure",AA$21:AA$60)</f>
        <v>0</v>
      </c>
      <c r="AB65" s="1239">
        <f t="shared" ca="1" si="20"/>
        <v>0</v>
      </c>
      <c r="AC65" s="1239">
        <f t="shared" ca="1" si="20"/>
        <v>0</v>
      </c>
      <c r="AD65" s="1239">
        <f t="shared" ca="1" si="20"/>
        <v>0</v>
      </c>
      <c r="AE65" s="1240">
        <f t="shared" ca="1" si="20"/>
        <v>0</v>
      </c>
      <c r="AF65" s="1238">
        <f t="shared" ca="1" si="20"/>
        <v>0</v>
      </c>
      <c r="AG65" s="1239">
        <f t="shared" ca="1" si="20"/>
        <v>0</v>
      </c>
      <c r="AH65" s="1240">
        <f t="shared" ca="1" si="20"/>
        <v>0</v>
      </c>
    </row>
    <row r="66" spans="1:34" s="69" customFormat="1">
      <c r="A66" s="75"/>
      <c r="B66" s="75"/>
      <c r="C66" s="75"/>
      <c r="D66" s="348"/>
      <c r="E66" s="1716"/>
      <c r="F66" s="1715" t="s">
        <v>35</v>
      </c>
      <c r="G66" s="560">
        <f t="shared" ref="G66:P66" ca="1" si="21">SUMIF($E$21:$P$60,"Less customer contributions",G$21:G$60)</f>
        <v>0</v>
      </c>
      <c r="H66" s="521">
        <f t="shared" ca="1" si="21"/>
        <v>0</v>
      </c>
      <c r="I66" s="521">
        <f t="shared" ca="1" si="21"/>
        <v>0</v>
      </c>
      <c r="J66" s="521">
        <f t="shared" ca="1" si="21"/>
        <v>0</v>
      </c>
      <c r="K66" s="526">
        <f t="shared" ca="1" si="21"/>
        <v>0</v>
      </c>
      <c r="L66" s="559">
        <f t="shared" ca="1" si="21"/>
        <v>0</v>
      </c>
      <c r="M66" s="521">
        <f t="shared" ca="1" si="21"/>
        <v>0</v>
      </c>
      <c r="N66" s="521">
        <f t="shared" ca="1" si="21"/>
        <v>0</v>
      </c>
      <c r="O66" s="521">
        <f t="shared" ca="1" si="21"/>
        <v>0</v>
      </c>
      <c r="P66" s="526">
        <f t="shared" ca="1" si="21"/>
        <v>0</v>
      </c>
      <c r="Q66" s="1285"/>
      <c r="R66" s="560">
        <f ca="1">SUMIF($E$21:$P$60,"Less customer contributions",R$21:R$60)</f>
        <v>0</v>
      </c>
      <c r="S66" s="521">
        <f ca="1">SUMIF($E$21:$P$60,"Less customer contributions",S$21:S$60)</f>
        <v>0</v>
      </c>
      <c r="T66" s="521">
        <f ca="1">SUMIF($E$21:$P$60,"Less customer contributions",T$21:T$60)</f>
        <v>0</v>
      </c>
      <c r="U66" s="521">
        <f ca="1">SUMIF($E$21:$P$60,"Less customer contributions",U$21:U$60)</f>
        <v>0</v>
      </c>
      <c r="V66" s="526">
        <f ca="1">SUMIF($E$21:$P$60,"Less customer contributions",V$21:V$60)</f>
        <v>0</v>
      </c>
      <c r="W66" s="4266"/>
      <c r="X66"/>
      <c r="Y66"/>
      <c r="Z66"/>
      <c r="AA66" s="559">
        <f t="shared" ref="AA66:AH66" ca="1" si="22">SUMIF($E$21:$P$60,"Less customer contributions",AA$21:AA$60)</f>
        <v>0</v>
      </c>
      <c r="AB66" s="521">
        <f t="shared" ca="1" si="22"/>
        <v>0</v>
      </c>
      <c r="AC66" s="521">
        <f t="shared" ca="1" si="22"/>
        <v>0</v>
      </c>
      <c r="AD66" s="521">
        <f t="shared" ca="1" si="22"/>
        <v>0</v>
      </c>
      <c r="AE66" s="523">
        <f t="shared" ca="1" si="22"/>
        <v>0</v>
      </c>
      <c r="AF66" s="559">
        <f t="shared" ca="1" si="22"/>
        <v>0</v>
      </c>
      <c r="AG66" s="521">
        <f t="shared" ca="1" si="22"/>
        <v>0</v>
      </c>
      <c r="AH66" s="523">
        <f t="shared" ca="1" si="22"/>
        <v>0</v>
      </c>
    </row>
    <row r="67" spans="1:34" s="69" customFormat="1" ht="13.5" thickBot="1">
      <c r="A67" s="75"/>
      <c r="B67" s="75"/>
      <c r="C67" s="75"/>
      <c r="D67" s="348"/>
      <c r="E67" s="1718"/>
      <c r="F67" s="1719" t="str">
        <f>CONCATENATE("Total net expenditure - ",E20)</f>
        <v xml:space="preserve">Total net expenditure - </v>
      </c>
      <c r="G67" s="1246">
        <f ca="1">SUMIF($F$21:$P$60,"Total net expenditure",G$21:G$60)</f>
        <v>99429.94</v>
      </c>
      <c r="H67" s="1244">
        <f t="shared" ref="H67:P67" ca="1" si="23">SUMIF($F$21:$P$60,"Total net expenditure",H$21:H$60)</f>
        <v>80137.89999999998</v>
      </c>
      <c r="I67" s="1244">
        <f t="shared" ca="1" si="23"/>
        <v>3996.88</v>
      </c>
      <c r="J67" s="1244">
        <f t="shared" ca="1" si="23"/>
        <v>69257.39</v>
      </c>
      <c r="K67" s="1253">
        <f t="shared" ca="1" si="23"/>
        <v>91820.09</v>
      </c>
      <c r="L67" s="1535">
        <f t="shared" ca="1" si="23"/>
        <v>161376.03000000003</v>
      </c>
      <c r="M67" s="1244">
        <f t="shared" ca="1" si="23"/>
        <v>27572.739999999998</v>
      </c>
      <c r="N67" s="1244">
        <f t="shared" ca="1" si="23"/>
        <v>108398</v>
      </c>
      <c r="O67" s="1244">
        <f t="shared" ca="1" si="23"/>
        <v>19862</v>
      </c>
      <c r="P67" s="1245">
        <f t="shared" ca="1" si="23"/>
        <v>3600</v>
      </c>
      <c r="Q67" s="1287"/>
      <c r="R67" s="1246">
        <f ca="1">SUMIF($E$21:$P$60,"Total net expenditure",R$21:R$60)</f>
        <v>0</v>
      </c>
      <c r="S67" s="1244">
        <f ca="1">SUMIF($E$21:$P$60,"Total net expenditure",S$21:S$60)</f>
        <v>0</v>
      </c>
      <c r="T67" s="1244">
        <f ca="1">SUMIF($E$21:$P$60,"Total net expenditure",T$21:T$60)</f>
        <v>0</v>
      </c>
      <c r="U67" s="1244">
        <f ca="1">SUMIF($E$21:$P$60,"Total net expenditure",U$21:U$60)</f>
        <v>0</v>
      </c>
      <c r="V67" s="1245">
        <f ca="1">SUMIF($E$21:$P$60,"Total net expenditure",V$21:V$60)</f>
        <v>0</v>
      </c>
      <c r="W67" s="4267"/>
      <c r="X67"/>
      <c r="Y67"/>
      <c r="Z67"/>
      <c r="AA67" s="1535">
        <f t="shared" ref="AA67:AH67" ca="1" si="24">SUMIF($E$21:$P$60,"Total net expenditure",AA$21:AA$60)</f>
        <v>0</v>
      </c>
      <c r="AB67" s="1244">
        <f t="shared" ca="1" si="24"/>
        <v>0</v>
      </c>
      <c r="AC67" s="1244">
        <f t="shared" ca="1" si="24"/>
        <v>0</v>
      </c>
      <c r="AD67" s="1244">
        <f t="shared" ca="1" si="24"/>
        <v>0</v>
      </c>
      <c r="AE67" s="1245">
        <f t="shared" ca="1" si="24"/>
        <v>0</v>
      </c>
      <c r="AF67" s="1535">
        <f t="shared" ca="1" si="24"/>
        <v>0</v>
      </c>
      <c r="AG67" s="1244">
        <f t="shared" ca="1" si="24"/>
        <v>0</v>
      </c>
      <c r="AH67" s="1245">
        <f t="shared" ca="1" si="24"/>
        <v>0</v>
      </c>
    </row>
    <row r="68" spans="1:34" s="78" customFormat="1" ht="40.5" customHeight="1" thickBot="1">
      <c r="A68" s="299"/>
      <c r="B68" s="299"/>
      <c r="C68" s="299"/>
      <c r="D68" s="299"/>
      <c r="E68" s="4259"/>
      <c r="F68" s="4260"/>
      <c r="G68" s="1707"/>
      <c r="H68" s="1708"/>
      <c r="I68" s="1708"/>
      <c r="J68" s="1708"/>
      <c r="K68" s="1708"/>
      <c r="L68" s="1708"/>
      <c r="M68" s="1708"/>
      <c r="N68" s="1708"/>
      <c r="O68" s="1708"/>
      <c r="P68" s="1708"/>
      <c r="Q68" s="1708"/>
      <c r="R68" s="1708"/>
      <c r="S68" s="1708"/>
      <c r="T68" s="1708"/>
      <c r="U68" s="1708"/>
      <c r="V68" s="1708"/>
      <c r="W68" s="1709"/>
      <c r="X68"/>
      <c r="Y68"/>
      <c r="Z68"/>
      <c r="AA68" s="1707"/>
      <c r="AB68" s="1708"/>
      <c r="AC68" s="1708"/>
      <c r="AD68" s="1708"/>
      <c r="AE68" s="1708"/>
      <c r="AF68" s="1708"/>
      <c r="AG68" s="1708"/>
      <c r="AH68" s="1708"/>
    </row>
    <row r="69" spans="1:34" s="501" customFormat="1" ht="27" customHeight="1" outlineLevel="1">
      <c r="D69" s="299"/>
      <c r="E69" s="567" t="s">
        <v>1543</v>
      </c>
      <c r="F69" s="880" t="s">
        <v>619</v>
      </c>
      <c r="G69" s="1699"/>
      <c r="H69" s="1700"/>
      <c r="I69" s="1700"/>
      <c r="J69" s="1700"/>
      <c r="K69" s="1710"/>
      <c r="L69" s="564"/>
      <c r="M69" s="565"/>
      <c r="N69" s="565"/>
      <c r="O69" s="565"/>
      <c r="P69" s="566"/>
      <c r="Q69" s="1280"/>
      <c r="R69" s="565"/>
      <c r="S69" s="565"/>
      <c r="T69" s="565"/>
      <c r="U69" s="565"/>
      <c r="V69" s="566"/>
      <c r="W69" s="4262"/>
      <c r="X69"/>
      <c r="Y69"/>
      <c r="Z69"/>
      <c r="AA69" s="553"/>
      <c r="AB69" s="554"/>
      <c r="AC69" s="554"/>
      <c r="AD69" s="554"/>
      <c r="AE69" s="555"/>
      <c r="AF69" s="564"/>
      <c r="AG69" s="565"/>
      <c r="AH69" s="566"/>
    </row>
    <row r="70" spans="1:34" s="501" customFormat="1" ht="12.75" customHeight="1" outlineLevel="1">
      <c r="A70" s="78"/>
      <c r="B70" s="78"/>
      <c r="C70" s="78"/>
      <c r="D70" s="299"/>
      <c r="E70" s="524"/>
      <c r="F70" s="542" t="s">
        <v>585</v>
      </c>
      <c r="G70" s="1701"/>
      <c r="H70" s="1702"/>
      <c r="I70" s="1702"/>
      <c r="J70" s="1702"/>
      <c r="K70" s="1711"/>
      <c r="L70" s="486"/>
      <c r="M70" s="485"/>
      <c r="N70" s="485"/>
      <c r="O70" s="485"/>
      <c r="P70" s="487"/>
      <c r="Q70" s="1281"/>
      <c r="R70" s="444"/>
      <c r="S70" s="485"/>
      <c r="T70" s="485"/>
      <c r="U70" s="485"/>
      <c r="V70" s="487"/>
      <c r="W70" s="4263"/>
      <c r="X70"/>
      <c r="Y70"/>
      <c r="Z70"/>
      <c r="AA70" s="497"/>
      <c r="AB70" s="495"/>
      <c r="AC70" s="495"/>
      <c r="AD70" s="495"/>
      <c r="AE70" s="556"/>
      <c r="AF70" s="489"/>
      <c r="AG70" s="490"/>
      <c r="AH70" s="491"/>
    </row>
    <row r="71" spans="1:34" s="501" customFormat="1" ht="12.75" customHeight="1" outlineLevel="1">
      <c r="D71" s="299"/>
      <c r="E71" s="524"/>
      <c r="F71" s="542" t="s">
        <v>584</v>
      </c>
      <c r="G71" s="1701"/>
      <c r="H71" s="1702"/>
      <c r="I71" s="1702"/>
      <c r="J71" s="1702"/>
      <c r="K71" s="1711"/>
      <c r="L71" s="486"/>
      <c r="M71" s="485"/>
      <c r="N71" s="485"/>
      <c r="O71" s="485"/>
      <c r="P71" s="487">
        <v>227652</v>
      </c>
      <c r="Q71" s="1281"/>
      <c r="R71" s="444">
        <v>604076.17470999993</v>
      </c>
      <c r="S71" s="485">
        <v>570998.38635000004</v>
      </c>
      <c r="T71" s="485">
        <v>491207.59519999992</v>
      </c>
      <c r="U71" s="485">
        <v>492870.24300000002</v>
      </c>
      <c r="V71" s="487">
        <v>444263.39279999997</v>
      </c>
      <c r="W71" s="4263"/>
      <c r="X71"/>
      <c r="Y71"/>
      <c r="Z71"/>
      <c r="AA71" s="497"/>
      <c r="AB71" s="495"/>
      <c r="AC71" s="495"/>
      <c r="AD71" s="495"/>
      <c r="AE71" s="556"/>
      <c r="AF71" s="489"/>
      <c r="AG71" s="490"/>
      <c r="AH71" s="491"/>
    </row>
    <row r="72" spans="1:34" s="501" customFormat="1" ht="12.75" customHeight="1" outlineLevel="1">
      <c r="D72" s="299"/>
      <c r="E72" s="524"/>
      <c r="F72" s="542" t="s">
        <v>604</v>
      </c>
      <c r="G72" s="1701"/>
      <c r="H72" s="1702"/>
      <c r="I72" s="1702"/>
      <c r="J72" s="1702"/>
      <c r="K72" s="1711"/>
      <c r="L72" s="486"/>
      <c r="M72" s="485"/>
      <c r="N72" s="485"/>
      <c r="O72" s="485"/>
      <c r="P72" s="487"/>
      <c r="Q72" s="1281"/>
      <c r="R72" s="444"/>
      <c r="S72" s="485"/>
      <c r="T72" s="485"/>
      <c r="U72" s="485"/>
      <c r="V72" s="487"/>
      <c r="W72" s="4263"/>
      <c r="X72"/>
      <c r="Y72"/>
      <c r="Z72"/>
      <c r="AA72" s="497"/>
      <c r="AB72" s="495"/>
      <c r="AC72" s="495"/>
      <c r="AD72" s="495"/>
      <c r="AE72" s="556"/>
      <c r="AF72" s="489"/>
      <c r="AG72" s="490"/>
      <c r="AH72" s="491"/>
    </row>
    <row r="73" spans="1:34" s="501" customFormat="1" ht="12.75" customHeight="1" outlineLevel="1">
      <c r="D73" s="299"/>
      <c r="E73" s="524"/>
      <c r="F73" s="543" t="s">
        <v>605</v>
      </c>
      <c r="G73" s="486"/>
      <c r="H73" s="485"/>
      <c r="I73" s="485"/>
      <c r="J73" s="485"/>
      <c r="K73" s="487"/>
      <c r="L73" s="384">
        <f>SUM(L70:L72)</f>
        <v>0</v>
      </c>
      <c r="M73" s="385">
        <f>SUM(M70:M72)</f>
        <v>0</v>
      </c>
      <c r="N73" s="385">
        <f>SUM(N70:N72)</f>
        <v>0</v>
      </c>
      <c r="O73" s="385">
        <f>SUM(O70:O72)</f>
        <v>0</v>
      </c>
      <c r="P73" s="477">
        <f>SUM(P70:P72)</f>
        <v>227652</v>
      </c>
      <c r="Q73" s="1282"/>
      <c r="R73" s="474">
        <f>SUM(R70:R72)</f>
        <v>604076.17470999993</v>
      </c>
      <c r="S73" s="385">
        <f>SUM(S70:S72)</f>
        <v>570998.38635000004</v>
      </c>
      <c r="T73" s="385">
        <f>SUM(T70:T72)</f>
        <v>491207.59519999992</v>
      </c>
      <c r="U73" s="385">
        <f>SUM(U70:U72)</f>
        <v>492870.24300000002</v>
      </c>
      <c r="V73" s="477">
        <f>SUM(V70:V72)</f>
        <v>444263.39279999997</v>
      </c>
      <c r="W73" s="4263"/>
      <c r="X73"/>
      <c r="Y73"/>
      <c r="Z73"/>
      <c r="AA73" s="489"/>
      <c r="AB73" s="490"/>
      <c r="AC73" s="490"/>
      <c r="AD73" s="490"/>
      <c r="AE73" s="491"/>
      <c r="AF73" s="384">
        <f t="shared" ref="AF73:AH73" si="25">SUM(AF70:AF72)</f>
        <v>0</v>
      </c>
      <c r="AG73" s="385">
        <f t="shared" si="25"/>
        <v>0</v>
      </c>
      <c r="AH73" s="477">
        <f t="shared" si="25"/>
        <v>0</v>
      </c>
    </row>
    <row r="74" spans="1:34" s="501" customFormat="1" ht="12.75" customHeight="1" outlineLevel="1">
      <c r="D74" s="299"/>
      <c r="E74" s="524"/>
      <c r="F74" s="542" t="s">
        <v>609</v>
      </c>
      <c r="G74" s="486"/>
      <c r="H74" s="485"/>
      <c r="I74" s="485"/>
      <c r="J74" s="485"/>
      <c r="K74" s="487"/>
      <c r="L74" s="536">
        <v>0</v>
      </c>
      <c r="M74" s="537">
        <v>0</v>
      </c>
      <c r="N74" s="537">
        <v>0</v>
      </c>
      <c r="O74" s="537">
        <f>O73*0.06</f>
        <v>0</v>
      </c>
      <c r="P74" s="491">
        <f>P73*0.06</f>
        <v>13659.119999999999</v>
      </c>
      <c r="Q74" s="1281"/>
      <c r="R74" s="444">
        <f>R73*0.06</f>
        <v>36244.570482599993</v>
      </c>
      <c r="S74" s="485">
        <f>S73*0.06</f>
        <v>34259.903181000001</v>
      </c>
      <c r="T74" s="485">
        <f>T73*0.06</f>
        <v>29472.455711999995</v>
      </c>
      <c r="U74" s="485">
        <f>U73*0.06</f>
        <v>29572.21458</v>
      </c>
      <c r="V74" s="487">
        <f>V73*0.06</f>
        <v>26655.803567999996</v>
      </c>
      <c r="W74" s="4263"/>
      <c r="X74"/>
      <c r="Y74"/>
      <c r="Z74"/>
      <c r="AA74" s="489"/>
      <c r="AB74" s="490"/>
      <c r="AC74" s="490"/>
      <c r="AD74" s="490"/>
      <c r="AE74" s="491"/>
      <c r="AF74" s="536">
        <v>0</v>
      </c>
      <c r="AG74" s="537">
        <v>0</v>
      </c>
      <c r="AH74" s="573">
        <v>0</v>
      </c>
    </row>
    <row r="75" spans="1:34" s="501" customFormat="1" ht="12.75" customHeight="1" outlineLevel="1">
      <c r="D75" s="299"/>
      <c r="E75" s="524"/>
      <c r="F75" s="542" t="s">
        <v>607</v>
      </c>
      <c r="G75" s="486"/>
      <c r="H75" s="485"/>
      <c r="I75" s="485"/>
      <c r="J75" s="485"/>
      <c r="K75" s="487"/>
      <c r="L75" s="489">
        <v>0</v>
      </c>
      <c r="M75" s="490">
        <v>0</v>
      </c>
      <c r="N75" s="490">
        <v>0</v>
      </c>
      <c r="O75" s="490">
        <v>0</v>
      </c>
      <c r="P75" s="491">
        <v>0</v>
      </c>
      <c r="Q75" s="1281"/>
      <c r="R75" s="444"/>
      <c r="S75" s="485"/>
      <c r="T75" s="485"/>
      <c r="U75" s="485"/>
      <c r="V75" s="487"/>
      <c r="W75" s="4263"/>
      <c r="X75"/>
      <c r="Y75"/>
      <c r="Z75"/>
      <c r="AA75" s="489"/>
      <c r="AB75" s="490"/>
      <c r="AC75" s="490"/>
      <c r="AD75" s="490"/>
      <c r="AE75" s="491"/>
      <c r="AF75" s="489">
        <v>0</v>
      </c>
      <c r="AG75" s="490">
        <v>0</v>
      </c>
      <c r="AH75" s="491">
        <v>0</v>
      </c>
    </row>
    <row r="76" spans="1:34" s="501" customFormat="1" ht="12.75" customHeight="1" outlineLevel="1">
      <c r="D76" s="299"/>
      <c r="E76" s="524"/>
      <c r="F76" s="543" t="s">
        <v>610</v>
      </c>
      <c r="G76" s="384">
        <f t="shared" ref="G76:N76" si="26">SUM(G74:G75)</f>
        <v>0</v>
      </c>
      <c r="H76" s="385">
        <f t="shared" si="26"/>
        <v>0</v>
      </c>
      <c r="I76" s="385">
        <f t="shared" si="26"/>
        <v>0</v>
      </c>
      <c r="J76" s="385">
        <f t="shared" si="26"/>
        <v>0</v>
      </c>
      <c r="K76" s="477">
        <f t="shared" si="26"/>
        <v>0</v>
      </c>
      <c r="L76" s="384">
        <f t="shared" si="26"/>
        <v>0</v>
      </c>
      <c r="M76" s="385">
        <f t="shared" si="26"/>
        <v>0</v>
      </c>
      <c r="N76" s="385">
        <f t="shared" si="26"/>
        <v>0</v>
      </c>
      <c r="O76" s="385">
        <f>SUM(O73:O75)</f>
        <v>0</v>
      </c>
      <c r="P76" s="477">
        <f>SUM(P73:P75)</f>
        <v>241311.12</v>
      </c>
      <c r="Q76" s="1282"/>
      <c r="R76" s="385">
        <f>SUM(R73:R75)</f>
        <v>640320.74519259995</v>
      </c>
      <c r="S76" s="385">
        <f>SUM(S73:S75)</f>
        <v>605258.28953100007</v>
      </c>
      <c r="T76" s="385">
        <f>SUM(T73:T75)</f>
        <v>520680.05091199989</v>
      </c>
      <c r="U76" s="385">
        <f>SUM(U73:U75)</f>
        <v>522442.45758000005</v>
      </c>
      <c r="V76" s="385">
        <f>SUM(V73:V75)</f>
        <v>470919.19636799995</v>
      </c>
      <c r="W76" s="4263"/>
      <c r="X76"/>
      <c r="Y76"/>
      <c r="Z76"/>
      <c r="AA76" s="384">
        <f t="shared" ref="AA76:AH76" si="27">SUM(AA74:AA75)</f>
        <v>0</v>
      </c>
      <c r="AB76" s="385">
        <f t="shared" si="27"/>
        <v>0</v>
      </c>
      <c r="AC76" s="385">
        <f t="shared" si="27"/>
        <v>0</v>
      </c>
      <c r="AD76" s="385">
        <f t="shared" si="27"/>
        <v>0</v>
      </c>
      <c r="AE76" s="477">
        <f t="shared" si="27"/>
        <v>0</v>
      </c>
      <c r="AF76" s="384">
        <f t="shared" si="27"/>
        <v>0</v>
      </c>
      <c r="AG76" s="385">
        <f t="shared" si="27"/>
        <v>0</v>
      </c>
      <c r="AH76" s="477">
        <f t="shared" si="27"/>
        <v>0</v>
      </c>
    </row>
    <row r="77" spans="1:34" s="501" customFormat="1" ht="12.75" customHeight="1" outlineLevel="1">
      <c r="D77" s="299"/>
      <c r="E77" s="524"/>
      <c r="F77" s="542" t="s">
        <v>35</v>
      </c>
      <c r="G77" s="486"/>
      <c r="H77" s="485"/>
      <c r="I77" s="485"/>
      <c r="J77" s="485"/>
      <c r="K77" s="487"/>
      <c r="L77" s="486"/>
      <c r="M77" s="485"/>
      <c r="N77" s="485"/>
      <c r="O77" s="485"/>
      <c r="P77" s="487"/>
      <c r="Q77" s="1281"/>
      <c r="R77" s="444"/>
      <c r="S77" s="485"/>
      <c r="T77" s="485"/>
      <c r="U77" s="485"/>
      <c r="V77" s="487"/>
      <c r="W77" s="4263"/>
      <c r="X77"/>
      <c r="Y77"/>
      <c r="Z77"/>
      <c r="AA77" s="489"/>
      <c r="AB77" s="490"/>
      <c r="AC77" s="490"/>
      <c r="AD77" s="490"/>
      <c r="AE77" s="491"/>
      <c r="AF77" s="489"/>
      <c r="AG77" s="490"/>
      <c r="AH77" s="491"/>
    </row>
    <row r="78" spans="1:34" s="501" customFormat="1" ht="12.75" customHeight="1" outlineLevel="1" thickBot="1">
      <c r="D78" s="299"/>
      <c r="E78" s="524"/>
      <c r="F78" s="1501" t="s">
        <v>611</v>
      </c>
      <c r="G78" s="1458">
        <f t="shared" ref="G78:P78" si="28">G76-G77</f>
        <v>0</v>
      </c>
      <c r="H78" s="387">
        <f t="shared" si="28"/>
        <v>0</v>
      </c>
      <c r="I78" s="387">
        <f t="shared" si="28"/>
        <v>0</v>
      </c>
      <c r="J78" s="387">
        <f t="shared" si="28"/>
        <v>0</v>
      </c>
      <c r="K78" s="528">
        <f t="shared" si="28"/>
        <v>0</v>
      </c>
      <c r="L78" s="1458">
        <f t="shared" si="28"/>
        <v>0</v>
      </c>
      <c r="M78" s="387">
        <f t="shared" si="28"/>
        <v>0</v>
      </c>
      <c r="N78" s="387">
        <f t="shared" si="28"/>
        <v>0</v>
      </c>
      <c r="O78" s="387">
        <f t="shared" si="28"/>
        <v>0</v>
      </c>
      <c r="P78" s="528">
        <f t="shared" si="28"/>
        <v>241311.12</v>
      </c>
      <c r="Q78" s="1283"/>
      <c r="R78" s="527">
        <f>R76-R77</f>
        <v>640320.74519259995</v>
      </c>
      <c r="S78" s="387">
        <f>S76-S77</f>
        <v>605258.28953100007</v>
      </c>
      <c r="T78" s="387">
        <f>T76-T77</f>
        <v>520680.05091199989</v>
      </c>
      <c r="U78" s="387">
        <f>U76-U77</f>
        <v>522442.45758000005</v>
      </c>
      <c r="V78" s="528">
        <f>V76-V77</f>
        <v>470919.19636799995</v>
      </c>
      <c r="W78" s="4264"/>
      <c r="X78"/>
      <c r="Y78"/>
      <c r="Z78"/>
      <c r="AA78" s="1458">
        <f t="shared" ref="AA78:AH78" si="29">AA76-AA77</f>
        <v>0</v>
      </c>
      <c r="AB78" s="387">
        <f t="shared" si="29"/>
        <v>0</v>
      </c>
      <c r="AC78" s="387">
        <f t="shared" si="29"/>
        <v>0</v>
      </c>
      <c r="AD78" s="387">
        <f t="shared" si="29"/>
        <v>0</v>
      </c>
      <c r="AE78" s="528">
        <f t="shared" si="29"/>
        <v>0</v>
      </c>
      <c r="AF78" s="1458">
        <f t="shared" si="29"/>
        <v>0</v>
      </c>
      <c r="AG78" s="387">
        <f t="shared" si="29"/>
        <v>0</v>
      </c>
      <c r="AH78" s="528">
        <f t="shared" si="29"/>
        <v>0</v>
      </c>
    </row>
    <row r="79" spans="1:34" s="501" customFormat="1" ht="38.25" customHeight="1" outlineLevel="1">
      <c r="D79" s="299"/>
      <c r="E79" s="567" t="s">
        <v>1544</v>
      </c>
      <c r="F79" s="880" t="s">
        <v>619</v>
      </c>
      <c r="G79" s="1699"/>
      <c r="H79" s="1700"/>
      <c r="I79" s="1700"/>
      <c r="J79" s="1700"/>
      <c r="K79" s="1710"/>
      <c r="L79" s="564"/>
      <c r="M79" s="565"/>
      <c r="N79" s="565"/>
      <c r="O79" s="565"/>
      <c r="P79" s="566"/>
      <c r="Q79" s="1280"/>
      <c r="R79" s="565"/>
      <c r="S79" s="565"/>
      <c r="T79" s="565"/>
      <c r="U79" s="565"/>
      <c r="V79" s="566"/>
      <c r="W79" s="4262"/>
      <c r="X79"/>
      <c r="Y79"/>
      <c r="Z79"/>
      <c r="AA79" s="553"/>
      <c r="AB79" s="554"/>
      <c r="AC79" s="554"/>
      <c r="AD79" s="554"/>
      <c r="AE79" s="555"/>
      <c r="AF79" s="564"/>
      <c r="AG79" s="565"/>
      <c r="AH79" s="566"/>
    </row>
    <row r="80" spans="1:34" s="501" customFormat="1" ht="12.75" customHeight="1" outlineLevel="1">
      <c r="A80" s="78"/>
      <c r="B80" s="78"/>
      <c r="C80" s="78"/>
      <c r="D80" s="299"/>
      <c r="E80" s="524"/>
      <c r="F80" s="542" t="s">
        <v>585</v>
      </c>
      <c r="G80" s="1701"/>
      <c r="H80" s="1702"/>
      <c r="I80" s="1702"/>
      <c r="J80" s="1702"/>
      <c r="K80" s="1711"/>
      <c r="L80" s="486"/>
      <c r="M80" s="485"/>
      <c r="N80" s="485"/>
      <c r="O80" s="485"/>
      <c r="P80" s="487"/>
      <c r="Q80" s="1281"/>
      <c r="R80" s="444"/>
      <c r="S80" s="485"/>
      <c r="T80" s="485"/>
      <c r="U80" s="485"/>
      <c r="V80" s="487"/>
      <c r="W80" s="4263"/>
      <c r="X80"/>
      <c r="Y80"/>
      <c r="Z80"/>
      <c r="AA80" s="497"/>
      <c r="AB80" s="495"/>
      <c r="AC80" s="495"/>
      <c r="AD80" s="495"/>
      <c r="AE80" s="556"/>
      <c r="AF80" s="489"/>
      <c r="AG80" s="490"/>
      <c r="AH80" s="491"/>
    </row>
    <row r="81" spans="1:34" s="501" customFormat="1" ht="12.75" customHeight="1" outlineLevel="1">
      <c r="D81" s="299"/>
      <c r="E81" s="524"/>
      <c r="F81" s="542" t="s">
        <v>584</v>
      </c>
      <c r="G81" s="1701"/>
      <c r="H81" s="1702"/>
      <c r="I81" s="1702"/>
      <c r="J81" s="1702"/>
      <c r="K81" s="1711"/>
      <c r="L81" s="486"/>
      <c r="M81" s="485"/>
      <c r="N81" s="485"/>
      <c r="O81" s="485"/>
      <c r="P81" s="487"/>
      <c r="Q81" s="1281"/>
      <c r="R81" s="444">
        <v>16179.74065</v>
      </c>
      <c r="S81" s="485">
        <v>32339.535900000003</v>
      </c>
      <c r="T81" s="485">
        <v>0</v>
      </c>
      <c r="U81" s="485">
        <v>16259.52225</v>
      </c>
      <c r="V81" s="487">
        <v>16284.454</v>
      </c>
      <c r="W81" s="4263"/>
      <c r="X81"/>
      <c r="Y81"/>
      <c r="Z81"/>
      <c r="AA81" s="497"/>
      <c r="AB81" s="495"/>
      <c r="AC81" s="495"/>
      <c r="AD81" s="495"/>
      <c r="AE81" s="556"/>
      <c r="AF81" s="489"/>
      <c r="AG81" s="490"/>
      <c r="AH81" s="491"/>
    </row>
    <row r="82" spans="1:34" s="501" customFormat="1" ht="12.75" customHeight="1" outlineLevel="1">
      <c r="D82" s="299"/>
      <c r="E82" s="524"/>
      <c r="F82" s="542" t="s">
        <v>604</v>
      </c>
      <c r="G82" s="1701"/>
      <c r="H82" s="1702"/>
      <c r="I82" s="1702"/>
      <c r="J82" s="1702"/>
      <c r="K82" s="1711"/>
      <c r="L82" s="486"/>
      <c r="M82" s="485"/>
      <c r="N82" s="485"/>
      <c r="O82" s="485"/>
      <c r="P82" s="487"/>
      <c r="Q82" s="1281"/>
      <c r="R82" s="444"/>
      <c r="S82" s="485"/>
      <c r="T82" s="485"/>
      <c r="U82" s="485"/>
      <c r="V82" s="487"/>
      <c r="W82" s="4263"/>
      <c r="X82"/>
      <c r="Y82"/>
      <c r="Z82"/>
      <c r="AA82" s="497"/>
      <c r="AB82" s="495"/>
      <c r="AC82" s="495"/>
      <c r="AD82" s="495"/>
      <c r="AE82" s="556"/>
      <c r="AF82" s="489"/>
      <c r="AG82" s="490"/>
      <c r="AH82" s="491"/>
    </row>
    <row r="83" spans="1:34" s="501" customFormat="1" ht="12.75" customHeight="1" outlineLevel="1">
      <c r="D83" s="299"/>
      <c r="E83" s="524"/>
      <c r="F83" s="543" t="s">
        <v>605</v>
      </c>
      <c r="G83" s="486"/>
      <c r="H83" s="485"/>
      <c r="I83" s="485"/>
      <c r="J83" s="485"/>
      <c r="K83" s="487"/>
      <c r="L83" s="384">
        <f>SUM(L80:L82)</f>
        <v>0</v>
      </c>
      <c r="M83" s="385">
        <f>SUM(M80:M82)</f>
        <v>0</v>
      </c>
      <c r="N83" s="385">
        <f>SUM(N80:N82)</f>
        <v>0</v>
      </c>
      <c r="O83" s="385">
        <f>SUM(O80:O82)</f>
        <v>0</v>
      </c>
      <c r="P83" s="477">
        <f>SUM(P80:P82)</f>
        <v>0</v>
      </c>
      <c r="Q83" s="1282"/>
      <c r="R83" s="474">
        <f>SUM(R80:R82)</f>
        <v>16179.74065</v>
      </c>
      <c r="S83" s="385">
        <f>SUM(S80:S82)</f>
        <v>32339.535900000003</v>
      </c>
      <c r="T83" s="385">
        <f>SUM(T80:T82)</f>
        <v>0</v>
      </c>
      <c r="U83" s="385">
        <f>SUM(U80:U82)</f>
        <v>16259.52225</v>
      </c>
      <c r="V83" s="477">
        <f>SUM(V80:V82)</f>
        <v>16284.454</v>
      </c>
      <c r="W83" s="4263"/>
      <c r="X83"/>
      <c r="Y83"/>
      <c r="Z83"/>
      <c r="AA83" s="489"/>
      <c r="AB83" s="490"/>
      <c r="AC83" s="490"/>
      <c r="AD83" s="490"/>
      <c r="AE83" s="491"/>
      <c r="AF83" s="384">
        <f t="shared" ref="AF83:AH83" si="30">SUM(AF80:AF82)</f>
        <v>0</v>
      </c>
      <c r="AG83" s="385">
        <f t="shared" si="30"/>
        <v>0</v>
      </c>
      <c r="AH83" s="477">
        <f t="shared" si="30"/>
        <v>0</v>
      </c>
    </row>
    <row r="84" spans="1:34" s="501" customFormat="1" ht="12.75" customHeight="1" outlineLevel="1">
      <c r="D84" s="299"/>
      <c r="E84" s="524"/>
      <c r="F84" s="542" t="s">
        <v>609</v>
      </c>
      <c r="G84" s="486"/>
      <c r="H84" s="485"/>
      <c r="I84" s="485"/>
      <c r="J84" s="485"/>
      <c r="K84" s="487"/>
      <c r="L84" s="536">
        <v>0</v>
      </c>
      <c r="M84" s="537">
        <v>0</v>
      </c>
      <c r="N84" s="537">
        <v>0</v>
      </c>
      <c r="O84" s="537">
        <f>O83*0.06</f>
        <v>0</v>
      </c>
      <c r="P84" s="491">
        <f>P83*0.06</f>
        <v>0</v>
      </c>
      <c r="Q84" s="1281"/>
      <c r="R84" s="444">
        <f>R83*0.06</f>
        <v>970.78443899999991</v>
      </c>
      <c r="S84" s="485">
        <f>S83*0.06</f>
        <v>1940.3721540000001</v>
      </c>
      <c r="T84" s="485">
        <f>T83*0.06</f>
        <v>0</v>
      </c>
      <c r="U84" s="485">
        <f>U83*0.06</f>
        <v>975.57133499999998</v>
      </c>
      <c r="V84" s="487">
        <f>V83*0.06</f>
        <v>977.06723999999997</v>
      </c>
      <c r="W84" s="4263"/>
      <c r="X84"/>
      <c r="Y84"/>
      <c r="Z84"/>
      <c r="AA84" s="489"/>
      <c r="AB84" s="490"/>
      <c r="AC84" s="490"/>
      <c r="AD84" s="490"/>
      <c r="AE84" s="491"/>
      <c r="AF84" s="536">
        <v>0</v>
      </c>
      <c r="AG84" s="537">
        <v>0</v>
      </c>
      <c r="AH84" s="573">
        <v>0</v>
      </c>
    </row>
    <row r="85" spans="1:34" s="501" customFormat="1" ht="12.75" customHeight="1" outlineLevel="1">
      <c r="D85" s="299"/>
      <c r="E85" s="524"/>
      <c r="F85" s="542" t="s">
        <v>607</v>
      </c>
      <c r="G85" s="486"/>
      <c r="H85" s="485"/>
      <c r="I85" s="485"/>
      <c r="J85" s="485"/>
      <c r="K85" s="487"/>
      <c r="L85" s="489">
        <v>0</v>
      </c>
      <c r="M85" s="490">
        <v>0</v>
      </c>
      <c r="N85" s="490">
        <v>0</v>
      </c>
      <c r="O85" s="490">
        <v>0</v>
      </c>
      <c r="P85" s="491">
        <v>0</v>
      </c>
      <c r="Q85" s="1281"/>
      <c r="R85" s="444"/>
      <c r="S85" s="485"/>
      <c r="T85" s="485"/>
      <c r="U85" s="485"/>
      <c r="V85" s="487"/>
      <c r="W85" s="4263"/>
      <c r="X85"/>
      <c r="Y85"/>
      <c r="Z85"/>
      <c r="AA85" s="489"/>
      <c r="AB85" s="490"/>
      <c r="AC85" s="490"/>
      <c r="AD85" s="490"/>
      <c r="AE85" s="491"/>
      <c r="AF85" s="489">
        <v>0</v>
      </c>
      <c r="AG85" s="490">
        <v>0</v>
      </c>
      <c r="AH85" s="491">
        <v>0</v>
      </c>
    </row>
    <row r="86" spans="1:34" s="501" customFormat="1" ht="12.75" customHeight="1" outlineLevel="1">
      <c r="D86" s="299"/>
      <c r="E86" s="524"/>
      <c r="F86" s="543" t="s">
        <v>610</v>
      </c>
      <c r="G86" s="384">
        <f t="shared" ref="G86:N86" si="31">SUM(G84:G85)</f>
        <v>0</v>
      </c>
      <c r="H86" s="385">
        <f t="shared" si="31"/>
        <v>0</v>
      </c>
      <c r="I86" s="385">
        <f t="shared" si="31"/>
        <v>0</v>
      </c>
      <c r="J86" s="385">
        <f t="shared" si="31"/>
        <v>0</v>
      </c>
      <c r="K86" s="477">
        <f t="shared" si="31"/>
        <v>0</v>
      </c>
      <c r="L86" s="384">
        <f t="shared" si="31"/>
        <v>0</v>
      </c>
      <c r="M86" s="385">
        <f t="shared" si="31"/>
        <v>0</v>
      </c>
      <c r="N86" s="385">
        <f t="shared" si="31"/>
        <v>0</v>
      </c>
      <c r="O86" s="385">
        <f>SUM(O83:O85)</f>
        <v>0</v>
      </c>
      <c r="P86" s="477">
        <f>SUM(P83:P85)</f>
        <v>0</v>
      </c>
      <c r="Q86" s="1282"/>
      <c r="R86" s="385">
        <f>SUM(R83:R85)</f>
        <v>17150.525088999999</v>
      </c>
      <c r="S86" s="385">
        <f>SUM(S83:S85)</f>
        <v>34279.908054</v>
      </c>
      <c r="T86" s="385">
        <f>SUM(T83:T85)</f>
        <v>0</v>
      </c>
      <c r="U86" s="385">
        <f>SUM(U83:U85)</f>
        <v>17235.093584999999</v>
      </c>
      <c r="V86" s="385">
        <f>SUM(V83:V85)</f>
        <v>17261.521239999998</v>
      </c>
      <c r="W86" s="4263"/>
      <c r="X86"/>
      <c r="Y86"/>
      <c r="Z86"/>
      <c r="AA86" s="384">
        <f t="shared" ref="AA86:AH86" si="32">SUM(AA84:AA85)</f>
        <v>0</v>
      </c>
      <c r="AB86" s="385">
        <f t="shared" si="32"/>
        <v>0</v>
      </c>
      <c r="AC86" s="385">
        <f t="shared" si="32"/>
        <v>0</v>
      </c>
      <c r="AD86" s="385">
        <f t="shared" si="32"/>
        <v>0</v>
      </c>
      <c r="AE86" s="477">
        <f t="shared" si="32"/>
        <v>0</v>
      </c>
      <c r="AF86" s="384">
        <f t="shared" si="32"/>
        <v>0</v>
      </c>
      <c r="AG86" s="385">
        <f t="shared" si="32"/>
        <v>0</v>
      </c>
      <c r="AH86" s="477">
        <f t="shared" si="32"/>
        <v>0</v>
      </c>
    </row>
    <row r="87" spans="1:34" s="501" customFormat="1" ht="12.75" customHeight="1" outlineLevel="1">
      <c r="D87" s="299"/>
      <c r="E87" s="524"/>
      <c r="F87" s="542" t="s">
        <v>35</v>
      </c>
      <c r="G87" s="486"/>
      <c r="H87" s="485"/>
      <c r="I87" s="485"/>
      <c r="J87" s="485"/>
      <c r="K87" s="487"/>
      <c r="L87" s="486"/>
      <c r="M87" s="485"/>
      <c r="N87" s="485"/>
      <c r="O87" s="485"/>
      <c r="P87" s="487"/>
      <c r="Q87" s="1281"/>
      <c r="R87" s="444"/>
      <c r="S87" s="485"/>
      <c r="T87" s="485"/>
      <c r="U87" s="485"/>
      <c r="V87" s="487"/>
      <c r="W87" s="4263"/>
      <c r="X87"/>
      <c r="Y87"/>
      <c r="Z87"/>
      <c r="AA87" s="489"/>
      <c r="AB87" s="490"/>
      <c r="AC87" s="490"/>
      <c r="AD87" s="490"/>
      <c r="AE87" s="491"/>
      <c r="AF87" s="489"/>
      <c r="AG87" s="490"/>
      <c r="AH87" s="491"/>
    </row>
    <row r="88" spans="1:34" s="501" customFormat="1" ht="12.75" customHeight="1" outlineLevel="1" thickBot="1">
      <c r="D88" s="299"/>
      <c r="E88" s="524"/>
      <c r="F88" s="1501" t="s">
        <v>611</v>
      </c>
      <c r="G88" s="1458">
        <f t="shared" ref="G88:P88" si="33">G86-G87</f>
        <v>0</v>
      </c>
      <c r="H88" s="387">
        <f t="shared" si="33"/>
        <v>0</v>
      </c>
      <c r="I88" s="387">
        <f t="shared" si="33"/>
        <v>0</v>
      </c>
      <c r="J88" s="387">
        <f t="shared" si="33"/>
        <v>0</v>
      </c>
      <c r="K88" s="528">
        <f t="shared" si="33"/>
        <v>0</v>
      </c>
      <c r="L88" s="1458">
        <f t="shared" si="33"/>
        <v>0</v>
      </c>
      <c r="M88" s="387">
        <f t="shared" si="33"/>
        <v>0</v>
      </c>
      <c r="N88" s="387">
        <f t="shared" si="33"/>
        <v>0</v>
      </c>
      <c r="O88" s="387">
        <f t="shared" si="33"/>
        <v>0</v>
      </c>
      <c r="P88" s="528">
        <f t="shared" si="33"/>
        <v>0</v>
      </c>
      <c r="Q88" s="1283"/>
      <c r="R88" s="527">
        <f>R86-R87</f>
        <v>17150.525088999999</v>
      </c>
      <c r="S88" s="387">
        <f>S86-S87</f>
        <v>34279.908054</v>
      </c>
      <c r="T88" s="387">
        <f>T86-T87</f>
        <v>0</v>
      </c>
      <c r="U88" s="387">
        <f>U86-U87</f>
        <v>17235.093584999999</v>
      </c>
      <c r="V88" s="528">
        <f>V86-V87</f>
        <v>17261.521239999998</v>
      </c>
      <c r="W88" s="4264"/>
      <c r="X88"/>
      <c r="Y88"/>
      <c r="Z88"/>
      <c r="AA88" s="1458">
        <f t="shared" ref="AA88:AH88" si="34">AA86-AA87</f>
        <v>0</v>
      </c>
      <c r="AB88" s="387">
        <f t="shared" si="34"/>
        <v>0</v>
      </c>
      <c r="AC88" s="387">
        <f t="shared" si="34"/>
        <v>0</v>
      </c>
      <c r="AD88" s="387">
        <f t="shared" si="34"/>
        <v>0</v>
      </c>
      <c r="AE88" s="528">
        <f t="shared" si="34"/>
        <v>0</v>
      </c>
      <c r="AF88" s="1458">
        <f t="shared" si="34"/>
        <v>0</v>
      </c>
      <c r="AG88" s="387">
        <f t="shared" si="34"/>
        <v>0</v>
      </c>
      <c r="AH88" s="528">
        <f t="shared" si="34"/>
        <v>0</v>
      </c>
    </row>
    <row r="89" spans="1:34" s="501" customFormat="1" ht="18">
      <c r="D89" s="299"/>
      <c r="E89" s="567" t="s">
        <v>1545</v>
      </c>
      <c r="F89" s="880" t="s">
        <v>619</v>
      </c>
      <c r="G89" s="1699"/>
      <c r="H89" s="1700"/>
      <c r="I89" s="1700"/>
      <c r="J89" s="1700"/>
      <c r="K89" s="1710"/>
      <c r="L89" s="564"/>
      <c r="M89" s="565"/>
      <c r="N89" s="565"/>
      <c r="O89" s="565"/>
      <c r="P89" s="566"/>
      <c r="Q89" s="1280"/>
      <c r="R89" s="565"/>
      <c r="S89" s="565"/>
      <c r="T89" s="565"/>
      <c r="U89" s="565"/>
      <c r="V89" s="566"/>
      <c r="W89" s="4262"/>
      <c r="X89"/>
      <c r="Y89"/>
      <c r="Z89"/>
      <c r="AA89" s="1534">
        <f t="shared" ref="AA89:AH89" ca="1" si="35">SUMIF($E$68:$P$88,"Total direct expenditure",AA$68:AA$88)</f>
        <v>0</v>
      </c>
      <c r="AB89" s="562">
        <f t="shared" ca="1" si="35"/>
        <v>0</v>
      </c>
      <c r="AC89" s="562">
        <f t="shared" ca="1" si="35"/>
        <v>0</v>
      </c>
      <c r="AD89" s="562">
        <f t="shared" ca="1" si="35"/>
        <v>0</v>
      </c>
      <c r="AE89" s="563">
        <f t="shared" ca="1" si="35"/>
        <v>0</v>
      </c>
      <c r="AF89" s="1534">
        <f t="shared" ca="1" si="35"/>
        <v>0</v>
      </c>
      <c r="AG89" s="562">
        <f t="shared" ca="1" si="35"/>
        <v>0</v>
      </c>
      <c r="AH89" s="563">
        <f t="shared" ca="1" si="35"/>
        <v>0</v>
      </c>
    </row>
    <row r="90" spans="1:34" s="501" customFormat="1" ht="12.75" customHeight="1">
      <c r="D90" s="299"/>
      <c r="E90" s="524"/>
      <c r="F90" s="542" t="s">
        <v>585</v>
      </c>
      <c r="G90" s="1701"/>
      <c r="H90" s="1702"/>
      <c r="I90" s="1702"/>
      <c r="J90" s="1702"/>
      <c r="K90" s="1711"/>
      <c r="L90" s="486"/>
      <c r="M90" s="485"/>
      <c r="N90" s="485"/>
      <c r="O90" s="485"/>
      <c r="P90" s="487"/>
      <c r="Q90" s="1281"/>
      <c r="R90" s="444"/>
      <c r="S90" s="485"/>
      <c r="T90" s="485"/>
      <c r="U90" s="485"/>
      <c r="V90" s="487"/>
      <c r="W90" s="4263"/>
      <c r="X90"/>
      <c r="Y90"/>
      <c r="Z90"/>
      <c r="AA90" s="559">
        <f t="shared" ref="AA90:AH90" ca="1" si="36">SUMIF($E$68:$P$88,"Total direct expenditure (incl escalation)",AA$68:AA$88)</f>
        <v>0</v>
      </c>
      <c r="AB90" s="521">
        <f t="shared" ca="1" si="36"/>
        <v>0</v>
      </c>
      <c r="AC90" s="521">
        <f t="shared" ca="1" si="36"/>
        <v>0</v>
      </c>
      <c r="AD90" s="521">
        <f t="shared" ca="1" si="36"/>
        <v>0</v>
      </c>
      <c r="AE90" s="523">
        <f t="shared" ca="1" si="36"/>
        <v>0</v>
      </c>
      <c r="AF90" s="559">
        <f t="shared" ca="1" si="36"/>
        <v>0</v>
      </c>
      <c r="AG90" s="521">
        <f t="shared" ca="1" si="36"/>
        <v>0</v>
      </c>
      <c r="AH90" s="523">
        <f t="shared" ca="1" si="36"/>
        <v>0</v>
      </c>
    </row>
    <row r="91" spans="1:34" s="501" customFormat="1" ht="12.75" customHeight="1">
      <c r="D91" s="299"/>
      <c r="E91" s="524"/>
      <c r="F91" s="542" t="s">
        <v>584</v>
      </c>
      <c r="G91" s="1701"/>
      <c r="H91" s="1702"/>
      <c r="I91" s="1702"/>
      <c r="J91" s="1702"/>
      <c r="K91" s="1711"/>
      <c r="L91" s="486"/>
      <c r="M91" s="485"/>
      <c r="N91" s="485"/>
      <c r="O91" s="485"/>
      <c r="P91" s="487">
        <v>353538</v>
      </c>
      <c r="Q91" s="1281"/>
      <c r="R91" s="444"/>
      <c r="S91" s="485"/>
      <c r="T91" s="485"/>
      <c r="U91" s="485"/>
      <c r="V91" s="487"/>
      <c r="W91" s="4263"/>
      <c r="X91"/>
      <c r="Y91"/>
      <c r="Z91"/>
      <c r="AA91" s="559">
        <f t="shared" ref="AA91:AH91" ca="1" si="37">SUMIF($E$68:$P$88,"Total overhead expenditure",AA$68:AA$88)</f>
        <v>0</v>
      </c>
      <c r="AB91" s="521">
        <f t="shared" ca="1" si="37"/>
        <v>0</v>
      </c>
      <c r="AC91" s="521">
        <f t="shared" ca="1" si="37"/>
        <v>0</v>
      </c>
      <c r="AD91" s="521">
        <f t="shared" ca="1" si="37"/>
        <v>0</v>
      </c>
      <c r="AE91" s="523">
        <f t="shared" ca="1" si="37"/>
        <v>0</v>
      </c>
      <c r="AF91" s="559">
        <f t="shared" ca="1" si="37"/>
        <v>0</v>
      </c>
      <c r="AG91" s="521">
        <f t="shared" ca="1" si="37"/>
        <v>0</v>
      </c>
      <c r="AH91" s="523">
        <f t="shared" ca="1" si="37"/>
        <v>0</v>
      </c>
    </row>
    <row r="92" spans="1:34" s="501" customFormat="1" ht="12.75" customHeight="1">
      <c r="D92" s="299"/>
      <c r="E92" s="524"/>
      <c r="F92" s="542" t="s">
        <v>604</v>
      </c>
      <c r="G92" s="1701"/>
      <c r="H92" s="1702"/>
      <c r="I92" s="1702"/>
      <c r="J92" s="1702"/>
      <c r="K92" s="1711"/>
      <c r="L92" s="486"/>
      <c r="M92" s="485"/>
      <c r="N92" s="485"/>
      <c r="O92" s="485"/>
      <c r="P92" s="487"/>
      <c r="Q92" s="1281"/>
      <c r="R92" s="444"/>
      <c r="S92" s="485"/>
      <c r="T92" s="485"/>
      <c r="U92" s="485"/>
      <c r="V92" s="487"/>
      <c r="W92" s="4263"/>
      <c r="X92"/>
      <c r="Y92"/>
      <c r="Z92"/>
      <c r="AA92" s="559">
        <f t="shared" ref="AA92:AH92" ca="1" si="38">SUMIF($E$68:$P$88,"Related party margin",AA$68:AA$88)</f>
        <v>0</v>
      </c>
      <c r="AB92" s="521">
        <f t="shared" ca="1" si="38"/>
        <v>0</v>
      </c>
      <c r="AC92" s="521">
        <f t="shared" ca="1" si="38"/>
        <v>0</v>
      </c>
      <c r="AD92" s="521">
        <f t="shared" ca="1" si="38"/>
        <v>0</v>
      </c>
      <c r="AE92" s="523">
        <f t="shared" ca="1" si="38"/>
        <v>0</v>
      </c>
      <c r="AF92" s="559">
        <f t="shared" ca="1" si="38"/>
        <v>0</v>
      </c>
      <c r="AG92" s="521">
        <f t="shared" ca="1" si="38"/>
        <v>0</v>
      </c>
      <c r="AH92" s="523">
        <f t="shared" ca="1" si="38"/>
        <v>0</v>
      </c>
    </row>
    <row r="93" spans="1:34" s="69" customFormat="1" ht="12.75" customHeight="1">
      <c r="A93" s="75"/>
      <c r="B93" s="75"/>
      <c r="C93" s="75"/>
      <c r="D93" s="348"/>
      <c r="E93" s="524"/>
      <c r="F93" s="543" t="s">
        <v>605</v>
      </c>
      <c r="G93" s="486"/>
      <c r="H93" s="485"/>
      <c r="I93" s="485"/>
      <c r="J93" s="485"/>
      <c r="K93" s="487"/>
      <c r="L93" s="384">
        <f>SUM(L90:L92)</f>
        <v>0</v>
      </c>
      <c r="M93" s="385">
        <f>SUM(M90:M92)</f>
        <v>0</v>
      </c>
      <c r="N93" s="385">
        <f>SUM(N90:N92)</f>
        <v>0</v>
      </c>
      <c r="O93" s="385">
        <f>SUM(O90:O92)</f>
        <v>0</v>
      </c>
      <c r="P93" s="477">
        <f>SUM(P90:P92)</f>
        <v>353538</v>
      </c>
      <c r="Q93" s="1282"/>
      <c r="R93" s="474">
        <f>SUM(R90:R92)</f>
        <v>0</v>
      </c>
      <c r="S93" s="385">
        <f>SUM(S90:S92)</f>
        <v>0</v>
      </c>
      <c r="T93" s="385">
        <f>SUM(T90:T92)</f>
        <v>0</v>
      </c>
      <c r="U93" s="385">
        <f>SUM(U90:U92)</f>
        <v>0</v>
      </c>
      <c r="V93" s="477">
        <f>SUM(V90:V92)</f>
        <v>0</v>
      </c>
      <c r="W93" s="4263"/>
      <c r="X93"/>
      <c r="Y93"/>
      <c r="Z93"/>
      <c r="AA93" s="1238">
        <f t="shared" ref="AA93:AH93" ca="1" si="39">SUMIF($E$68:$P$88,"Total gross expenditure",AA$68:AA$88)</f>
        <v>0</v>
      </c>
      <c r="AB93" s="1239">
        <f t="shared" ca="1" si="39"/>
        <v>0</v>
      </c>
      <c r="AC93" s="1239">
        <f t="shared" ca="1" si="39"/>
        <v>0</v>
      </c>
      <c r="AD93" s="1239">
        <f t="shared" ca="1" si="39"/>
        <v>0</v>
      </c>
      <c r="AE93" s="1240">
        <f t="shared" ca="1" si="39"/>
        <v>0</v>
      </c>
      <c r="AF93" s="1238">
        <f t="shared" ca="1" si="39"/>
        <v>0</v>
      </c>
      <c r="AG93" s="1239">
        <f t="shared" ca="1" si="39"/>
        <v>0</v>
      </c>
      <c r="AH93" s="1240">
        <f t="shared" ca="1" si="39"/>
        <v>0</v>
      </c>
    </row>
    <row r="94" spans="1:34" s="69" customFormat="1" ht="12.75" customHeight="1">
      <c r="A94" s="75"/>
      <c r="B94" s="75"/>
      <c r="C94" s="75"/>
      <c r="D94" s="348"/>
      <c r="E94" s="524"/>
      <c r="F94" s="542" t="s">
        <v>609</v>
      </c>
      <c r="G94" s="486"/>
      <c r="H94" s="485"/>
      <c r="I94" s="485"/>
      <c r="J94" s="485"/>
      <c r="K94" s="487"/>
      <c r="L94" s="536">
        <v>0</v>
      </c>
      <c r="M94" s="537">
        <v>0</v>
      </c>
      <c r="N94" s="537">
        <v>0</v>
      </c>
      <c r="O94" s="537">
        <f>O93*0.06</f>
        <v>0</v>
      </c>
      <c r="P94" s="491">
        <f>P93*0.06</f>
        <v>21212.28</v>
      </c>
      <c r="Q94" s="1281"/>
      <c r="R94" s="444">
        <f>R93*0.06</f>
        <v>0</v>
      </c>
      <c r="S94" s="485">
        <f>S93*0.06</f>
        <v>0</v>
      </c>
      <c r="T94" s="485">
        <f>T93*0.06</f>
        <v>0</v>
      </c>
      <c r="U94" s="485">
        <f>U93*0.06</f>
        <v>0</v>
      </c>
      <c r="V94" s="487">
        <f>V93*0.06</f>
        <v>0</v>
      </c>
      <c r="W94" s="4263"/>
      <c r="X94"/>
      <c r="Y94"/>
      <c r="Z94"/>
      <c r="AA94" s="559">
        <f t="shared" ref="AA94:AH94" ca="1" si="40">SUMIF($E$68:$P$88,"Less customer contributions",AA$68:AA$88)</f>
        <v>0</v>
      </c>
      <c r="AB94" s="521">
        <f t="shared" ca="1" si="40"/>
        <v>0</v>
      </c>
      <c r="AC94" s="521">
        <f t="shared" ca="1" si="40"/>
        <v>0</v>
      </c>
      <c r="AD94" s="521">
        <f t="shared" ca="1" si="40"/>
        <v>0</v>
      </c>
      <c r="AE94" s="523">
        <f t="shared" ca="1" si="40"/>
        <v>0</v>
      </c>
      <c r="AF94" s="559">
        <f t="shared" ca="1" si="40"/>
        <v>0</v>
      </c>
      <c r="AG94" s="521">
        <f t="shared" ca="1" si="40"/>
        <v>0</v>
      </c>
      <c r="AH94" s="523">
        <f t="shared" ca="1" si="40"/>
        <v>0</v>
      </c>
    </row>
    <row r="95" spans="1:34" s="69" customFormat="1" ht="13.5" customHeight="1" thickBot="1">
      <c r="A95" s="75"/>
      <c r="B95" s="75"/>
      <c r="C95" s="75"/>
      <c r="D95" s="348"/>
      <c r="E95" s="524"/>
      <c r="F95" s="542" t="s">
        <v>607</v>
      </c>
      <c r="G95" s="486"/>
      <c r="H95" s="485"/>
      <c r="I95" s="485"/>
      <c r="J95" s="485"/>
      <c r="K95" s="487"/>
      <c r="L95" s="489">
        <v>0</v>
      </c>
      <c r="M95" s="490">
        <v>0</v>
      </c>
      <c r="N95" s="490">
        <v>0</v>
      </c>
      <c r="O95" s="490">
        <v>0</v>
      </c>
      <c r="P95" s="491">
        <v>0</v>
      </c>
      <c r="Q95" s="1281"/>
      <c r="R95" s="444"/>
      <c r="S95" s="485"/>
      <c r="T95" s="485"/>
      <c r="U95" s="485"/>
      <c r="V95" s="487"/>
      <c r="W95" s="4263"/>
      <c r="X95"/>
      <c r="Y95"/>
      <c r="Z95"/>
      <c r="AA95" s="1535">
        <f t="shared" ref="AA95:AH95" ca="1" si="41">SUMIF($E$68:$P$88,"Total net expenditure",AA$68:AA$88)</f>
        <v>0</v>
      </c>
      <c r="AB95" s="1244">
        <f t="shared" ca="1" si="41"/>
        <v>0</v>
      </c>
      <c r="AC95" s="1244">
        <f t="shared" ca="1" si="41"/>
        <v>0</v>
      </c>
      <c r="AD95" s="1244">
        <f t="shared" ca="1" si="41"/>
        <v>0</v>
      </c>
      <c r="AE95" s="1245">
        <f t="shared" ca="1" si="41"/>
        <v>0</v>
      </c>
      <c r="AF95" s="1535">
        <f t="shared" ca="1" si="41"/>
        <v>0</v>
      </c>
      <c r="AG95" s="1244">
        <f t="shared" ca="1" si="41"/>
        <v>0</v>
      </c>
      <c r="AH95" s="1245">
        <f t="shared" ca="1" si="41"/>
        <v>0</v>
      </c>
    </row>
    <row r="96" spans="1:34" s="501" customFormat="1" ht="12.75" customHeight="1">
      <c r="D96" s="299"/>
      <c r="E96" s="524"/>
      <c r="F96" s="543" t="s">
        <v>610</v>
      </c>
      <c r="G96" s="384">
        <f t="shared" ref="G96:N96" si="42">SUM(G94:G95)</f>
        <v>0</v>
      </c>
      <c r="H96" s="385">
        <f t="shared" si="42"/>
        <v>0</v>
      </c>
      <c r="I96" s="385">
        <f t="shared" si="42"/>
        <v>0</v>
      </c>
      <c r="J96" s="385">
        <f t="shared" si="42"/>
        <v>0</v>
      </c>
      <c r="K96" s="477">
        <f t="shared" si="42"/>
        <v>0</v>
      </c>
      <c r="L96" s="384">
        <f t="shared" si="42"/>
        <v>0</v>
      </c>
      <c r="M96" s="385">
        <f t="shared" si="42"/>
        <v>0</v>
      </c>
      <c r="N96" s="385">
        <f t="shared" si="42"/>
        <v>0</v>
      </c>
      <c r="O96" s="385">
        <f>SUM(O93:O95)</f>
        <v>0</v>
      </c>
      <c r="P96" s="477">
        <f>SUM(P93:P95)</f>
        <v>374750.28</v>
      </c>
      <c r="Q96" s="1282"/>
      <c r="R96" s="385">
        <f>SUM(R93:R95)</f>
        <v>0</v>
      </c>
      <c r="S96" s="385">
        <f>SUM(S93:S95)</f>
        <v>0</v>
      </c>
      <c r="T96" s="385">
        <f>SUM(T93:T95)</f>
        <v>0</v>
      </c>
      <c r="U96" s="385">
        <f>SUM(U93:U95)</f>
        <v>0</v>
      </c>
      <c r="V96" s="385">
        <f>SUM(V93:V95)</f>
        <v>0</v>
      </c>
      <c r="W96" s="4263"/>
      <c r="X96"/>
      <c r="Y96"/>
      <c r="Z96"/>
      <c r="AA96" s="1818"/>
      <c r="AB96" s="138"/>
      <c r="AC96" s="138"/>
      <c r="AD96" s="138"/>
      <c r="AE96" s="138"/>
      <c r="AF96" s="138"/>
      <c r="AG96" s="138"/>
      <c r="AH96" s="1819"/>
    </row>
    <row r="97" spans="4:34" s="501" customFormat="1" ht="12.75" customHeight="1">
      <c r="D97" s="299"/>
      <c r="E97" s="524"/>
      <c r="F97" s="542" t="s">
        <v>35</v>
      </c>
      <c r="G97" s="486"/>
      <c r="H97" s="485"/>
      <c r="I97" s="485"/>
      <c r="J97" s="485"/>
      <c r="K97" s="487"/>
      <c r="L97" s="486"/>
      <c r="M97" s="485"/>
      <c r="N97" s="485"/>
      <c r="O97" s="485"/>
      <c r="P97" s="487"/>
      <c r="Q97" s="1281"/>
      <c r="R97" s="444"/>
      <c r="S97" s="485"/>
      <c r="T97" s="485"/>
      <c r="U97" s="485"/>
      <c r="V97" s="487"/>
      <c r="W97" s="4263"/>
      <c r="X97" s="1266"/>
      <c r="Y97" s="1266"/>
      <c r="Z97" s="1266"/>
      <c r="AA97" s="3186"/>
      <c r="AB97" s="135"/>
      <c r="AC97" s="135"/>
      <c r="AD97" s="135"/>
      <c r="AE97" s="135"/>
      <c r="AF97" s="135"/>
      <c r="AG97" s="135"/>
      <c r="AH97" s="3187"/>
    </row>
    <row r="98" spans="4:34" s="501" customFormat="1" ht="12.75" customHeight="1" thickBot="1">
      <c r="D98" s="299"/>
      <c r="E98" s="524"/>
      <c r="F98" s="1501" t="s">
        <v>611</v>
      </c>
      <c r="G98" s="1458">
        <f t="shared" ref="G98:P98" si="43">G96-G97</f>
        <v>0</v>
      </c>
      <c r="H98" s="387">
        <f t="shared" si="43"/>
        <v>0</v>
      </c>
      <c r="I98" s="387">
        <f t="shared" si="43"/>
        <v>0</v>
      </c>
      <c r="J98" s="387">
        <f t="shared" si="43"/>
        <v>0</v>
      </c>
      <c r="K98" s="528">
        <f t="shared" si="43"/>
        <v>0</v>
      </c>
      <c r="L98" s="1458">
        <f t="shared" si="43"/>
        <v>0</v>
      </c>
      <c r="M98" s="387">
        <f t="shared" si="43"/>
        <v>0</v>
      </c>
      <c r="N98" s="387">
        <f t="shared" si="43"/>
        <v>0</v>
      </c>
      <c r="O98" s="387">
        <f t="shared" si="43"/>
        <v>0</v>
      </c>
      <c r="P98" s="528">
        <f t="shared" si="43"/>
        <v>374750.28</v>
      </c>
      <c r="Q98" s="1283"/>
      <c r="R98" s="527">
        <f>R96-R97</f>
        <v>0</v>
      </c>
      <c r="S98" s="387">
        <f>S96-S97</f>
        <v>0</v>
      </c>
      <c r="T98" s="387">
        <f>T96-T97</f>
        <v>0</v>
      </c>
      <c r="U98" s="387">
        <f>U96-U97</f>
        <v>0</v>
      </c>
      <c r="V98" s="528">
        <f>V96-V97</f>
        <v>0</v>
      </c>
      <c r="W98" s="4264"/>
      <c r="X98" s="1266"/>
      <c r="Y98" s="1266"/>
      <c r="Z98" s="1266"/>
      <c r="AA98" s="3186"/>
      <c r="AB98" s="135"/>
      <c r="AC98" s="135"/>
      <c r="AD98" s="135"/>
      <c r="AE98" s="135"/>
      <c r="AF98" s="135"/>
      <c r="AG98" s="135"/>
      <c r="AH98" s="3187"/>
    </row>
    <row r="99" spans="4:34" s="501" customFormat="1" ht="12.75" customHeight="1">
      <c r="D99" s="299"/>
      <c r="E99" s="567" t="s">
        <v>1546</v>
      </c>
      <c r="F99" s="880" t="s">
        <v>619</v>
      </c>
      <c r="G99" s="1699"/>
      <c r="H99" s="1700"/>
      <c r="I99" s="1700"/>
      <c r="J99" s="1700"/>
      <c r="K99" s="1710"/>
      <c r="L99" s="564"/>
      <c r="M99" s="565"/>
      <c r="N99" s="565"/>
      <c r="O99" s="565"/>
      <c r="P99" s="566"/>
      <c r="Q99" s="1280"/>
      <c r="R99" s="565"/>
      <c r="S99" s="565"/>
      <c r="T99" s="565"/>
      <c r="U99" s="565"/>
      <c r="V99" s="566"/>
      <c r="W99" s="4262"/>
      <c r="X99" s="1266"/>
      <c r="Y99" s="1266"/>
      <c r="Z99" s="1266"/>
      <c r="AA99" s="3186"/>
      <c r="AB99" s="135"/>
      <c r="AC99" s="135"/>
      <c r="AD99" s="135"/>
      <c r="AE99" s="135"/>
      <c r="AF99" s="135"/>
      <c r="AG99" s="135"/>
      <c r="AH99" s="3187"/>
    </row>
    <row r="100" spans="4:34" s="501" customFormat="1" ht="12.75" customHeight="1">
      <c r="D100" s="299"/>
      <c r="E100" s="524"/>
      <c r="F100" s="542" t="s">
        <v>585</v>
      </c>
      <c r="G100" s="1701"/>
      <c r="H100" s="1702"/>
      <c r="I100" s="1702"/>
      <c r="J100" s="1702"/>
      <c r="K100" s="1711"/>
      <c r="L100" s="486"/>
      <c r="M100" s="485"/>
      <c r="N100" s="485"/>
      <c r="O100" s="485"/>
      <c r="P100" s="487"/>
      <c r="Q100" s="1281"/>
      <c r="R100" s="444"/>
      <c r="S100" s="485"/>
      <c r="T100" s="485"/>
      <c r="U100" s="485"/>
      <c r="V100" s="487"/>
      <c r="W100" s="4263"/>
      <c r="X100" s="1266"/>
      <c r="Y100" s="1266"/>
      <c r="Z100" s="1266"/>
      <c r="AA100" s="3186"/>
      <c r="AB100" s="135"/>
      <c r="AC100" s="135"/>
      <c r="AD100" s="135"/>
      <c r="AE100" s="135"/>
      <c r="AF100" s="135"/>
      <c r="AG100" s="135"/>
      <c r="AH100" s="3187"/>
    </row>
    <row r="101" spans="4:34" s="501" customFormat="1" ht="12.75" customHeight="1">
      <c r="D101" s="299"/>
      <c r="E101" s="524"/>
      <c r="F101" s="542" t="s">
        <v>584</v>
      </c>
      <c r="G101" s="1701"/>
      <c r="H101" s="1702"/>
      <c r="I101" s="1702"/>
      <c r="J101" s="1702"/>
      <c r="K101" s="1711"/>
      <c r="L101" s="486"/>
      <c r="M101" s="485"/>
      <c r="N101" s="485"/>
      <c r="O101" s="485"/>
      <c r="P101" s="487">
        <v>640832</v>
      </c>
      <c r="Q101" s="1281"/>
      <c r="R101" s="444"/>
      <c r="S101" s="485"/>
      <c r="T101" s="485"/>
      <c r="U101" s="485"/>
      <c r="V101" s="487"/>
      <c r="W101" s="4263"/>
      <c r="X101" s="1266"/>
      <c r="Y101" s="1266"/>
      <c r="Z101" s="1266"/>
      <c r="AA101" s="3186"/>
      <c r="AB101" s="135"/>
      <c r="AC101" s="135"/>
      <c r="AD101" s="135"/>
      <c r="AE101" s="135"/>
      <c r="AF101" s="135"/>
      <c r="AG101" s="135"/>
      <c r="AH101" s="3187"/>
    </row>
    <row r="102" spans="4:34" s="501" customFormat="1" ht="12.75" customHeight="1">
      <c r="D102" s="299"/>
      <c r="E102" s="524"/>
      <c r="F102" s="542" t="s">
        <v>604</v>
      </c>
      <c r="G102" s="1701"/>
      <c r="H102" s="1702"/>
      <c r="I102" s="1702"/>
      <c r="J102" s="1702"/>
      <c r="K102" s="1711"/>
      <c r="L102" s="486"/>
      <c r="M102" s="485"/>
      <c r="N102" s="485"/>
      <c r="O102" s="485"/>
      <c r="P102" s="487"/>
      <c r="Q102" s="1281"/>
      <c r="R102" s="444"/>
      <c r="S102" s="485"/>
      <c r="T102" s="485"/>
      <c r="U102" s="485"/>
      <c r="V102" s="487"/>
      <c r="W102" s="4263"/>
      <c r="X102" s="1266"/>
      <c r="Y102" s="1266"/>
      <c r="Z102" s="1266"/>
      <c r="AA102" s="3186"/>
      <c r="AB102" s="135"/>
      <c r="AC102" s="135"/>
      <c r="AD102" s="135"/>
      <c r="AE102" s="135"/>
      <c r="AF102" s="135"/>
      <c r="AG102" s="135"/>
      <c r="AH102" s="3187"/>
    </row>
    <row r="103" spans="4:34" s="501" customFormat="1" ht="12.75" customHeight="1">
      <c r="D103" s="299"/>
      <c r="E103" s="524"/>
      <c r="F103" s="543" t="s">
        <v>605</v>
      </c>
      <c r="G103" s="486"/>
      <c r="H103" s="485"/>
      <c r="I103" s="485"/>
      <c r="J103" s="485"/>
      <c r="K103" s="487"/>
      <c r="L103" s="384">
        <f>SUM(L100:L102)</f>
        <v>0</v>
      </c>
      <c r="M103" s="385">
        <f>SUM(M100:M102)</f>
        <v>0</v>
      </c>
      <c r="N103" s="385">
        <f>SUM(N100:N102)</f>
        <v>0</v>
      </c>
      <c r="O103" s="385">
        <f>SUM(O100:O102)</f>
        <v>0</v>
      </c>
      <c r="P103" s="477">
        <f>SUM(P100:P102)</f>
        <v>640832</v>
      </c>
      <c r="Q103" s="1282"/>
      <c r="R103" s="474">
        <f>SUM(R100:R102)</f>
        <v>0</v>
      </c>
      <c r="S103" s="385">
        <f>SUM(S100:S102)</f>
        <v>0</v>
      </c>
      <c r="T103" s="385">
        <f>SUM(T100:T102)</f>
        <v>0</v>
      </c>
      <c r="U103" s="385">
        <f>SUM(U100:U102)</f>
        <v>0</v>
      </c>
      <c r="V103" s="477">
        <f>SUM(V100:V102)</f>
        <v>0</v>
      </c>
      <c r="W103" s="4263"/>
      <c r="X103" s="1266"/>
      <c r="Y103" s="1266"/>
      <c r="Z103" s="1266"/>
      <c r="AA103" s="3186"/>
      <c r="AB103" s="135"/>
      <c r="AC103" s="135"/>
      <c r="AD103" s="135"/>
      <c r="AE103" s="135"/>
      <c r="AF103" s="135"/>
      <c r="AG103" s="135"/>
      <c r="AH103" s="3187"/>
    </row>
    <row r="104" spans="4:34" s="501" customFormat="1" ht="12.75" customHeight="1">
      <c r="D104" s="299"/>
      <c r="E104" s="524"/>
      <c r="F104" s="542" t="s">
        <v>609</v>
      </c>
      <c r="G104" s="486"/>
      <c r="H104" s="485"/>
      <c r="I104" s="485"/>
      <c r="J104" s="485"/>
      <c r="K104" s="487"/>
      <c r="L104" s="536">
        <v>0</v>
      </c>
      <c r="M104" s="537">
        <v>0</v>
      </c>
      <c r="N104" s="537">
        <v>0</v>
      </c>
      <c r="O104" s="537">
        <f>O103*0.06</f>
        <v>0</v>
      </c>
      <c r="P104" s="491">
        <f>P103*0.06</f>
        <v>38449.919999999998</v>
      </c>
      <c r="Q104" s="1281"/>
      <c r="R104" s="444">
        <f>R103*0.06</f>
        <v>0</v>
      </c>
      <c r="S104" s="485">
        <f>S103*0.06</f>
        <v>0</v>
      </c>
      <c r="T104" s="485">
        <f>T103*0.06</f>
        <v>0</v>
      </c>
      <c r="U104" s="485">
        <f>U103*0.06</f>
        <v>0</v>
      </c>
      <c r="V104" s="487">
        <f>V103*0.06</f>
        <v>0</v>
      </c>
      <c r="W104" s="4263"/>
      <c r="X104" s="1266"/>
      <c r="Y104" s="1266"/>
      <c r="Z104" s="1266"/>
      <c r="AA104" s="3186"/>
      <c r="AB104" s="135"/>
      <c r="AC104" s="135"/>
      <c r="AD104" s="135"/>
      <c r="AE104" s="135"/>
      <c r="AF104" s="135"/>
      <c r="AG104" s="135"/>
      <c r="AH104" s="3187"/>
    </row>
    <row r="105" spans="4:34" s="501" customFormat="1" ht="12.75" customHeight="1">
      <c r="D105" s="299"/>
      <c r="E105" s="524"/>
      <c r="F105" s="542" t="s">
        <v>607</v>
      </c>
      <c r="G105" s="486"/>
      <c r="H105" s="485"/>
      <c r="I105" s="485"/>
      <c r="J105" s="485"/>
      <c r="K105" s="487"/>
      <c r="L105" s="489">
        <v>0</v>
      </c>
      <c r="M105" s="490">
        <v>0</v>
      </c>
      <c r="N105" s="490">
        <v>0</v>
      </c>
      <c r="O105" s="490">
        <v>0</v>
      </c>
      <c r="P105" s="491">
        <v>0</v>
      </c>
      <c r="Q105" s="1281"/>
      <c r="R105" s="444"/>
      <c r="S105" s="485"/>
      <c r="T105" s="485"/>
      <c r="U105" s="485"/>
      <c r="V105" s="487"/>
      <c r="W105" s="4263"/>
      <c r="X105" s="1266"/>
      <c r="Y105" s="1266"/>
      <c r="Z105" s="1266"/>
      <c r="AA105" s="3186"/>
      <c r="AB105" s="135"/>
      <c r="AC105" s="135"/>
      <c r="AD105" s="135"/>
      <c r="AE105" s="135"/>
      <c r="AF105" s="135"/>
      <c r="AG105" s="135"/>
      <c r="AH105" s="3187"/>
    </row>
    <row r="106" spans="4:34" s="501" customFormat="1" ht="12.75" customHeight="1">
      <c r="D106" s="299"/>
      <c r="E106" s="524"/>
      <c r="F106" s="543" t="s">
        <v>610</v>
      </c>
      <c r="G106" s="384">
        <f t="shared" ref="G106:N106" si="44">SUM(G104:G105)</f>
        <v>0</v>
      </c>
      <c r="H106" s="385">
        <f t="shared" si="44"/>
        <v>0</v>
      </c>
      <c r="I106" s="385">
        <f t="shared" si="44"/>
        <v>0</v>
      </c>
      <c r="J106" s="385">
        <f t="shared" si="44"/>
        <v>0</v>
      </c>
      <c r="K106" s="477">
        <f t="shared" si="44"/>
        <v>0</v>
      </c>
      <c r="L106" s="384">
        <f t="shared" si="44"/>
        <v>0</v>
      </c>
      <c r="M106" s="385">
        <f t="shared" si="44"/>
        <v>0</v>
      </c>
      <c r="N106" s="385">
        <f t="shared" si="44"/>
        <v>0</v>
      </c>
      <c r="O106" s="385">
        <f>SUM(O103:O105)</f>
        <v>0</v>
      </c>
      <c r="P106" s="477">
        <f>SUM(P103:P105)</f>
        <v>679281.92</v>
      </c>
      <c r="Q106" s="1282"/>
      <c r="R106" s="385">
        <f>SUM(R103:R105)</f>
        <v>0</v>
      </c>
      <c r="S106" s="385">
        <f>SUM(S103:S105)</f>
        <v>0</v>
      </c>
      <c r="T106" s="385">
        <f>SUM(T103:T105)</f>
        <v>0</v>
      </c>
      <c r="U106" s="385">
        <f>SUM(U103:U105)</f>
        <v>0</v>
      </c>
      <c r="V106" s="385">
        <f>SUM(V103:V105)</f>
        <v>0</v>
      </c>
      <c r="W106" s="4263"/>
      <c r="X106" s="1266"/>
      <c r="Y106" s="1266"/>
      <c r="Z106" s="1266"/>
      <c r="AA106" s="3186"/>
      <c r="AB106" s="135"/>
      <c r="AC106" s="135"/>
      <c r="AD106" s="135"/>
      <c r="AE106" s="135"/>
      <c r="AF106" s="135"/>
      <c r="AG106" s="135"/>
      <c r="AH106" s="3187"/>
    </row>
    <row r="107" spans="4:34" s="501" customFormat="1" ht="12.75" customHeight="1">
      <c r="D107" s="299"/>
      <c r="E107" s="524"/>
      <c r="F107" s="542" t="s">
        <v>35</v>
      </c>
      <c r="G107" s="486"/>
      <c r="H107" s="485"/>
      <c r="I107" s="485"/>
      <c r="J107" s="485"/>
      <c r="K107" s="487"/>
      <c r="L107" s="486"/>
      <c r="M107" s="485"/>
      <c r="N107" s="485"/>
      <c r="O107" s="485"/>
      <c r="P107" s="487"/>
      <c r="Q107" s="1281"/>
      <c r="R107" s="444"/>
      <c r="S107" s="485"/>
      <c r="T107" s="485"/>
      <c r="U107" s="485"/>
      <c r="V107" s="487"/>
      <c r="W107" s="4263"/>
      <c r="X107" s="1266"/>
      <c r="Y107" s="1266"/>
      <c r="Z107" s="1266"/>
      <c r="AA107" s="3186"/>
      <c r="AB107" s="135"/>
      <c r="AC107" s="135"/>
      <c r="AD107" s="135"/>
      <c r="AE107" s="135"/>
      <c r="AF107" s="135"/>
      <c r="AG107" s="135"/>
      <c r="AH107" s="3187"/>
    </row>
    <row r="108" spans="4:34" s="501" customFormat="1" ht="12.75" customHeight="1" thickBot="1">
      <c r="D108" s="299"/>
      <c r="E108" s="524"/>
      <c r="F108" s="1501" t="s">
        <v>611</v>
      </c>
      <c r="G108" s="1458">
        <f t="shared" ref="G108:P108" si="45">G106-G107</f>
        <v>0</v>
      </c>
      <c r="H108" s="387">
        <f t="shared" si="45"/>
        <v>0</v>
      </c>
      <c r="I108" s="387">
        <f t="shared" si="45"/>
        <v>0</v>
      </c>
      <c r="J108" s="387">
        <f t="shared" si="45"/>
        <v>0</v>
      </c>
      <c r="K108" s="528">
        <f t="shared" si="45"/>
        <v>0</v>
      </c>
      <c r="L108" s="1458">
        <f t="shared" si="45"/>
        <v>0</v>
      </c>
      <c r="M108" s="387">
        <f t="shared" si="45"/>
        <v>0</v>
      </c>
      <c r="N108" s="387">
        <f t="shared" si="45"/>
        <v>0</v>
      </c>
      <c r="O108" s="387">
        <f t="shared" si="45"/>
        <v>0</v>
      </c>
      <c r="P108" s="528">
        <f t="shared" si="45"/>
        <v>679281.92</v>
      </c>
      <c r="Q108" s="1283"/>
      <c r="R108" s="527">
        <f>R106-R107</f>
        <v>0</v>
      </c>
      <c r="S108" s="387">
        <f>S106-S107</f>
        <v>0</v>
      </c>
      <c r="T108" s="387">
        <f>T106-T107</f>
        <v>0</v>
      </c>
      <c r="U108" s="387">
        <f>U106-U107</f>
        <v>0</v>
      </c>
      <c r="V108" s="528">
        <f>V106-V107</f>
        <v>0</v>
      </c>
      <c r="W108" s="4264"/>
      <c r="X108" s="1266"/>
      <c r="Y108" s="1266"/>
      <c r="Z108" s="1266"/>
      <c r="AA108" s="3186"/>
      <c r="AB108" s="135"/>
      <c r="AC108" s="135"/>
      <c r="AD108" s="135"/>
      <c r="AE108" s="135"/>
      <c r="AF108" s="135"/>
      <c r="AG108" s="135"/>
      <c r="AH108" s="3187"/>
    </row>
    <row r="109" spans="4:34" s="501" customFormat="1" ht="12.75" customHeight="1">
      <c r="D109" s="299"/>
      <c r="E109" s="567" t="s">
        <v>1547</v>
      </c>
      <c r="F109" s="880" t="s">
        <v>619</v>
      </c>
      <c r="G109" s="1699"/>
      <c r="H109" s="1700"/>
      <c r="I109" s="1700"/>
      <c r="J109" s="1700"/>
      <c r="K109" s="1710"/>
      <c r="L109" s="564"/>
      <c r="M109" s="565"/>
      <c r="N109" s="565"/>
      <c r="O109" s="565"/>
      <c r="P109" s="566"/>
      <c r="Q109" s="1280"/>
      <c r="R109" s="565"/>
      <c r="S109" s="565"/>
      <c r="T109" s="565"/>
      <c r="U109" s="565"/>
      <c r="V109" s="566"/>
      <c r="W109" s="4262"/>
      <c r="X109" s="1266"/>
      <c r="Y109" s="1266"/>
      <c r="Z109" s="1266"/>
      <c r="AA109" s="3186"/>
      <c r="AB109" s="135"/>
      <c r="AC109" s="135"/>
      <c r="AD109" s="135"/>
      <c r="AE109" s="135"/>
      <c r="AF109" s="135"/>
      <c r="AG109" s="135"/>
      <c r="AH109" s="3187"/>
    </row>
    <row r="110" spans="4:34" s="501" customFormat="1" ht="12.75" customHeight="1">
      <c r="D110" s="299"/>
      <c r="E110" s="524"/>
      <c r="F110" s="542" t="s">
        <v>585</v>
      </c>
      <c r="G110" s="1701"/>
      <c r="H110" s="1702"/>
      <c r="I110" s="1702"/>
      <c r="J110" s="1702"/>
      <c r="K110" s="1711"/>
      <c r="L110" s="486"/>
      <c r="M110" s="485"/>
      <c r="N110" s="485"/>
      <c r="O110" s="485"/>
      <c r="P110" s="487"/>
      <c r="Q110" s="1281"/>
      <c r="R110" s="444"/>
      <c r="S110" s="485"/>
      <c r="T110" s="485"/>
      <c r="U110" s="485"/>
      <c r="V110" s="487"/>
      <c r="W110" s="4263"/>
      <c r="X110" s="1266"/>
      <c r="Y110" s="1266"/>
      <c r="Z110" s="1266"/>
      <c r="AA110" s="3186"/>
      <c r="AB110" s="135"/>
      <c r="AC110" s="135"/>
      <c r="AD110" s="135"/>
      <c r="AE110" s="135"/>
      <c r="AF110" s="135"/>
      <c r="AG110" s="135"/>
      <c r="AH110" s="3187"/>
    </row>
    <row r="111" spans="4:34" s="501" customFormat="1" ht="12.75" customHeight="1">
      <c r="D111" s="299"/>
      <c r="E111" s="524"/>
      <c r="F111" s="542" t="s">
        <v>584</v>
      </c>
      <c r="G111" s="1701"/>
      <c r="H111" s="1702"/>
      <c r="I111" s="1702"/>
      <c r="J111" s="1702"/>
      <c r="K111" s="1711"/>
      <c r="L111" s="486"/>
      <c r="M111" s="485"/>
      <c r="N111" s="485"/>
      <c r="O111" s="485"/>
      <c r="P111" s="487"/>
      <c r="Q111" s="1281"/>
      <c r="R111" s="444">
        <v>209989.59639999998</v>
      </c>
      <c r="S111" s="485">
        <v>209860.16520000002</v>
      </c>
      <c r="T111" s="485">
        <v>210313.17439999999</v>
      </c>
      <c r="U111" s="485">
        <v>211025.046</v>
      </c>
      <c r="V111" s="487">
        <v>211348.62399999998</v>
      </c>
      <c r="W111" s="4263"/>
      <c r="X111" s="1266"/>
      <c r="Y111" s="1266"/>
      <c r="Z111" s="1266"/>
      <c r="AA111" s="3186"/>
      <c r="AB111" s="135"/>
      <c r="AC111" s="135"/>
      <c r="AD111" s="135"/>
      <c r="AE111" s="135"/>
      <c r="AF111" s="135"/>
      <c r="AG111" s="135"/>
      <c r="AH111" s="3187"/>
    </row>
    <row r="112" spans="4:34" s="501" customFormat="1" ht="12.75" customHeight="1">
      <c r="D112" s="299"/>
      <c r="E112" s="524"/>
      <c r="F112" s="542" t="s">
        <v>604</v>
      </c>
      <c r="G112" s="1701"/>
      <c r="H112" s="1702"/>
      <c r="I112" s="1702"/>
      <c r="J112" s="1702"/>
      <c r="K112" s="1711"/>
      <c r="L112" s="486"/>
      <c r="M112" s="485"/>
      <c r="N112" s="485"/>
      <c r="O112" s="485"/>
      <c r="P112" s="487"/>
      <c r="Q112" s="1281"/>
      <c r="R112" s="444"/>
      <c r="S112" s="485"/>
      <c r="T112" s="485"/>
      <c r="U112" s="485"/>
      <c r="V112" s="487"/>
      <c r="W112" s="4263"/>
      <c r="X112" s="1266"/>
      <c r="Y112" s="1266"/>
      <c r="Z112" s="1266"/>
      <c r="AA112" s="3186"/>
      <c r="AB112" s="135"/>
      <c r="AC112" s="135"/>
      <c r="AD112" s="135"/>
      <c r="AE112" s="135"/>
      <c r="AF112" s="135"/>
      <c r="AG112" s="135"/>
      <c r="AH112" s="3187"/>
    </row>
    <row r="113" spans="4:34" s="501" customFormat="1" ht="12.75" customHeight="1">
      <c r="D113" s="299"/>
      <c r="E113" s="524"/>
      <c r="F113" s="543" t="s">
        <v>605</v>
      </c>
      <c r="G113" s="486"/>
      <c r="H113" s="485"/>
      <c r="I113" s="485"/>
      <c r="J113" s="485"/>
      <c r="K113" s="487"/>
      <c r="L113" s="384">
        <f>SUM(L110:L112)</f>
        <v>0</v>
      </c>
      <c r="M113" s="385">
        <f>SUM(M110:M112)</f>
        <v>0</v>
      </c>
      <c r="N113" s="385">
        <f>SUM(N110:N112)</f>
        <v>0</v>
      </c>
      <c r="O113" s="385">
        <f>SUM(O110:O112)</f>
        <v>0</v>
      </c>
      <c r="P113" s="477">
        <f>SUM(P110:P112)</f>
        <v>0</v>
      </c>
      <c r="Q113" s="1282"/>
      <c r="R113" s="474">
        <f>SUM(R110:R112)</f>
        <v>209989.59639999998</v>
      </c>
      <c r="S113" s="385">
        <f>SUM(S110:S112)</f>
        <v>209860.16520000002</v>
      </c>
      <c r="T113" s="385">
        <f>SUM(T110:T112)</f>
        <v>210313.17439999999</v>
      </c>
      <c r="U113" s="385">
        <f>SUM(U110:U112)</f>
        <v>211025.046</v>
      </c>
      <c r="V113" s="477">
        <f>SUM(V110:V112)</f>
        <v>211348.62399999998</v>
      </c>
      <c r="W113" s="4263"/>
      <c r="X113" s="1266"/>
      <c r="Y113" s="1266"/>
      <c r="Z113" s="1266"/>
      <c r="AA113" s="3186"/>
      <c r="AB113" s="135"/>
      <c r="AC113" s="135"/>
      <c r="AD113" s="135"/>
      <c r="AE113" s="135"/>
      <c r="AF113" s="135"/>
      <c r="AG113" s="135"/>
      <c r="AH113" s="3187"/>
    </row>
    <row r="114" spans="4:34" s="501" customFormat="1" ht="12.75" customHeight="1">
      <c r="D114" s="299"/>
      <c r="E114" s="524"/>
      <c r="F114" s="542" t="s">
        <v>609</v>
      </c>
      <c r="G114" s="486"/>
      <c r="H114" s="485"/>
      <c r="I114" s="485"/>
      <c r="J114" s="485"/>
      <c r="K114" s="487"/>
      <c r="L114" s="536">
        <v>0</v>
      </c>
      <c r="M114" s="537">
        <v>0</v>
      </c>
      <c r="N114" s="537">
        <v>0</v>
      </c>
      <c r="O114" s="537">
        <f>O113*0.06</f>
        <v>0</v>
      </c>
      <c r="P114" s="491">
        <f>P113*0.06</f>
        <v>0</v>
      </c>
      <c r="Q114" s="1281"/>
      <c r="R114" s="444">
        <f>R113*0.06</f>
        <v>12599.375783999998</v>
      </c>
      <c r="S114" s="485">
        <f>S113*0.06</f>
        <v>12591.609912</v>
      </c>
      <c r="T114" s="485">
        <f>T113*0.06</f>
        <v>12618.790464</v>
      </c>
      <c r="U114" s="485">
        <f>U113*0.06</f>
        <v>12661.502759999999</v>
      </c>
      <c r="V114" s="487">
        <f>V113*0.06</f>
        <v>12680.917439999999</v>
      </c>
      <c r="W114" s="4263"/>
      <c r="X114" s="1266"/>
      <c r="Y114" s="1266"/>
      <c r="Z114" s="1266"/>
      <c r="AA114" s="3186"/>
      <c r="AB114" s="135"/>
      <c r="AC114" s="135"/>
      <c r="AD114" s="135"/>
      <c r="AE114" s="135"/>
      <c r="AF114" s="135"/>
      <c r="AG114" s="135"/>
      <c r="AH114" s="3187"/>
    </row>
    <row r="115" spans="4:34" s="501" customFormat="1" ht="12.75" customHeight="1">
      <c r="D115" s="299"/>
      <c r="E115" s="524"/>
      <c r="F115" s="542" t="s">
        <v>607</v>
      </c>
      <c r="G115" s="486"/>
      <c r="H115" s="485"/>
      <c r="I115" s="485"/>
      <c r="J115" s="485"/>
      <c r="K115" s="487"/>
      <c r="L115" s="489">
        <v>0</v>
      </c>
      <c r="M115" s="490">
        <v>0</v>
      </c>
      <c r="N115" s="490">
        <v>0</v>
      </c>
      <c r="O115" s="490">
        <v>0</v>
      </c>
      <c r="P115" s="491">
        <v>0</v>
      </c>
      <c r="Q115" s="1281"/>
      <c r="R115" s="444"/>
      <c r="S115" s="485"/>
      <c r="T115" s="485"/>
      <c r="U115" s="485"/>
      <c r="V115" s="487"/>
      <c r="W115" s="4263"/>
      <c r="X115" s="1266"/>
      <c r="Y115" s="1266"/>
      <c r="Z115" s="1266"/>
      <c r="AA115" s="3186"/>
      <c r="AB115" s="135"/>
      <c r="AC115" s="135"/>
      <c r="AD115" s="135"/>
      <c r="AE115" s="135"/>
      <c r="AF115" s="135"/>
      <c r="AG115" s="135"/>
      <c r="AH115" s="3187"/>
    </row>
    <row r="116" spans="4:34" s="501" customFormat="1" ht="12.75" customHeight="1">
      <c r="D116" s="299"/>
      <c r="E116" s="524"/>
      <c r="F116" s="543" t="s">
        <v>610</v>
      </c>
      <c r="G116" s="384">
        <f t="shared" ref="G116:N116" si="46">SUM(G114:G115)</f>
        <v>0</v>
      </c>
      <c r="H116" s="385">
        <f t="shared" si="46"/>
        <v>0</v>
      </c>
      <c r="I116" s="385">
        <f t="shared" si="46"/>
        <v>0</v>
      </c>
      <c r="J116" s="385">
        <f t="shared" si="46"/>
        <v>0</v>
      </c>
      <c r="K116" s="477">
        <f t="shared" si="46"/>
        <v>0</v>
      </c>
      <c r="L116" s="384">
        <f t="shared" si="46"/>
        <v>0</v>
      </c>
      <c r="M116" s="385">
        <f t="shared" si="46"/>
        <v>0</v>
      </c>
      <c r="N116" s="385">
        <f t="shared" si="46"/>
        <v>0</v>
      </c>
      <c r="O116" s="385">
        <f>SUM(O113:O115)</f>
        <v>0</v>
      </c>
      <c r="P116" s="477">
        <f>SUM(P113:P115)</f>
        <v>0</v>
      </c>
      <c r="Q116" s="1282"/>
      <c r="R116" s="385">
        <f>SUM(R113:R115)</f>
        <v>222588.97218399998</v>
      </c>
      <c r="S116" s="385">
        <f>SUM(S113:S115)</f>
        <v>222451.775112</v>
      </c>
      <c r="T116" s="385">
        <f>SUM(T113:T115)</f>
        <v>222931.96486399998</v>
      </c>
      <c r="U116" s="385">
        <f>SUM(U113:U115)</f>
        <v>223686.54876000001</v>
      </c>
      <c r="V116" s="385">
        <f>SUM(V113:V115)</f>
        <v>224029.54143999997</v>
      </c>
      <c r="W116" s="4263"/>
      <c r="X116" s="1266"/>
      <c r="Y116" s="1266"/>
      <c r="Z116" s="1266"/>
      <c r="AA116" s="3186"/>
      <c r="AB116" s="135"/>
      <c r="AC116" s="135"/>
      <c r="AD116" s="135"/>
      <c r="AE116" s="135"/>
      <c r="AF116" s="135"/>
      <c r="AG116" s="135"/>
      <c r="AH116" s="3187"/>
    </row>
    <row r="117" spans="4:34" s="501" customFormat="1" ht="12.75" customHeight="1">
      <c r="D117" s="299"/>
      <c r="E117" s="524"/>
      <c r="F117" s="542" t="s">
        <v>35</v>
      </c>
      <c r="G117" s="486"/>
      <c r="H117" s="485"/>
      <c r="I117" s="485"/>
      <c r="J117" s="485"/>
      <c r="K117" s="487"/>
      <c r="L117" s="486"/>
      <c r="M117" s="485"/>
      <c r="N117" s="485"/>
      <c r="O117" s="485"/>
      <c r="P117" s="487"/>
      <c r="Q117" s="1281"/>
      <c r="R117" s="444"/>
      <c r="S117" s="485"/>
      <c r="T117" s="485"/>
      <c r="U117" s="485"/>
      <c r="V117" s="487"/>
      <c r="W117" s="4263"/>
      <c r="X117" s="1266"/>
      <c r="Y117" s="1266"/>
      <c r="Z117" s="1266"/>
      <c r="AA117" s="3186"/>
      <c r="AB117" s="135"/>
      <c r="AC117" s="135"/>
      <c r="AD117" s="135"/>
      <c r="AE117" s="135"/>
      <c r="AF117" s="135"/>
      <c r="AG117" s="135"/>
      <c r="AH117" s="3187"/>
    </row>
    <row r="118" spans="4:34" s="501" customFormat="1" ht="12.75" customHeight="1" thickBot="1">
      <c r="D118" s="299"/>
      <c r="E118" s="524"/>
      <c r="F118" s="1501" t="s">
        <v>611</v>
      </c>
      <c r="G118" s="1458">
        <f t="shared" ref="G118:P118" si="47">G116-G117</f>
        <v>0</v>
      </c>
      <c r="H118" s="387">
        <f t="shared" si="47"/>
        <v>0</v>
      </c>
      <c r="I118" s="387">
        <f t="shared" si="47"/>
        <v>0</v>
      </c>
      <c r="J118" s="387">
        <f t="shared" si="47"/>
        <v>0</v>
      </c>
      <c r="K118" s="528">
        <f t="shared" si="47"/>
        <v>0</v>
      </c>
      <c r="L118" s="1458">
        <f t="shared" si="47"/>
        <v>0</v>
      </c>
      <c r="M118" s="387">
        <f t="shared" si="47"/>
        <v>0</v>
      </c>
      <c r="N118" s="387">
        <f t="shared" si="47"/>
        <v>0</v>
      </c>
      <c r="O118" s="387">
        <f t="shared" si="47"/>
        <v>0</v>
      </c>
      <c r="P118" s="528">
        <f t="shared" si="47"/>
        <v>0</v>
      </c>
      <c r="Q118" s="1283"/>
      <c r="R118" s="527">
        <f>R116-R117</f>
        <v>222588.97218399998</v>
      </c>
      <c r="S118" s="387">
        <f>S116-S117</f>
        <v>222451.775112</v>
      </c>
      <c r="T118" s="387">
        <f>T116-T117</f>
        <v>222931.96486399998</v>
      </c>
      <c r="U118" s="387">
        <f>U116-U117</f>
        <v>223686.54876000001</v>
      </c>
      <c r="V118" s="528">
        <f>V116-V117</f>
        <v>224029.54143999997</v>
      </c>
      <c r="W118" s="4264"/>
      <c r="X118" s="1266"/>
      <c r="Y118" s="1266"/>
      <c r="Z118" s="1266"/>
      <c r="AA118" s="3186"/>
      <c r="AB118" s="135"/>
      <c r="AC118" s="135"/>
      <c r="AD118" s="135"/>
      <c r="AE118" s="135"/>
      <c r="AF118" s="135"/>
      <c r="AG118" s="135"/>
      <c r="AH118" s="3187"/>
    </row>
    <row r="119" spans="4:34" s="501" customFormat="1" ht="12.75" customHeight="1">
      <c r="D119" s="299"/>
      <c r="E119" s="567" t="s">
        <v>1548</v>
      </c>
      <c r="F119" s="880" t="s">
        <v>619</v>
      </c>
      <c r="G119" s="1699"/>
      <c r="H119" s="1700"/>
      <c r="I119" s="1700"/>
      <c r="J119" s="1700"/>
      <c r="K119" s="1710"/>
      <c r="L119" s="564"/>
      <c r="M119" s="565"/>
      <c r="N119" s="565"/>
      <c r="O119" s="565"/>
      <c r="P119" s="566"/>
      <c r="Q119" s="1280"/>
      <c r="R119" s="565"/>
      <c r="S119" s="565"/>
      <c r="T119" s="565"/>
      <c r="U119" s="565"/>
      <c r="V119" s="566"/>
      <c r="W119" s="4262"/>
      <c r="X119" s="1266"/>
      <c r="Y119" s="1266"/>
      <c r="Z119" s="1266"/>
      <c r="AA119" s="3186"/>
      <c r="AB119" s="135"/>
      <c r="AC119" s="135"/>
      <c r="AD119" s="135"/>
      <c r="AE119" s="135"/>
      <c r="AF119" s="135"/>
      <c r="AG119" s="135"/>
      <c r="AH119" s="3187"/>
    </row>
    <row r="120" spans="4:34" s="501" customFormat="1" ht="12.75" customHeight="1">
      <c r="D120" s="299"/>
      <c r="E120" s="524"/>
      <c r="F120" s="542" t="s">
        <v>585</v>
      </c>
      <c r="G120" s="1701"/>
      <c r="H120" s="1702"/>
      <c r="I120" s="1702"/>
      <c r="J120" s="1702"/>
      <c r="K120" s="1711"/>
      <c r="L120" s="486"/>
      <c r="M120" s="485"/>
      <c r="N120" s="485"/>
      <c r="O120" s="485"/>
      <c r="P120" s="487"/>
      <c r="Q120" s="1281"/>
      <c r="R120" s="444"/>
      <c r="S120" s="485"/>
      <c r="T120" s="485"/>
      <c r="U120" s="485"/>
      <c r="V120" s="487"/>
      <c r="W120" s="4263"/>
      <c r="X120" s="1266"/>
      <c r="Y120" s="1266"/>
      <c r="Z120" s="1266"/>
      <c r="AA120" s="3186"/>
      <c r="AB120" s="135"/>
      <c r="AC120" s="135"/>
      <c r="AD120" s="135"/>
      <c r="AE120" s="135"/>
      <c r="AF120" s="135"/>
      <c r="AG120" s="135"/>
      <c r="AH120" s="3187"/>
    </row>
    <row r="121" spans="4:34" s="501" customFormat="1" ht="12.75" customHeight="1">
      <c r="D121" s="299"/>
      <c r="E121" s="524"/>
      <c r="F121" s="542" t="s">
        <v>584</v>
      </c>
      <c r="G121" s="1701"/>
      <c r="H121" s="1702"/>
      <c r="I121" s="1702"/>
      <c r="J121" s="1702"/>
      <c r="K121" s="1711"/>
      <c r="L121" s="486"/>
      <c r="M121" s="485"/>
      <c r="N121" s="485"/>
      <c r="O121" s="485"/>
      <c r="P121" s="487">
        <v>182410</v>
      </c>
      <c r="Q121" s="1281"/>
      <c r="R121" s="444">
        <v>544574.76353999996</v>
      </c>
      <c r="S121" s="485">
        <v>341435.93442000006</v>
      </c>
      <c r="T121" s="485">
        <v>0</v>
      </c>
      <c r="U121" s="485">
        <v>0</v>
      </c>
      <c r="V121" s="487">
        <v>0</v>
      </c>
      <c r="W121" s="4263"/>
      <c r="X121" s="1266"/>
      <c r="Y121" s="1266"/>
      <c r="Z121" s="1266"/>
      <c r="AA121" s="3186"/>
      <c r="AB121" s="135"/>
      <c r="AC121" s="135"/>
      <c r="AD121" s="135"/>
      <c r="AE121" s="135"/>
      <c r="AF121" s="135"/>
      <c r="AG121" s="135"/>
      <c r="AH121" s="3187"/>
    </row>
    <row r="122" spans="4:34" s="501" customFormat="1" ht="12.75" customHeight="1">
      <c r="D122" s="299"/>
      <c r="E122" s="524"/>
      <c r="F122" s="542" t="s">
        <v>604</v>
      </c>
      <c r="G122" s="1701"/>
      <c r="H122" s="1702"/>
      <c r="I122" s="1702"/>
      <c r="J122" s="1702"/>
      <c r="K122" s="1711"/>
      <c r="L122" s="486"/>
      <c r="M122" s="485"/>
      <c r="N122" s="485"/>
      <c r="O122" s="485"/>
      <c r="P122" s="487"/>
      <c r="Q122" s="1281"/>
      <c r="R122" s="444"/>
      <c r="S122" s="485"/>
      <c r="T122" s="485"/>
      <c r="U122" s="485"/>
      <c r="V122" s="487"/>
      <c r="W122" s="4263"/>
      <c r="X122" s="1266"/>
      <c r="Y122" s="1266"/>
      <c r="Z122" s="1266"/>
      <c r="AA122" s="3186"/>
      <c r="AB122" s="135"/>
      <c r="AC122" s="135"/>
      <c r="AD122" s="135"/>
      <c r="AE122" s="135"/>
      <c r="AF122" s="135"/>
      <c r="AG122" s="135"/>
      <c r="AH122" s="3187"/>
    </row>
    <row r="123" spans="4:34" s="501" customFormat="1" ht="12.75" customHeight="1">
      <c r="D123" s="299"/>
      <c r="E123" s="524"/>
      <c r="F123" s="543" t="s">
        <v>605</v>
      </c>
      <c r="G123" s="486"/>
      <c r="H123" s="485"/>
      <c r="I123" s="485"/>
      <c r="J123" s="485"/>
      <c r="K123" s="487"/>
      <c r="L123" s="384">
        <f>SUM(L120:L122)</f>
        <v>0</v>
      </c>
      <c r="M123" s="385">
        <f>SUM(M120:M122)</f>
        <v>0</v>
      </c>
      <c r="N123" s="385">
        <f>SUM(N120:N122)</f>
        <v>0</v>
      </c>
      <c r="O123" s="385">
        <f>SUM(O120:O122)</f>
        <v>0</v>
      </c>
      <c r="P123" s="477">
        <f>SUM(P120:P122)</f>
        <v>182410</v>
      </c>
      <c r="Q123" s="1282"/>
      <c r="R123" s="474">
        <f>SUM(R120:R122)</f>
        <v>544574.76353999996</v>
      </c>
      <c r="S123" s="385">
        <f>SUM(S120:S122)</f>
        <v>341435.93442000006</v>
      </c>
      <c r="T123" s="385">
        <f>SUM(T120:T122)</f>
        <v>0</v>
      </c>
      <c r="U123" s="385">
        <f>SUM(U120:U122)</f>
        <v>0</v>
      </c>
      <c r="V123" s="477">
        <f>SUM(V120:V122)</f>
        <v>0</v>
      </c>
      <c r="W123" s="4263"/>
      <c r="X123" s="1266"/>
      <c r="Y123" s="1266"/>
      <c r="Z123" s="1266"/>
      <c r="AA123" s="3186"/>
      <c r="AB123" s="135"/>
      <c r="AC123" s="135"/>
      <c r="AD123" s="135"/>
      <c r="AE123" s="135"/>
      <c r="AF123" s="135"/>
      <c r="AG123" s="135"/>
      <c r="AH123" s="3187"/>
    </row>
    <row r="124" spans="4:34" s="501" customFormat="1" ht="12.75" customHeight="1">
      <c r="D124" s="299"/>
      <c r="E124" s="524"/>
      <c r="F124" s="542" t="s">
        <v>609</v>
      </c>
      <c r="G124" s="486"/>
      <c r="H124" s="485"/>
      <c r="I124" s="485"/>
      <c r="J124" s="485"/>
      <c r="K124" s="487"/>
      <c r="L124" s="536">
        <v>0</v>
      </c>
      <c r="M124" s="537">
        <v>0</v>
      </c>
      <c r="N124" s="537">
        <v>0</v>
      </c>
      <c r="O124" s="537">
        <f>O123*0.06</f>
        <v>0</v>
      </c>
      <c r="P124" s="491">
        <f>P123*0.06</f>
        <v>10944.6</v>
      </c>
      <c r="Q124" s="1281"/>
      <c r="R124" s="444">
        <f>R123*0.06</f>
        <v>32674.485812399995</v>
      </c>
      <c r="S124" s="485">
        <f>S123*0.06</f>
        <v>20486.156065200004</v>
      </c>
      <c r="T124" s="485">
        <f>T123*0.06</f>
        <v>0</v>
      </c>
      <c r="U124" s="485">
        <f>U123*0.06</f>
        <v>0</v>
      </c>
      <c r="V124" s="487">
        <f>V123*0.06</f>
        <v>0</v>
      </c>
      <c r="W124" s="4263"/>
      <c r="X124" s="1266"/>
      <c r="Y124" s="1266"/>
      <c r="Z124" s="1266"/>
      <c r="AA124" s="3186"/>
      <c r="AB124" s="135"/>
      <c r="AC124" s="135"/>
      <c r="AD124" s="135"/>
      <c r="AE124" s="135"/>
      <c r="AF124" s="135"/>
      <c r="AG124" s="135"/>
      <c r="AH124" s="3187"/>
    </row>
    <row r="125" spans="4:34" s="501" customFormat="1" ht="12.75" customHeight="1">
      <c r="D125" s="299"/>
      <c r="E125" s="524"/>
      <c r="F125" s="542" t="s">
        <v>607</v>
      </c>
      <c r="G125" s="486"/>
      <c r="H125" s="485"/>
      <c r="I125" s="485"/>
      <c r="J125" s="485"/>
      <c r="K125" s="487"/>
      <c r="L125" s="489">
        <v>0</v>
      </c>
      <c r="M125" s="490">
        <v>0</v>
      </c>
      <c r="N125" s="490">
        <v>0</v>
      </c>
      <c r="O125" s="490">
        <v>0</v>
      </c>
      <c r="P125" s="491">
        <v>0</v>
      </c>
      <c r="Q125" s="1281"/>
      <c r="R125" s="444"/>
      <c r="S125" s="485"/>
      <c r="T125" s="485"/>
      <c r="U125" s="485"/>
      <c r="V125" s="487"/>
      <c r="W125" s="4263"/>
      <c r="X125" s="1266"/>
      <c r="Y125" s="1266"/>
      <c r="Z125" s="1266"/>
      <c r="AA125" s="3186"/>
      <c r="AB125" s="135"/>
      <c r="AC125" s="135"/>
      <c r="AD125" s="135"/>
      <c r="AE125" s="135"/>
      <c r="AF125" s="135"/>
      <c r="AG125" s="135"/>
      <c r="AH125" s="3187"/>
    </row>
    <row r="126" spans="4:34" s="501" customFormat="1" ht="12.75" customHeight="1">
      <c r="D126" s="299"/>
      <c r="E126" s="524"/>
      <c r="F126" s="543" t="s">
        <v>610</v>
      </c>
      <c r="G126" s="384">
        <f t="shared" ref="G126:N126" si="48">SUM(G124:G125)</f>
        <v>0</v>
      </c>
      <c r="H126" s="385">
        <f t="shared" si="48"/>
        <v>0</v>
      </c>
      <c r="I126" s="385">
        <f t="shared" si="48"/>
        <v>0</v>
      </c>
      <c r="J126" s="385">
        <f t="shared" si="48"/>
        <v>0</v>
      </c>
      <c r="K126" s="477">
        <f t="shared" si="48"/>
        <v>0</v>
      </c>
      <c r="L126" s="384">
        <f t="shared" si="48"/>
        <v>0</v>
      </c>
      <c r="M126" s="385">
        <f t="shared" si="48"/>
        <v>0</v>
      </c>
      <c r="N126" s="385">
        <f t="shared" si="48"/>
        <v>0</v>
      </c>
      <c r="O126" s="385">
        <f>SUM(O123:O125)</f>
        <v>0</v>
      </c>
      <c r="P126" s="477">
        <f>SUM(P123:P125)</f>
        <v>193354.6</v>
      </c>
      <c r="Q126" s="1282"/>
      <c r="R126" s="385">
        <f>SUM(R123:R125)</f>
        <v>577249.24935239996</v>
      </c>
      <c r="S126" s="385">
        <f>SUM(S123:S125)</f>
        <v>361922.09048520005</v>
      </c>
      <c r="T126" s="385">
        <f>SUM(T123:T125)</f>
        <v>0</v>
      </c>
      <c r="U126" s="385">
        <f>SUM(U123:U125)</f>
        <v>0</v>
      </c>
      <c r="V126" s="385">
        <f>SUM(V123:V125)</f>
        <v>0</v>
      </c>
      <c r="W126" s="4263"/>
      <c r="X126" s="1266"/>
      <c r="Y126" s="1266"/>
      <c r="Z126" s="1266"/>
      <c r="AA126" s="3186"/>
      <c r="AB126" s="135"/>
      <c r="AC126" s="135"/>
      <c r="AD126" s="135"/>
      <c r="AE126" s="135"/>
      <c r="AF126" s="135"/>
      <c r="AG126" s="135"/>
      <c r="AH126" s="3187"/>
    </row>
    <row r="127" spans="4:34" s="501" customFormat="1" ht="12.75" customHeight="1">
      <c r="D127" s="299"/>
      <c r="E127" s="524"/>
      <c r="F127" s="542" t="s">
        <v>35</v>
      </c>
      <c r="G127" s="486"/>
      <c r="H127" s="485"/>
      <c r="I127" s="485"/>
      <c r="J127" s="485"/>
      <c r="K127" s="487"/>
      <c r="L127" s="486"/>
      <c r="M127" s="485"/>
      <c r="N127" s="485"/>
      <c r="O127" s="485"/>
      <c r="P127" s="487"/>
      <c r="Q127" s="1281"/>
      <c r="R127" s="444"/>
      <c r="S127" s="485"/>
      <c r="T127" s="485"/>
      <c r="U127" s="485"/>
      <c r="V127" s="487"/>
      <c r="W127" s="4263"/>
      <c r="X127" s="1266"/>
      <c r="Y127" s="1266"/>
      <c r="Z127" s="1266"/>
      <c r="AA127" s="3186"/>
      <c r="AB127" s="135"/>
      <c r="AC127" s="135"/>
      <c r="AD127" s="135"/>
      <c r="AE127" s="135"/>
      <c r="AF127" s="135"/>
      <c r="AG127" s="135"/>
      <c r="AH127" s="3187"/>
    </row>
    <row r="128" spans="4:34" s="501" customFormat="1" ht="12.75" customHeight="1" thickBot="1">
      <c r="D128" s="299"/>
      <c r="E128" s="524"/>
      <c r="F128" s="1501" t="s">
        <v>611</v>
      </c>
      <c r="G128" s="1458">
        <f t="shared" ref="G128:P128" si="49">G126-G127</f>
        <v>0</v>
      </c>
      <c r="H128" s="387">
        <f t="shared" si="49"/>
        <v>0</v>
      </c>
      <c r="I128" s="387">
        <f t="shared" si="49"/>
        <v>0</v>
      </c>
      <c r="J128" s="387">
        <f t="shared" si="49"/>
        <v>0</v>
      </c>
      <c r="K128" s="528">
        <f t="shared" si="49"/>
        <v>0</v>
      </c>
      <c r="L128" s="1458">
        <f t="shared" si="49"/>
        <v>0</v>
      </c>
      <c r="M128" s="387">
        <f t="shared" si="49"/>
        <v>0</v>
      </c>
      <c r="N128" s="387">
        <f t="shared" si="49"/>
        <v>0</v>
      </c>
      <c r="O128" s="387">
        <f t="shared" si="49"/>
        <v>0</v>
      </c>
      <c r="P128" s="528">
        <f t="shared" si="49"/>
        <v>193354.6</v>
      </c>
      <c r="Q128" s="1283"/>
      <c r="R128" s="527">
        <f>R126-R127</f>
        <v>577249.24935239996</v>
      </c>
      <c r="S128" s="387">
        <f>S126-S127</f>
        <v>361922.09048520005</v>
      </c>
      <c r="T128" s="387">
        <f>T126-T127</f>
        <v>0</v>
      </c>
      <c r="U128" s="387">
        <f>U126-U127</f>
        <v>0</v>
      </c>
      <c r="V128" s="528">
        <f>V126-V127</f>
        <v>0</v>
      </c>
      <c r="W128" s="4264"/>
      <c r="X128" s="1266"/>
      <c r="Y128" s="1266"/>
      <c r="Z128" s="1266"/>
      <c r="AA128" s="3186"/>
      <c r="AB128" s="135"/>
      <c r="AC128" s="135"/>
      <c r="AD128" s="135"/>
      <c r="AE128" s="135"/>
      <c r="AF128" s="135"/>
      <c r="AG128" s="135"/>
      <c r="AH128" s="3187"/>
    </row>
    <row r="129" spans="4:34" s="501" customFormat="1" ht="12.75" customHeight="1">
      <c r="D129" s="299"/>
      <c r="E129" s="567" t="s">
        <v>1549</v>
      </c>
      <c r="F129" s="880" t="s">
        <v>619</v>
      </c>
      <c r="G129" s="1699"/>
      <c r="H129" s="1700"/>
      <c r="I129" s="1700"/>
      <c r="J129" s="1700"/>
      <c r="K129" s="1710"/>
      <c r="L129" s="564"/>
      <c r="M129" s="565"/>
      <c r="N129" s="565"/>
      <c r="O129" s="565"/>
      <c r="P129" s="566"/>
      <c r="Q129" s="1280"/>
      <c r="R129" s="565"/>
      <c r="S129" s="565"/>
      <c r="T129" s="565"/>
      <c r="U129" s="565"/>
      <c r="V129" s="566"/>
      <c r="W129" s="4262"/>
      <c r="X129" s="1266"/>
      <c r="Y129" s="1266"/>
      <c r="Z129" s="1266"/>
      <c r="AA129" s="3186"/>
      <c r="AB129" s="135"/>
      <c r="AC129" s="135"/>
      <c r="AD129" s="135"/>
      <c r="AE129" s="135"/>
      <c r="AF129" s="135"/>
      <c r="AG129" s="135"/>
      <c r="AH129" s="3187"/>
    </row>
    <row r="130" spans="4:34" s="501" customFormat="1" ht="12.75" customHeight="1">
      <c r="D130" s="299"/>
      <c r="E130" s="524"/>
      <c r="F130" s="542" t="s">
        <v>585</v>
      </c>
      <c r="G130" s="1701"/>
      <c r="H130" s="1702"/>
      <c r="I130" s="1702"/>
      <c r="J130" s="1702"/>
      <c r="K130" s="1711"/>
      <c r="L130" s="486"/>
      <c r="M130" s="485"/>
      <c r="N130" s="485"/>
      <c r="O130" s="485"/>
      <c r="P130" s="487"/>
      <c r="Q130" s="1281"/>
      <c r="R130" s="444"/>
      <c r="S130" s="485"/>
      <c r="T130" s="485"/>
      <c r="U130" s="485"/>
      <c r="V130" s="487"/>
      <c r="W130" s="4263"/>
      <c r="X130" s="1266"/>
      <c r="Y130" s="1266"/>
      <c r="Z130" s="1266"/>
      <c r="AA130" s="3186"/>
      <c r="AB130" s="135"/>
      <c r="AC130" s="135"/>
      <c r="AD130" s="135"/>
      <c r="AE130" s="135"/>
      <c r="AF130" s="135"/>
      <c r="AG130" s="135"/>
      <c r="AH130" s="3187"/>
    </row>
    <row r="131" spans="4:34" s="501" customFormat="1" ht="12.75" customHeight="1">
      <c r="D131" s="299"/>
      <c r="E131" s="524"/>
      <c r="F131" s="542" t="s">
        <v>584</v>
      </c>
      <c r="G131" s="1701"/>
      <c r="H131" s="1702"/>
      <c r="I131" s="1702"/>
      <c r="J131" s="1702"/>
      <c r="K131" s="1711"/>
      <c r="L131" s="486"/>
      <c r="M131" s="485"/>
      <c r="N131" s="485"/>
      <c r="O131" s="485"/>
      <c r="P131" s="487">
        <v>185728</v>
      </c>
      <c r="Q131" s="1281"/>
      <c r="R131" s="444">
        <v>186821.93792</v>
      </c>
      <c r="S131" s="485">
        <v>186706.78656000001</v>
      </c>
      <c r="T131" s="485">
        <v>187109.81631999998</v>
      </c>
      <c r="U131" s="485">
        <v>187743.1488</v>
      </c>
      <c r="V131" s="487">
        <v>167465.1336</v>
      </c>
      <c r="W131" s="4263"/>
      <c r="X131" s="1266"/>
      <c r="Y131" s="1266"/>
      <c r="Z131" s="1266"/>
      <c r="AA131" s="3186"/>
      <c r="AB131" s="135"/>
      <c r="AC131" s="135"/>
      <c r="AD131" s="135"/>
      <c r="AE131" s="135"/>
      <c r="AF131" s="135"/>
      <c r="AG131" s="135"/>
      <c r="AH131" s="3187"/>
    </row>
    <row r="132" spans="4:34" s="501" customFormat="1" ht="12.75" customHeight="1">
      <c r="D132" s="299"/>
      <c r="E132" s="524"/>
      <c r="F132" s="542" t="s">
        <v>604</v>
      </c>
      <c r="G132" s="1701"/>
      <c r="H132" s="1702"/>
      <c r="I132" s="1702"/>
      <c r="J132" s="1702"/>
      <c r="K132" s="1711"/>
      <c r="L132" s="486"/>
      <c r="M132" s="485"/>
      <c r="N132" s="485"/>
      <c r="O132" s="485"/>
      <c r="P132" s="487"/>
      <c r="Q132" s="1281"/>
      <c r="R132" s="444"/>
      <c r="S132" s="485"/>
      <c r="T132" s="485"/>
      <c r="U132" s="485"/>
      <c r="V132" s="487"/>
      <c r="W132" s="4263"/>
      <c r="X132" s="1266"/>
      <c r="Y132" s="1266"/>
      <c r="Z132" s="1266"/>
      <c r="AA132" s="3186"/>
      <c r="AB132" s="135"/>
      <c r="AC132" s="135"/>
      <c r="AD132" s="135"/>
      <c r="AE132" s="135"/>
      <c r="AF132" s="135"/>
      <c r="AG132" s="135"/>
      <c r="AH132" s="3187"/>
    </row>
    <row r="133" spans="4:34" s="501" customFormat="1" ht="12.75" customHeight="1">
      <c r="D133" s="299"/>
      <c r="E133" s="524"/>
      <c r="F133" s="543" t="s">
        <v>605</v>
      </c>
      <c r="G133" s="486"/>
      <c r="H133" s="485"/>
      <c r="I133" s="485"/>
      <c r="J133" s="485"/>
      <c r="K133" s="487"/>
      <c r="L133" s="384">
        <f>SUM(L130:L132)</f>
        <v>0</v>
      </c>
      <c r="M133" s="385">
        <f>SUM(M130:M132)</f>
        <v>0</v>
      </c>
      <c r="N133" s="385">
        <f>SUM(N130:N132)</f>
        <v>0</v>
      </c>
      <c r="O133" s="385">
        <f>SUM(O130:O132)</f>
        <v>0</v>
      </c>
      <c r="P133" s="477">
        <f>SUM(P130:P132)</f>
        <v>185728</v>
      </c>
      <c r="Q133" s="1282"/>
      <c r="R133" s="474">
        <f>SUM(R130:R132)</f>
        <v>186821.93792</v>
      </c>
      <c r="S133" s="385">
        <f>SUM(S130:S132)</f>
        <v>186706.78656000001</v>
      </c>
      <c r="T133" s="385">
        <f>SUM(T130:T132)</f>
        <v>187109.81631999998</v>
      </c>
      <c r="U133" s="385">
        <f>SUM(U130:U132)</f>
        <v>187743.1488</v>
      </c>
      <c r="V133" s="477">
        <f>SUM(V130:V132)</f>
        <v>167465.1336</v>
      </c>
      <c r="W133" s="4263"/>
      <c r="X133" s="1266"/>
      <c r="Y133" s="1266"/>
      <c r="Z133" s="1266"/>
      <c r="AA133" s="3186"/>
      <c r="AB133" s="135"/>
      <c r="AC133" s="135"/>
      <c r="AD133" s="135"/>
      <c r="AE133" s="135"/>
      <c r="AF133" s="135"/>
      <c r="AG133" s="135"/>
      <c r="AH133" s="3187"/>
    </row>
    <row r="134" spans="4:34" s="501" customFormat="1" ht="12.75" customHeight="1">
      <c r="D134" s="299"/>
      <c r="E134" s="524"/>
      <c r="F134" s="542" t="s">
        <v>609</v>
      </c>
      <c r="G134" s="486"/>
      <c r="H134" s="485"/>
      <c r="I134" s="485"/>
      <c r="J134" s="485"/>
      <c r="K134" s="487"/>
      <c r="L134" s="536">
        <v>0</v>
      </c>
      <c r="M134" s="537">
        <v>0</v>
      </c>
      <c r="N134" s="537">
        <v>0</v>
      </c>
      <c r="O134" s="537">
        <f>O133*0.06</f>
        <v>0</v>
      </c>
      <c r="P134" s="491">
        <f>P133*0.06</f>
        <v>11143.68</v>
      </c>
      <c r="Q134" s="1281"/>
      <c r="R134" s="444">
        <f>R133*0.06</f>
        <v>11209.316275199999</v>
      </c>
      <c r="S134" s="485">
        <f>S133*0.06</f>
        <v>11202.4071936</v>
      </c>
      <c r="T134" s="485">
        <f>T133*0.06</f>
        <v>11226.588979199998</v>
      </c>
      <c r="U134" s="485">
        <f>U133*0.06</f>
        <v>11264.588927999999</v>
      </c>
      <c r="V134" s="487">
        <f>V133*0.06</f>
        <v>10047.908015999999</v>
      </c>
      <c r="W134" s="4263"/>
      <c r="X134" s="1266"/>
      <c r="Y134" s="1266"/>
      <c r="Z134" s="1266"/>
      <c r="AA134" s="3186"/>
      <c r="AB134" s="135"/>
      <c r="AC134" s="135"/>
      <c r="AD134" s="135"/>
      <c r="AE134" s="135"/>
      <c r="AF134" s="135"/>
      <c r="AG134" s="135"/>
      <c r="AH134" s="3187"/>
    </row>
    <row r="135" spans="4:34" s="501" customFormat="1" ht="12.75" customHeight="1">
      <c r="D135" s="299"/>
      <c r="E135" s="524"/>
      <c r="F135" s="542" t="s">
        <v>607</v>
      </c>
      <c r="G135" s="486"/>
      <c r="H135" s="485"/>
      <c r="I135" s="485"/>
      <c r="J135" s="485"/>
      <c r="K135" s="487"/>
      <c r="L135" s="489">
        <v>0</v>
      </c>
      <c r="M135" s="490">
        <v>0</v>
      </c>
      <c r="N135" s="490">
        <v>0</v>
      </c>
      <c r="O135" s="490">
        <v>0</v>
      </c>
      <c r="P135" s="491">
        <v>0</v>
      </c>
      <c r="Q135" s="1281"/>
      <c r="R135" s="444"/>
      <c r="S135" s="485"/>
      <c r="T135" s="485"/>
      <c r="U135" s="485"/>
      <c r="V135" s="487"/>
      <c r="W135" s="4263"/>
      <c r="X135" s="1266"/>
      <c r="Y135" s="1266"/>
      <c r="Z135" s="1266"/>
      <c r="AA135" s="3186"/>
      <c r="AB135" s="135"/>
      <c r="AC135" s="135"/>
      <c r="AD135" s="135"/>
      <c r="AE135" s="135"/>
      <c r="AF135" s="135"/>
      <c r="AG135" s="135"/>
      <c r="AH135" s="3187"/>
    </row>
    <row r="136" spans="4:34" s="501" customFormat="1" ht="12.75" customHeight="1">
      <c r="D136" s="299"/>
      <c r="E136" s="524"/>
      <c r="F136" s="543" t="s">
        <v>610</v>
      </c>
      <c r="G136" s="384">
        <f t="shared" ref="G136:N136" si="50">SUM(G134:G135)</f>
        <v>0</v>
      </c>
      <c r="H136" s="385">
        <f t="shared" si="50"/>
        <v>0</v>
      </c>
      <c r="I136" s="385">
        <f t="shared" si="50"/>
        <v>0</v>
      </c>
      <c r="J136" s="385">
        <f t="shared" si="50"/>
        <v>0</v>
      </c>
      <c r="K136" s="477">
        <f t="shared" si="50"/>
        <v>0</v>
      </c>
      <c r="L136" s="384">
        <f t="shared" si="50"/>
        <v>0</v>
      </c>
      <c r="M136" s="385">
        <f t="shared" si="50"/>
        <v>0</v>
      </c>
      <c r="N136" s="385">
        <f t="shared" si="50"/>
        <v>0</v>
      </c>
      <c r="O136" s="385">
        <f>SUM(O133:O135)</f>
        <v>0</v>
      </c>
      <c r="P136" s="477">
        <f>SUM(P133:P135)</f>
        <v>196871.67999999999</v>
      </c>
      <c r="Q136" s="1282"/>
      <c r="R136" s="385">
        <f>SUM(R133:R135)</f>
        <v>198031.25419519999</v>
      </c>
      <c r="S136" s="385">
        <f>SUM(S133:S135)</f>
        <v>197909.1937536</v>
      </c>
      <c r="T136" s="385">
        <f>SUM(T133:T135)</f>
        <v>198336.40529919998</v>
      </c>
      <c r="U136" s="385">
        <f>SUM(U133:U135)</f>
        <v>199007.73772800001</v>
      </c>
      <c r="V136" s="385">
        <f>SUM(V133:V135)</f>
        <v>177513.041616</v>
      </c>
      <c r="W136" s="4263"/>
      <c r="X136" s="1266"/>
      <c r="Y136" s="1266"/>
      <c r="Z136" s="1266"/>
      <c r="AA136" s="3186"/>
      <c r="AB136" s="135"/>
      <c r="AC136" s="135"/>
      <c r="AD136" s="135"/>
      <c r="AE136" s="135"/>
      <c r="AF136" s="135"/>
      <c r="AG136" s="135"/>
      <c r="AH136" s="3187"/>
    </row>
    <row r="137" spans="4:34" s="501" customFormat="1" ht="12.75" customHeight="1">
      <c r="D137" s="299"/>
      <c r="E137" s="524"/>
      <c r="F137" s="542" t="s">
        <v>35</v>
      </c>
      <c r="G137" s="486"/>
      <c r="H137" s="485"/>
      <c r="I137" s="485"/>
      <c r="J137" s="485"/>
      <c r="K137" s="487"/>
      <c r="L137" s="486"/>
      <c r="M137" s="485"/>
      <c r="N137" s="485"/>
      <c r="O137" s="485"/>
      <c r="P137" s="487"/>
      <c r="Q137" s="1281"/>
      <c r="R137" s="444"/>
      <c r="S137" s="485"/>
      <c r="T137" s="485"/>
      <c r="U137" s="485"/>
      <c r="V137" s="487"/>
      <c r="W137" s="4263"/>
      <c r="X137" s="1266"/>
      <c r="Y137" s="1266"/>
      <c r="Z137" s="1266"/>
      <c r="AA137" s="3186"/>
      <c r="AB137" s="135"/>
      <c r="AC137" s="135"/>
      <c r="AD137" s="135"/>
      <c r="AE137" s="135"/>
      <c r="AF137" s="135"/>
      <c r="AG137" s="135"/>
      <c r="AH137" s="3187"/>
    </row>
    <row r="138" spans="4:34" s="501" customFormat="1" ht="12.75" customHeight="1" thickBot="1">
      <c r="D138" s="299"/>
      <c r="E138" s="524"/>
      <c r="F138" s="1501" t="s">
        <v>611</v>
      </c>
      <c r="G138" s="1458">
        <f t="shared" ref="G138:P138" si="51">G136-G137</f>
        <v>0</v>
      </c>
      <c r="H138" s="387">
        <f t="shared" si="51"/>
        <v>0</v>
      </c>
      <c r="I138" s="387">
        <f t="shared" si="51"/>
        <v>0</v>
      </c>
      <c r="J138" s="387">
        <f t="shared" si="51"/>
        <v>0</v>
      </c>
      <c r="K138" s="528">
        <f t="shared" si="51"/>
        <v>0</v>
      </c>
      <c r="L138" s="1458">
        <f t="shared" si="51"/>
        <v>0</v>
      </c>
      <c r="M138" s="387">
        <f t="shared" si="51"/>
        <v>0</v>
      </c>
      <c r="N138" s="387">
        <f t="shared" si="51"/>
        <v>0</v>
      </c>
      <c r="O138" s="387">
        <f t="shared" si="51"/>
        <v>0</v>
      </c>
      <c r="P138" s="528">
        <f t="shared" si="51"/>
        <v>196871.67999999999</v>
      </c>
      <c r="Q138" s="1283"/>
      <c r="R138" s="527">
        <f>R136-R137</f>
        <v>198031.25419519999</v>
      </c>
      <c r="S138" s="387">
        <f>S136-S137</f>
        <v>197909.1937536</v>
      </c>
      <c r="T138" s="387">
        <f>T136-T137</f>
        <v>198336.40529919998</v>
      </c>
      <c r="U138" s="387">
        <f>U136-U137</f>
        <v>199007.73772800001</v>
      </c>
      <c r="V138" s="528">
        <f>V136-V137</f>
        <v>177513.041616</v>
      </c>
      <c r="W138" s="4264"/>
      <c r="X138" s="1266"/>
      <c r="Y138" s="1266"/>
      <c r="Z138" s="1266"/>
      <c r="AA138" s="3186"/>
      <c r="AB138" s="135"/>
      <c r="AC138" s="135"/>
      <c r="AD138" s="135"/>
      <c r="AE138" s="135"/>
      <c r="AF138" s="135"/>
      <c r="AG138" s="135"/>
      <c r="AH138" s="3187"/>
    </row>
    <row r="139" spans="4:34" s="501" customFormat="1" ht="12.75" customHeight="1">
      <c r="D139" s="299"/>
      <c r="E139" s="567" t="s">
        <v>1550</v>
      </c>
      <c r="F139" s="880" t="s">
        <v>619</v>
      </c>
      <c r="G139" s="1699"/>
      <c r="H139" s="1700"/>
      <c r="I139" s="1700"/>
      <c r="J139" s="1700"/>
      <c r="K139" s="1710"/>
      <c r="L139" s="564"/>
      <c r="M139" s="565"/>
      <c r="N139" s="565"/>
      <c r="O139" s="565"/>
      <c r="P139" s="566"/>
      <c r="Q139" s="1280"/>
      <c r="R139" s="565"/>
      <c r="S139" s="565"/>
      <c r="T139" s="565"/>
      <c r="U139" s="565"/>
      <c r="V139" s="566"/>
      <c r="W139" s="4262"/>
      <c r="X139" s="1266"/>
      <c r="Y139" s="1266"/>
      <c r="Z139" s="1266"/>
      <c r="AA139" s="3186"/>
      <c r="AB139" s="135"/>
      <c r="AC139" s="135"/>
      <c r="AD139" s="135"/>
      <c r="AE139" s="135"/>
      <c r="AF139" s="135"/>
      <c r="AG139" s="135"/>
      <c r="AH139" s="3187"/>
    </row>
    <row r="140" spans="4:34" s="501" customFormat="1" ht="12.75" customHeight="1">
      <c r="D140" s="299"/>
      <c r="E140" s="524"/>
      <c r="F140" s="542" t="s">
        <v>585</v>
      </c>
      <c r="G140" s="1701"/>
      <c r="H140" s="1702"/>
      <c r="I140" s="1702"/>
      <c r="J140" s="1702"/>
      <c r="K140" s="1711"/>
      <c r="L140" s="486"/>
      <c r="M140" s="485"/>
      <c r="N140" s="485"/>
      <c r="O140" s="485"/>
      <c r="P140" s="487"/>
      <c r="Q140" s="1281"/>
      <c r="R140" s="444"/>
      <c r="S140" s="485"/>
      <c r="T140" s="485"/>
      <c r="U140" s="485"/>
      <c r="V140" s="487"/>
      <c r="W140" s="4263"/>
      <c r="X140" s="1266"/>
      <c r="Y140" s="1266"/>
      <c r="Z140" s="1266"/>
      <c r="AA140" s="3186"/>
      <c r="AB140" s="135"/>
      <c r="AC140" s="135"/>
      <c r="AD140" s="135"/>
      <c r="AE140" s="135"/>
      <c r="AF140" s="135"/>
      <c r="AG140" s="135"/>
      <c r="AH140" s="3187"/>
    </row>
    <row r="141" spans="4:34" s="501" customFormat="1" ht="12.75" customHeight="1">
      <c r="D141" s="299"/>
      <c r="E141" s="524"/>
      <c r="F141" s="542" t="s">
        <v>584</v>
      </c>
      <c r="G141" s="1701"/>
      <c r="H141" s="1702"/>
      <c r="I141" s="1702"/>
      <c r="J141" s="1702"/>
      <c r="K141" s="1711"/>
      <c r="L141" s="486"/>
      <c r="M141" s="485"/>
      <c r="N141" s="485"/>
      <c r="O141" s="485"/>
      <c r="P141" s="487">
        <v>52170</v>
      </c>
      <c r="Q141" s="1281"/>
      <c r="R141" s="444">
        <v>52477.281299999995</v>
      </c>
      <c r="S141" s="485">
        <v>52444.935900000004</v>
      </c>
      <c r="T141" s="485">
        <v>52558.144799999995</v>
      </c>
      <c r="U141" s="485">
        <v>35157.362999999998</v>
      </c>
      <c r="V141" s="487">
        <v>35211.271999999997</v>
      </c>
      <c r="W141" s="4263"/>
      <c r="X141" s="1266"/>
      <c r="Y141" s="1266"/>
      <c r="Z141" s="1266"/>
      <c r="AA141" s="3186"/>
      <c r="AB141" s="135"/>
      <c r="AC141" s="135"/>
      <c r="AD141" s="135"/>
      <c r="AE141" s="135"/>
      <c r="AF141" s="135"/>
      <c r="AG141" s="135"/>
      <c r="AH141" s="3187"/>
    </row>
    <row r="142" spans="4:34" s="501" customFormat="1" ht="12.75" customHeight="1">
      <c r="D142" s="299"/>
      <c r="E142" s="524"/>
      <c r="F142" s="542" t="s">
        <v>604</v>
      </c>
      <c r="G142" s="1701"/>
      <c r="H142" s="1702"/>
      <c r="I142" s="1702"/>
      <c r="J142" s="1702"/>
      <c r="K142" s="1711"/>
      <c r="L142" s="486"/>
      <c r="M142" s="485"/>
      <c r="N142" s="485"/>
      <c r="O142" s="485"/>
      <c r="P142" s="487"/>
      <c r="Q142" s="1281"/>
      <c r="R142" s="444"/>
      <c r="S142" s="485"/>
      <c r="T142" s="485"/>
      <c r="U142" s="485"/>
      <c r="V142" s="487"/>
      <c r="W142" s="4263"/>
      <c r="X142" s="1266"/>
      <c r="Y142" s="1266"/>
      <c r="Z142" s="1266"/>
      <c r="AA142" s="3186"/>
      <c r="AB142" s="135"/>
      <c r="AC142" s="135"/>
      <c r="AD142" s="135"/>
      <c r="AE142" s="135"/>
      <c r="AF142" s="135"/>
      <c r="AG142" s="135"/>
      <c r="AH142" s="3187"/>
    </row>
    <row r="143" spans="4:34" s="501" customFormat="1" ht="12.75" customHeight="1">
      <c r="D143" s="299"/>
      <c r="E143" s="524"/>
      <c r="F143" s="543" t="s">
        <v>605</v>
      </c>
      <c r="G143" s="486"/>
      <c r="H143" s="485"/>
      <c r="I143" s="485"/>
      <c r="J143" s="485"/>
      <c r="K143" s="487"/>
      <c r="L143" s="384">
        <f>SUM(L140:L142)</f>
        <v>0</v>
      </c>
      <c r="M143" s="385">
        <f>SUM(M140:M142)</f>
        <v>0</v>
      </c>
      <c r="N143" s="385">
        <f>SUM(N140:N142)</f>
        <v>0</v>
      </c>
      <c r="O143" s="385">
        <f>SUM(O140:O142)</f>
        <v>0</v>
      </c>
      <c r="P143" s="477">
        <f>SUM(P140:P142)</f>
        <v>52170</v>
      </c>
      <c r="Q143" s="1282"/>
      <c r="R143" s="474">
        <f>SUM(R140:R142)</f>
        <v>52477.281299999995</v>
      </c>
      <c r="S143" s="385">
        <f>SUM(S140:S142)</f>
        <v>52444.935900000004</v>
      </c>
      <c r="T143" s="385">
        <f>SUM(T140:T142)</f>
        <v>52558.144799999995</v>
      </c>
      <c r="U143" s="385">
        <f>SUM(U140:U142)</f>
        <v>35157.362999999998</v>
      </c>
      <c r="V143" s="477">
        <f>SUM(V140:V142)</f>
        <v>35211.271999999997</v>
      </c>
      <c r="W143" s="4263"/>
      <c r="X143" s="1266"/>
      <c r="Y143" s="1266"/>
      <c r="Z143" s="1266"/>
      <c r="AA143" s="3186"/>
      <c r="AB143" s="135"/>
      <c r="AC143" s="135"/>
      <c r="AD143" s="135"/>
      <c r="AE143" s="135"/>
      <c r="AF143" s="135"/>
      <c r="AG143" s="135"/>
      <c r="AH143" s="3187"/>
    </row>
    <row r="144" spans="4:34" s="501" customFormat="1" ht="12.75" customHeight="1">
      <c r="D144" s="299"/>
      <c r="E144" s="524"/>
      <c r="F144" s="542" t="s">
        <v>609</v>
      </c>
      <c r="G144" s="486"/>
      <c r="H144" s="485"/>
      <c r="I144" s="485"/>
      <c r="J144" s="485"/>
      <c r="K144" s="487"/>
      <c r="L144" s="536">
        <v>0</v>
      </c>
      <c r="M144" s="537">
        <v>0</v>
      </c>
      <c r="N144" s="537">
        <v>0</v>
      </c>
      <c r="O144" s="537">
        <f>O143*0.06</f>
        <v>0</v>
      </c>
      <c r="P144" s="491">
        <f>P143*0.06</f>
        <v>3130.2</v>
      </c>
      <c r="Q144" s="1281"/>
      <c r="R144" s="444">
        <f>R143*0.06</f>
        <v>3148.6368779999998</v>
      </c>
      <c r="S144" s="485">
        <f>S143*0.06</f>
        <v>3146.6961540000002</v>
      </c>
      <c r="T144" s="485">
        <f>T143*0.06</f>
        <v>3153.4886879999995</v>
      </c>
      <c r="U144" s="485">
        <f>U143*0.06</f>
        <v>2109.4417799999997</v>
      </c>
      <c r="V144" s="487">
        <f>V143*0.06</f>
        <v>2112.6763199999996</v>
      </c>
      <c r="W144" s="4263"/>
      <c r="X144" s="1266"/>
      <c r="Y144" s="1266"/>
      <c r="Z144" s="1266"/>
      <c r="AA144" s="3186"/>
      <c r="AB144" s="135"/>
      <c r="AC144" s="135"/>
      <c r="AD144" s="135"/>
      <c r="AE144" s="135"/>
      <c r="AF144" s="135"/>
      <c r="AG144" s="135"/>
      <c r="AH144" s="3187"/>
    </row>
    <row r="145" spans="4:34" s="501" customFormat="1" ht="12.75" customHeight="1">
      <c r="D145" s="299"/>
      <c r="E145" s="524"/>
      <c r="F145" s="542" t="s">
        <v>607</v>
      </c>
      <c r="G145" s="486"/>
      <c r="H145" s="485"/>
      <c r="I145" s="485"/>
      <c r="J145" s="485"/>
      <c r="K145" s="487"/>
      <c r="L145" s="489">
        <v>0</v>
      </c>
      <c r="M145" s="490">
        <v>0</v>
      </c>
      <c r="N145" s="490">
        <v>0</v>
      </c>
      <c r="O145" s="490">
        <v>0</v>
      </c>
      <c r="P145" s="491">
        <v>0</v>
      </c>
      <c r="Q145" s="1281"/>
      <c r="R145" s="444"/>
      <c r="S145" s="485"/>
      <c r="T145" s="485"/>
      <c r="U145" s="485"/>
      <c r="V145" s="487"/>
      <c r="W145" s="4263"/>
      <c r="X145" s="1266"/>
      <c r="Y145" s="1266"/>
      <c r="Z145" s="1266"/>
      <c r="AA145" s="3186"/>
      <c r="AB145" s="135"/>
      <c r="AC145" s="135"/>
      <c r="AD145" s="135"/>
      <c r="AE145" s="135"/>
      <c r="AF145" s="135"/>
      <c r="AG145" s="135"/>
      <c r="AH145" s="3187"/>
    </row>
    <row r="146" spans="4:34" s="501" customFormat="1" ht="12.75" customHeight="1">
      <c r="D146" s="299"/>
      <c r="E146" s="524"/>
      <c r="F146" s="543" t="s">
        <v>610</v>
      </c>
      <c r="G146" s="384">
        <f t="shared" ref="G146:N146" si="52">SUM(G144:G145)</f>
        <v>0</v>
      </c>
      <c r="H146" s="385">
        <f t="shared" si="52"/>
        <v>0</v>
      </c>
      <c r="I146" s="385">
        <f t="shared" si="52"/>
        <v>0</v>
      </c>
      <c r="J146" s="385">
        <f t="shared" si="52"/>
        <v>0</v>
      </c>
      <c r="K146" s="477">
        <f t="shared" si="52"/>
        <v>0</v>
      </c>
      <c r="L146" s="384">
        <f t="shared" si="52"/>
        <v>0</v>
      </c>
      <c r="M146" s="385">
        <f t="shared" si="52"/>
        <v>0</v>
      </c>
      <c r="N146" s="385">
        <f t="shared" si="52"/>
        <v>0</v>
      </c>
      <c r="O146" s="385">
        <f>SUM(O143:O145)</f>
        <v>0</v>
      </c>
      <c r="P146" s="477">
        <f>SUM(P143:P145)</f>
        <v>55300.2</v>
      </c>
      <c r="Q146" s="1282"/>
      <c r="R146" s="385">
        <f>SUM(R143:R145)</f>
        <v>55625.918177999993</v>
      </c>
      <c r="S146" s="385">
        <f>SUM(S143:S145)</f>
        <v>55591.632054000002</v>
      </c>
      <c r="T146" s="385">
        <f>SUM(T143:T145)</f>
        <v>55711.633487999992</v>
      </c>
      <c r="U146" s="385">
        <f>SUM(U143:U145)</f>
        <v>37266.804779999999</v>
      </c>
      <c r="V146" s="385">
        <f>SUM(V143:V145)</f>
        <v>37323.948319999996</v>
      </c>
      <c r="W146" s="4263"/>
      <c r="X146" s="1266"/>
      <c r="Y146" s="1266"/>
      <c r="Z146" s="1266"/>
      <c r="AA146" s="3186"/>
      <c r="AB146" s="135"/>
      <c r="AC146" s="135"/>
      <c r="AD146" s="135"/>
      <c r="AE146" s="135"/>
      <c r="AF146" s="135"/>
      <c r="AG146" s="135"/>
      <c r="AH146" s="3187"/>
    </row>
    <row r="147" spans="4:34" s="501" customFormat="1" ht="12.75" customHeight="1">
      <c r="D147" s="299"/>
      <c r="E147" s="524"/>
      <c r="F147" s="542" t="s">
        <v>35</v>
      </c>
      <c r="G147" s="486"/>
      <c r="H147" s="485"/>
      <c r="I147" s="485"/>
      <c r="J147" s="485"/>
      <c r="K147" s="487"/>
      <c r="L147" s="486"/>
      <c r="M147" s="485"/>
      <c r="N147" s="485"/>
      <c r="O147" s="485"/>
      <c r="P147" s="487"/>
      <c r="Q147" s="1281"/>
      <c r="R147" s="444"/>
      <c r="S147" s="485"/>
      <c r="T147" s="485"/>
      <c r="U147" s="485"/>
      <c r="V147" s="487"/>
      <c r="W147" s="4263"/>
      <c r="X147" s="1266"/>
      <c r="Y147" s="1266"/>
      <c r="Z147" s="1266"/>
      <c r="AA147" s="3186"/>
      <c r="AB147" s="135"/>
      <c r="AC147" s="135"/>
      <c r="AD147" s="135"/>
      <c r="AE147" s="135"/>
      <c r="AF147" s="135"/>
      <c r="AG147" s="135"/>
      <c r="AH147" s="3187"/>
    </row>
    <row r="148" spans="4:34" s="501" customFormat="1" ht="12.75" customHeight="1" thickBot="1">
      <c r="D148" s="299"/>
      <c r="E148" s="524"/>
      <c r="F148" s="1501" t="s">
        <v>611</v>
      </c>
      <c r="G148" s="1458">
        <f t="shared" ref="G148:P148" si="53">G146-G147</f>
        <v>0</v>
      </c>
      <c r="H148" s="387">
        <f t="shared" si="53"/>
        <v>0</v>
      </c>
      <c r="I148" s="387">
        <f t="shared" si="53"/>
        <v>0</v>
      </c>
      <c r="J148" s="387">
        <f t="shared" si="53"/>
        <v>0</v>
      </c>
      <c r="K148" s="528">
        <f t="shared" si="53"/>
        <v>0</v>
      </c>
      <c r="L148" s="1458">
        <f t="shared" si="53"/>
        <v>0</v>
      </c>
      <c r="M148" s="387">
        <f t="shared" si="53"/>
        <v>0</v>
      </c>
      <c r="N148" s="387">
        <f t="shared" si="53"/>
        <v>0</v>
      </c>
      <c r="O148" s="387">
        <f t="shared" si="53"/>
        <v>0</v>
      </c>
      <c r="P148" s="528">
        <f t="shared" si="53"/>
        <v>55300.2</v>
      </c>
      <c r="Q148" s="1283"/>
      <c r="R148" s="527">
        <f>R146-R147</f>
        <v>55625.918177999993</v>
      </c>
      <c r="S148" s="387">
        <f>S146-S147</f>
        <v>55591.632054000002</v>
      </c>
      <c r="T148" s="387">
        <f>T146-T147</f>
        <v>55711.633487999992</v>
      </c>
      <c r="U148" s="387">
        <f>U146-U147</f>
        <v>37266.804779999999</v>
      </c>
      <c r="V148" s="528">
        <f>V146-V147</f>
        <v>37323.948319999996</v>
      </c>
      <c r="W148" s="4264"/>
      <c r="X148" s="1266"/>
      <c r="Y148" s="1266"/>
      <c r="Z148" s="1266"/>
      <c r="AA148" s="3186"/>
      <c r="AB148" s="135"/>
      <c r="AC148" s="135"/>
      <c r="AD148" s="135"/>
      <c r="AE148" s="135"/>
      <c r="AF148" s="135"/>
      <c r="AG148" s="135"/>
      <c r="AH148" s="3187"/>
    </row>
    <row r="149" spans="4:34" s="501" customFormat="1" ht="12.75" customHeight="1">
      <c r="D149" s="299"/>
      <c r="E149" s="567" t="s">
        <v>1551</v>
      </c>
      <c r="F149" s="880" t="s">
        <v>619</v>
      </c>
      <c r="G149" s="1699"/>
      <c r="H149" s="1700"/>
      <c r="I149" s="1700"/>
      <c r="J149" s="1700"/>
      <c r="K149" s="1710"/>
      <c r="L149" s="564"/>
      <c r="M149" s="565"/>
      <c r="N149" s="565"/>
      <c r="O149" s="565"/>
      <c r="P149" s="566"/>
      <c r="Q149" s="1280"/>
      <c r="R149" s="565"/>
      <c r="S149" s="565"/>
      <c r="T149" s="565"/>
      <c r="U149" s="565"/>
      <c r="V149" s="566"/>
      <c r="W149" s="4262"/>
      <c r="X149" s="1266"/>
      <c r="Y149" s="1266"/>
      <c r="Z149" s="1266"/>
      <c r="AA149" s="3186"/>
      <c r="AB149" s="135"/>
      <c r="AC149" s="135"/>
      <c r="AD149" s="135"/>
      <c r="AE149" s="135"/>
      <c r="AF149" s="135"/>
      <c r="AG149" s="135"/>
      <c r="AH149" s="3187"/>
    </row>
    <row r="150" spans="4:34" s="501" customFormat="1" ht="12.75" customHeight="1">
      <c r="D150" s="299"/>
      <c r="E150" s="524"/>
      <c r="F150" s="542" t="s">
        <v>585</v>
      </c>
      <c r="G150" s="1701"/>
      <c r="H150" s="1702"/>
      <c r="I150" s="1702"/>
      <c r="J150" s="1702"/>
      <c r="K150" s="1711"/>
      <c r="L150" s="486"/>
      <c r="M150" s="485"/>
      <c r="N150" s="485"/>
      <c r="O150" s="485"/>
      <c r="P150" s="487"/>
      <c r="Q150" s="1281"/>
      <c r="R150" s="444"/>
      <c r="S150" s="485"/>
      <c r="T150" s="485"/>
      <c r="U150" s="485"/>
      <c r="V150" s="487"/>
      <c r="W150" s="4263"/>
      <c r="X150" s="1266"/>
      <c r="Y150" s="1266"/>
      <c r="Z150" s="1266"/>
      <c r="AA150" s="3186"/>
      <c r="AB150" s="135"/>
      <c r="AC150" s="135"/>
      <c r="AD150" s="135"/>
      <c r="AE150" s="135"/>
      <c r="AF150" s="135"/>
      <c r="AG150" s="135"/>
      <c r="AH150" s="3187"/>
    </row>
    <row r="151" spans="4:34" s="501" customFormat="1" ht="12.75" customHeight="1">
      <c r="D151" s="299"/>
      <c r="E151" s="524"/>
      <c r="F151" s="542" t="s">
        <v>584</v>
      </c>
      <c r="G151" s="1701"/>
      <c r="H151" s="1702"/>
      <c r="I151" s="1702"/>
      <c r="J151" s="1702"/>
      <c r="K151" s="1711"/>
      <c r="L151" s="486"/>
      <c r="M151" s="485"/>
      <c r="N151" s="485"/>
      <c r="O151" s="485"/>
      <c r="P151" s="487">
        <v>21728</v>
      </c>
      <c r="Q151" s="1281"/>
      <c r="R151" s="444">
        <v>21855.977919999998</v>
      </c>
      <c r="S151" s="485">
        <v>21842.506560000002</v>
      </c>
      <c r="T151" s="485">
        <v>21889.656319999998</v>
      </c>
      <c r="U151" s="485">
        <v>0</v>
      </c>
      <c r="V151" s="487">
        <v>0</v>
      </c>
      <c r="W151" s="4263"/>
      <c r="X151" s="1266"/>
      <c r="Y151" s="1266"/>
      <c r="Z151" s="1266"/>
      <c r="AA151" s="3186"/>
      <c r="AB151" s="135"/>
      <c r="AC151" s="135"/>
      <c r="AD151" s="135"/>
      <c r="AE151" s="135"/>
      <c r="AF151" s="135"/>
      <c r="AG151" s="135"/>
      <c r="AH151" s="3187"/>
    </row>
    <row r="152" spans="4:34" s="501" customFormat="1" ht="12.75" customHeight="1">
      <c r="D152" s="299"/>
      <c r="E152" s="524"/>
      <c r="F152" s="542" t="s">
        <v>604</v>
      </c>
      <c r="G152" s="1701"/>
      <c r="H152" s="1702"/>
      <c r="I152" s="1702"/>
      <c r="J152" s="1702"/>
      <c r="K152" s="1711"/>
      <c r="L152" s="486"/>
      <c r="M152" s="485"/>
      <c r="N152" s="485"/>
      <c r="O152" s="485"/>
      <c r="P152" s="487"/>
      <c r="Q152" s="1281"/>
      <c r="R152" s="444"/>
      <c r="S152" s="485"/>
      <c r="T152" s="485"/>
      <c r="U152" s="485"/>
      <c r="V152" s="487"/>
      <c r="W152" s="4263"/>
      <c r="X152" s="1266"/>
      <c r="Y152" s="1266"/>
      <c r="Z152" s="1266"/>
      <c r="AA152" s="3186"/>
      <c r="AB152" s="135"/>
      <c r="AC152" s="135"/>
      <c r="AD152" s="135"/>
      <c r="AE152" s="135"/>
      <c r="AF152" s="135"/>
      <c r="AG152" s="135"/>
      <c r="AH152" s="3187"/>
    </row>
    <row r="153" spans="4:34" s="501" customFormat="1" ht="12.75" customHeight="1">
      <c r="D153" s="299"/>
      <c r="E153" s="524"/>
      <c r="F153" s="543" t="s">
        <v>605</v>
      </c>
      <c r="G153" s="486"/>
      <c r="H153" s="485"/>
      <c r="I153" s="485"/>
      <c r="J153" s="485"/>
      <c r="K153" s="487"/>
      <c r="L153" s="384">
        <f>SUM(L150:L152)</f>
        <v>0</v>
      </c>
      <c r="M153" s="385">
        <f>SUM(M150:M152)</f>
        <v>0</v>
      </c>
      <c r="N153" s="385">
        <f>SUM(N150:N152)</f>
        <v>0</v>
      </c>
      <c r="O153" s="385">
        <f>SUM(O150:O152)</f>
        <v>0</v>
      </c>
      <c r="P153" s="477">
        <f>SUM(P150:P152)</f>
        <v>21728</v>
      </c>
      <c r="Q153" s="1282"/>
      <c r="R153" s="474">
        <f>SUM(R150:R152)</f>
        <v>21855.977919999998</v>
      </c>
      <c r="S153" s="385">
        <f>SUM(S150:S152)</f>
        <v>21842.506560000002</v>
      </c>
      <c r="T153" s="385">
        <f>SUM(T150:T152)</f>
        <v>21889.656319999998</v>
      </c>
      <c r="U153" s="385">
        <f>SUM(U150:U152)</f>
        <v>0</v>
      </c>
      <c r="V153" s="477">
        <f>SUM(V150:V152)</f>
        <v>0</v>
      </c>
      <c r="W153" s="4263"/>
      <c r="X153" s="1266"/>
      <c r="Y153" s="1266"/>
      <c r="Z153" s="1266"/>
      <c r="AA153" s="3186"/>
      <c r="AB153" s="135"/>
      <c r="AC153" s="135"/>
      <c r="AD153" s="135"/>
      <c r="AE153" s="135"/>
      <c r="AF153" s="135"/>
      <c r="AG153" s="135"/>
      <c r="AH153" s="3187"/>
    </row>
    <row r="154" spans="4:34" s="501" customFormat="1" ht="12.75" customHeight="1">
      <c r="D154" s="299"/>
      <c r="E154" s="524"/>
      <c r="F154" s="542" t="s">
        <v>609</v>
      </c>
      <c r="G154" s="486"/>
      <c r="H154" s="485"/>
      <c r="I154" s="485"/>
      <c r="J154" s="485"/>
      <c r="K154" s="487"/>
      <c r="L154" s="536">
        <v>0</v>
      </c>
      <c r="M154" s="537">
        <v>0</v>
      </c>
      <c r="N154" s="537">
        <v>0</v>
      </c>
      <c r="O154" s="537">
        <f>O153*0.06</f>
        <v>0</v>
      </c>
      <c r="P154" s="491">
        <f>P153*0.06</f>
        <v>1303.68</v>
      </c>
      <c r="Q154" s="1281"/>
      <c r="R154" s="444">
        <f>R153*0.06</f>
        <v>1311.3586751999999</v>
      </c>
      <c r="S154" s="485">
        <f>S153*0.06</f>
        <v>1310.5503936</v>
      </c>
      <c r="T154" s="485">
        <f>T153*0.06</f>
        <v>1313.3793791999999</v>
      </c>
      <c r="U154" s="485">
        <f>U153*0.06</f>
        <v>0</v>
      </c>
      <c r="V154" s="487">
        <f>V153*0.06</f>
        <v>0</v>
      </c>
      <c r="W154" s="4263"/>
      <c r="X154" s="1266"/>
      <c r="Y154" s="1266"/>
      <c r="Z154" s="1266"/>
      <c r="AA154" s="3186"/>
      <c r="AB154" s="135"/>
      <c r="AC154" s="135"/>
      <c r="AD154" s="135"/>
      <c r="AE154" s="135"/>
      <c r="AF154" s="135"/>
      <c r="AG154" s="135"/>
      <c r="AH154" s="3187"/>
    </row>
    <row r="155" spans="4:34" s="501" customFormat="1" ht="12.75" customHeight="1">
      <c r="D155" s="299"/>
      <c r="E155" s="524"/>
      <c r="F155" s="542" t="s">
        <v>607</v>
      </c>
      <c r="G155" s="486"/>
      <c r="H155" s="485"/>
      <c r="I155" s="485"/>
      <c r="J155" s="485"/>
      <c r="K155" s="487"/>
      <c r="L155" s="489">
        <v>0</v>
      </c>
      <c r="M155" s="490">
        <v>0</v>
      </c>
      <c r="N155" s="490">
        <v>0</v>
      </c>
      <c r="O155" s="490">
        <v>0</v>
      </c>
      <c r="P155" s="491">
        <v>0</v>
      </c>
      <c r="Q155" s="1281"/>
      <c r="R155" s="444"/>
      <c r="S155" s="485"/>
      <c r="T155" s="485"/>
      <c r="U155" s="485"/>
      <c r="V155" s="487"/>
      <c r="W155" s="4263"/>
      <c r="X155" s="1266"/>
      <c r="Y155" s="1266"/>
      <c r="Z155" s="1266"/>
      <c r="AA155" s="3186"/>
      <c r="AB155" s="135"/>
      <c r="AC155" s="135"/>
      <c r="AD155" s="135"/>
      <c r="AE155" s="135"/>
      <c r="AF155" s="135"/>
      <c r="AG155" s="135"/>
      <c r="AH155" s="3187"/>
    </row>
    <row r="156" spans="4:34" s="501" customFormat="1" ht="12.75" customHeight="1">
      <c r="D156" s="299"/>
      <c r="E156" s="524"/>
      <c r="F156" s="543" t="s">
        <v>610</v>
      </c>
      <c r="G156" s="384">
        <f t="shared" ref="G156:N156" si="54">SUM(G154:G155)</f>
        <v>0</v>
      </c>
      <c r="H156" s="385">
        <f t="shared" si="54"/>
        <v>0</v>
      </c>
      <c r="I156" s="385">
        <f t="shared" si="54"/>
        <v>0</v>
      </c>
      <c r="J156" s="385">
        <f t="shared" si="54"/>
        <v>0</v>
      </c>
      <c r="K156" s="477">
        <f t="shared" si="54"/>
        <v>0</v>
      </c>
      <c r="L156" s="384">
        <f t="shared" si="54"/>
        <v>0</v>
      </c>
      <c r="M156" s="385">
        <f t="shared" si="54"/>
        <v>0</v>
      </c>
      <c r="N156" s="385">
        <f t="shared" si="54"/>
        <v>0</v>
      </c>
      <c r="O156" s="385">
        <f>SUM(O153:O155)</f>
        <v>0</v>
      </c>
      <c r="P156" s="477">
        <f>SUM(P153:P155)</f>
        <v>23031.68</v>
      </c>
      <c r="Q156" s="1282"/>
      <c r="R156" s="385">
        <f>SUM(R153:R155)</f>
        <v>23167.336595199999</v>
      </c>
      <c r="S156" s="385">
        <f>SUM(S153:S155)</f>
        <v>23153.0569536</v>
      </c>
      <c r="T156" s="385">
        <f>SUM(T153:T155)</f>
        <v>23203.035699199998</v>
      </c>
      <c r="U156" s="385">
        <f>SUM(U153:U155)</f>
        <v>0</v>
      </c>
      <c r="V156" s="385">
        <f>SUM(V153:V155)</f>
        <v>0</v>
      </c>
      <c r="W156" s="4263"/>
      <c r="X156" s="1266"/>
      <c r="Y156" s="1266"/>
      <c r="Z156" s="1266"/>
      <c r="AA156" s="3186"/>
      <c r="AB156" s="135"/>
      <c r="AC156" s="135"/>
      <c r="AD156" s="135"/>
      <c r="AE156" s="135"/>
      <c r="AF156" s="135"/>
      <c r="AG156" s="135"/>
      <c r="AH156" s="3187"/>
    </row>
    <row r="157" spans="4:34" s="501" customFormat="1" ht="12.75" customHeight="1">
      <c r="D157" s="299"/>
      <c r="E157" s="524"/>
      <c r="F157" s="542" t="s">
        <v>35</v>
      </c>
      <c r="G157" s="486"/>
      <c r="H157" s="485"/>
      <c r="I157" s="485"/>
      <c r="J157" s="485"/>
      <c r="K157" s="487"/>
      <c r="L157" s="486"/>
      <c r="M157" s="485"/>
      <c r="N157" s="485"/>
      <c r="O157" s="485"/>
      <c r="P157" s="487"/>
      <c r="Q157" s="1281"/>
      <c r="R157" s="444"/>
      <c r="S157" s="485"/>
      <c r="T157" s="485"/>
      <c r="U157" s="485"/>
      <c r="V157" s="487"/>
      <c r="W157" s="4263"/>
      <c r="X157" s="1266"/>
      <c r="Y157" s="1266"/>
      <c r="Z157" s="1266"/>
      <c r="AA157" s="3186"/>
      <c r="AB157" s="135"/>
      <c r="AC157" s="135"/>
      <c r="AD157" s="135"/>
      <c r="AE157" s="135"/>
      <c r="AF157" s="135"/>
      <c r="AG157" s="135"/>
      <c r="AH157" s="3187"/>
    </row>
    <row r="158" spans="4:34" s="501" customFormat="1" ht="12.75" customHeight="1" thickBot="1">
      <c r="D158" s="299"/>
      <c r="E158" s="524"/>
      <c r="F158" s="1501" t="s">
        <v>611</v>
      </c>
      <c r="G158" s="1458">
        <f t="shared" ref="G158:P158" si="55">G156-G157</f>
        <v>0</v>
      </c>
      <c r="H158" s="387">
        <f t="shared" si="55"/>
        <v>0</v>
      </c>
      <c r="I158" s="387">
        <f t="shared" si="55"/>
        <v>0</v>
      </c>
      <c r="J158" s="387">
        <f t="shared" si="55"/>
        <v>0</v>
      </c>
      <c r="K158" s="528">
        <f t="shared" si="55"/>
        <v>0</v>
      </c>
      <c r="L158" s="1458">
        <f t="shared" si="55"/>
        <v>0</v>
      </c>
      <c r="M158" s="387">
        <f>M156-M157</f>
        <v>0</v>
      </c>
      <c r="N158" s="387">
        <f t="shared" si="55"/>
        <v>0</v>
      </c>
      <c r="O158" s="387">
        <f t="shared" si="55"/>
        <v>0</v>
      </c>
      <c r="P158" s="528">
        <f t="shared" si="55"/>
        <v>23031.68</v>
      </c>
      <c r="Q158" s="1283"/>
      <c r="R158" s="527">
        <f>R156-R157</f>
        <v>23167.336595199999</v>
      </c>
      <c r="S158" s="387">
        <f>S156-S157</f>
        <v>23153.0569536</v>
      </c>
      <c r="T158" s="387">
        <f>T156-T157</f>
        <v>23203.035699199998</v>
      </c>
      <c r="U158" s="387">
        <f>U156-U157</f>
        <v>0</v>
      </c>
      <c r="V158" s="528">
        <f>V156-V157</f>
        <v>0</v>
      </c>
      <c r="W158" s="4264"/>
      <c r="X158" s="1266"/>
      <c r="Y158" s="1266"/>
      <c r="Z158" s="1266"/>
      <c r="AA158" s="3186"/>
      <c r="AB158" s="135"/>
      <c r="AC158" s="135"/>
      <c r="AD158" s="135"/>
      <c r="AE158" s="135"/>
      <c r="AF158" s="135"/>
      <c r="AG158" s="135"/>
      <c r="AH158" s="3187"/>
    </row>
    <row r="159" spans="4:34" s="501" customFormat="1" ht="12.75" customHeight="1">
      <c r="D159" s="299"/>
      <c r="E159" s="567" t="s">
        <v>1552</v>
      </c>
      <c r="F159" s="880" t="s">
        <v>619</v>
      </c>
      <c r="G159" s="1699"/>
      <c r="H159" s="1700"/>
      <c r="I159" s="1700"/>
      <c r="J159" s="1700"/>
      <c r="K159" s="1710"/>
      <c r="L159" s="564"/>
      <c r="M159" s="565"/>
      <c r="N159" s="565"/>
      <c r="O159" s="565"/>
      <c r="P159" s="566"/>
      <c r="Q159" s="1280"/>
      <c r="R159" s="565"/>
      <c r="S159" s="565"/>
      <c r="T159" s="565"/>
      <c r="U159" s="565"/>
      <c r="V159" s="566"/>
      <c r="W159" s="4262"/>
      <c r="X159" s="1266"/>
      <c r="Y159" s="1266"/>
      <c r="Z159" s="1266"/>
      <c r="AA159" s="3186"/>
      <c r="AB159" s="135"/>
      <c r="AC159" s="135"/>
      <c r="AD159" s="135"/>
      <c r="AE159" s="135"/>
      <c r="AF159" s="135"/>
      <c r="AG159" s="135"/>
      <c r="AH159" s="3187"/>
    </row>
    <row r="160" spans="4:34" s="501" customFormat="1" ht="12.75" customHeight="1">
      <c r="D160" s="299"/>
      <c r="E160" s="524"/>
      <c r="F160" s="542" t="s">
        <v>585</v>
      </c>
      <c r="G160" s="1701"/>
      <c r="H160" s="1702"/>
      <c r="I160" s="1702"/>
      <c r="J160" s="1702"/>
      <c r="K160" s="1711"/>
      <c r="L160" s="486"/>
      <c r="M160" s="485"/>
      <c r="N160" s="485"/>
      <c r="O160" s="485"/>
      <c r="P160" s="487"/>
      <c r="Q160" s="1281"/>
      <c r="R160" s="444"/>
      <c r="S160" s="485"/>
      <c r="T160" s="485"/>
      <c r="U160" s="485"/>
      <c r="V160" s="487"/>
      <c r="W160" s="4263"/>
      <c r="X160" s="1266"/>
      <c r="Y160" s="1266"/>
      <c r="Z160" s="1266"/>
      <c r="AA160" s="3186"/>
      <c r="AB160" s="135"/>
      <c r="AC160" s="135"/>
      <c r="AD160" s="135"/>
      <c r="AE160" s="135"/>
      <c r="AF160" s="135"/>
      <c r="AG160" s="135"/>
      <c r="AH160" s="3187"/>
    </row>
    <row r="161" spans="4:34" s="501" customFormat="1" ht="12.75" customHeight="1">
      <c r="D161" s="299"/>
      <c r="E161" s="524"/>
      <c r="F161" s="542" t="s">
        <v>584</v>
      </c>
      <c r="G161" s="1701"/>
      <c r="H161" s="1702"/>
      <c r="I161" s="1702"/>
      <c r="J161" s="1702"/>
      <c r="K161" s="1711"/>
      <c r="L161" s="486"/>
      <c r="M161" s="485"/>
      <c r="N161" s="485"/>
      <c r="O161" s="485"/>
      <c r="P161" s="487"/>
      <c r="Q161" s="1281"/>
      <c r="R161" s="444">
        <v>177817.21064</v>
      </c>
      <c r="S161" s="485">
        <v>177707.60952000003</v>
      </c>
      <c r="T161" s="485">
        <v>168717.99167999998</v>
      </c>
      <c r="U161" s="485">
        <v>169289.07120000001</v>
      </c>
      <c r="V161" s="487">
        <v>169548.65279999998</v>
      </c>
      <c r="W161" s="4263"/>
      <c r="X161" s="1266"/>
      <c r="Y161" s="1266"/>
      <c r="Z161" s="1266"/>
      <c r="AA161" s="3186"/>
      <c r="AB161" s="135"/>
      <c r="AC161" s="135"/>
      <c r="AD161" s="135"/>
      <c r="AE161" s="135"/>
      <c r="AF161" s="135"/>
      <c r="AG161" s="135"/>
      <c r="AH161" s="3187"/>
    </row>
    <row r="162" spans="4:34" s="501" customFormat="1" ht="12.75" customHeight="1">
      <c r="D162" s="299"/>
      <c r="E162" s="524"/>
      <c r="F162" s="542" t="s">
        <v>604</v>
      </c>
      <c r="G162" s="1701"/>
      <c r="H162" s="1702"/>
      <c r="I162" s="1702"/>
      <c r="J162" s="1702"/>
      <c r="K162" s="1711"/>
      <c r="L162" s="486"/>
      <c r="M162" s="485"/>
      <c r="N162" s="485"/>
      <c r="O162" s="485"/>
      <c r="P162" s="487"/>
      <c r="Q162" s="1281"/>
      <c r="R162" s="444"/>
      <c r="S162" s="485"/>
      <c r="T162" s="485"/>
      <c r="U162" s="485"/>
      <c r="V162" s="487"/>
      <c r="W162" s="4263"/>
      <c r="X162" s="1266"/>
      <c r="Y162" s="1266"/>
      <c r="Z162" s="1266"/>
      <c r="AA162" s="3186"/>
      <c r="AB162" s="135"/>
      <c r="AC162" s="135"/>
      <c r="AD162" s="135"/>
      <c r="AE162" s="135"/>
      <c r="AF162" s="135"/>
      <c r="AG162" s="135"/>
      <c r="AH162" s="3187"/>
    </row>
    <row r="163" spans="4:34" s="501" customFormat="1" ht="12.75" customHeight="1">
      <c r="D163" s="299"/>
      <c r="E163" s="524"/>
      <c r="F163" s="543" t="s">
        <v>605</v>
      </c>
      <c r="G163" s="486"/>
      <c r="H163" s="485"/>
      <c r="I163" s="485"/>
      <c r="J163" s="485"/>
      <c r="K163" s="487"/>
      <c r="L163" s="384">
        <f>SUM(L160:L162)</f>
        <v>0</v>
      </c>
      <c r="M163" s="385">
        <f>SUM(M160:M162)</f>
        <v>0</v>
      </c>
      <c r="N163" s="385">
        <f>SUM(N160:N162)</f>
        <v>0</v>
      </c>
      <c r="O163" s="385">
        <f>SUM(O160:O162)</f>
        <v>0</v>
      </c>
      <c r="P163" s="477">
        <f>SUM(P160:P162)</f>
        <v>0</v>
      </c>
      <c r="Q163" s="1282"/>
      <c r="R163" s="474">
        <f>SUM(R160:R162)</f>
        <v>177817.21064</v>
      </c>
      <c r="S163" s="385">
        <f>SUM(S160:S162)</f>
        <v>177707.60952000003</v>
      </c>
      <c r="T163" s="385">
        <f>SUM(T160:T162)</f>
        <v>168717.99167999998</v>
      </c>
      <c r="U163" s="385">
        <f>SUM(U160:U162)</f>
        <v>169289.07120000001</v>
      </c>
      <c r="V163" s="477">
        <f>SUM(V160:V162)</f>
        <v>169548.65279999998</v>
      </c>
      <c r="W163" s="4263"/>
      <c r="X163" s="1266"/>
      <c r="Y163" s="1266"/>
      <c r="Z163" s="1266"/>
      <c r="AA163" s="3186"/>
      <c r="AB163" s="135"/>
      <c r="AC163" s="135"/>
      <c r="AD163" s="135"/>
      <c r="AE163" s="135"/>
      <c r="AF163" s="135"/>
      <c r="AG163" s="135"/>
      <c r="AH163" s="3187"/>
    </row>
    <row r="164" spans="4:34" s="501" customFormat="1" ht="12.75" customHeight="1">
      <c r="D164" s="299"/>
      <c r="E164" s="524"/>
      <c r="F164" s="542" t="s">
        <v>609</v>
      </c>
      <c r="G164" s="486"/>
      <c r="H164" s="485"/>
      <c r="I164" s="485"/>
      <c r="J164" s="485"/>
      <c r="K164" s="487"/>
      <c r="L164" s="536">
        <v>0</v>
      </c>
      <c r="M164" s="537">
        <v>0</v>
      </c>
      <c r="N164" s="537">
        <v>0</v>
      </c>
      <c r="O164" s="537">
        <f>O163*0.06</f>
        <v>0</v>
      </c>
      <c r="P164" s="491">
        <f>P163*0.06</f>
        <v>0</v>
      </c>
      <c r="Q164" s="1281"/>
      <c r="R164" s="444">
        <f>R163*0.06</f>
        <v>10669.0326384</v>
      </c>
      <c r="S164" s="485">
        <f>S163*0.06</f>
        <v>10662.456571200002</v>
      </c>
      <c r="T164" s="485">
        <f>T163*0.06</f>
        <v>10123.079500799999</v>
      </c>
      <c r="U164" s="485">
        <f>U163*0.06</f>
        <v>10157.344272</v>
      </c>
      <c r="V164" s="487">
        <f>V163*0.06</f>
        <v>10172.919167999999</v>
      </c>
      <c r="W164" s="4263"/>
      <c r="X164" s="1266"/>
      <c r="Y164" s="1266"/>
      <c r="Z164" s="1266"/>
      <c r="AA164" s="3186"/>
      <c r="AB164" s="135"/>
      <c r="AC164" s="135"/>
      <c r="AD164" s="135"/>
      <c r="AE164" s="135"/>
      <c r="AF164" s="135"/>
      <c r="AG164" s="135"/>
      <c r="AH164" s="3187"/>
    </row>
    <row r="165" spans="4:34" s="501" customFormat="1" ht="12.75" customHeight="1">
      <c r="D165" s="299"/>
      <c r="E165" s="524"/>
      <c r="F165" s="542" t="s">
        <v>607</v>
      </c>
      <c r="G165" s="486"/>
      <c r="H165" s="485"/>
      <c r="I165" s="485"/>
      <c r="J165" s="485"/>
      <c r="K165" s="487"/>
      <c r="L165" s="489">
        <v>0</v>
      </c>
      <c r="M165" s="490">
        <v>0</v>
      </c>
      <c r="N165" s="490">
        <v>0</v>
      </c>
      <c r="O165" s="490">
        <v>0</v>
      </c>
      <c r="P165" s="491">
        <v>0</v>
      </c>
      <c r="Q165" s="1281"/>
      <c r="R165" s="444"/>
      <c r="S165" s="485"/>
      <c r="T165" s="485"/>
      <c r="U165" s="485"/>
      <c r="V165" s="487"/>
      <c r="W165" s="4263"/>
      <c r="X165" s="1266"/>
      <c r="Y165" s="1266"/>
      <c r="Z165" s="1266"/>
      <c r="AA165" s="3186"/>
      <c r="AB165" s="135"/>
      <c r="AC165" s="135"/>
      <c r="AD165" s="135"/>
      <c r="AE165" s="135"/>
      <c r="AF165" s="135"/>
      <c r="AG165" s="135"/>
      <c r="AH165" s="3187"/>
    </row>
    <row r="166" spans="4:34" s="501" customFormat="1" ht="12.75" customHeight="1">
      <c r="D166" s="299"/>
      <c r="E166" s="524"/>
      <c r="F166" s="543" t="s">
        <v>610</v>
      </c>
      <c r="G166" s="384">
        <f t="shared" ref="G166:N166" si="56">SUM(G164:G165)</f>
        <v>0</v>
      </c>
      <c r="H166" s="385">
        <f t="shared" si="56"/>
        <v>0</v>
      </c>
      <c r="I166" s="385">
        <f t="shared" si="56"/>
        <v>0</v>
      </c>
      <c r="J166" s="385">
        <f t="shared" si="56"/>
        <v>0</v>
      </c>
      <c r="K166" s="477">
        <f t="shared" si="56"/>
        <v>0</v>
      </c>
      <c r="L166" s="384">
        <f t="shared" si="56"/>
        <v>0</v>
      </c>
      <c r="M166" s="385">
        <f t="shared" si="56"/>
        <v>0</v>
      </c>
      <c r="N166" s="385">
        <f t="shared" si="56"/>
        <v>0</v>
      </c>
      <c r="O166" s="385">
        <f>SUM(O163:O165)</f>
        <v>0</v>
      </c>
      <c r="P166" s="477">
        <f>SUM(P163:P165)</f>
        <v>0</v>
      </c>
      <c r="Q166" s="1282"/>
      <c r="R166" s="385">
        <f>SUM(R163:R165)</f>
        <v>188486.24327840001</v>
      </c>
      <c r="S166" s="385">
        <f>SUM(S163:S165)</f>
        <v>188370.06609120002</v>
      </c>
      <c r="T166" s="385">
        <f>SUM(T163:T165)</f>
        <v>178841.07118079998</v>
      </c>
      <c r="U166" s="385">
        <f>SUM(U163:U165)</f>
        <v>179446.41547199999</v>
      </c>
      <c r="V166" s="385">
        <f>SUM(V163:V165)</f>
        <v>179721.57196799997</v>
      </c>
      <c r="W166" s="4263"/>
      <c r="X166" s="1266"/>
      <c r="Y166" s="1266"/>
      <c r="Z166" s="1266"/>
      <c r="AA166" s="3186"/>
      <c r="AB166" s="135"/>
      <c r="AC166" s="135"/>
      <c r="AD166" s="135"/>
      <c r="AE166" s="135"/>
      <c r="AF166" s="135"/>
      <c r="AG166" s="135"/>
      <c r="AH166" s="3187"/>
    </row>
    <row r="167" spans="4:34" s="501" customFormat="1" ht="12.75" customHeight="1">
      <c r="D167" s="299"/>
      <c r="E167" s="524"/>
      <c r="F167" s="542" t="s">
        <v>35</v>
      </c>
      <c r="G167" s="486"/>
      <c r="H167" s="485"/>
      <c r="I167" s="485"/>
      <c r="J167" s="485"/>
      <c r="K167" s="487"/>
      <c r="L167" s="486"/>
      <c r="M167" s="485"/>
      <c r="N167" s="485"/>
      <c r="O167" s="485"/>
      <c r="P167" s="487"/>
      <c r="Q167" s="1281"/>
      <c r="R167" s="444"/>
      <c r="S167" s="485"/>
      <c r="T167" s="485"/>
      <c r="U167" s="485"/>
      <c r="V167" s="487"/>
      <c r="W167" s="4263"/>
      <c r="X167" s="1266"/>
      <c r="Y167" s="1266"/>
      <c r="Z167" s="1266"/>
      <c r="AA167" s="3186"/>
      <c r="AB167" s="135"/>
      <c r="AC167" s="135"/>
      <c r="AD167" s="135"/>
      <c r="AE167" s="135"/>
      <c r="AF167" s="135"/>
      <c r="AG167" s="135"/>
      <c r="AH167" s="3187"/>
    </row>
    <row r="168" spans="4:34" s="501" customFormat="1" ht="12.75" customHeight="1" thickBot="1">
      <c r="D168" s="299"/>
      <c r="E168" s="524"/>
      <c r="F168" s="1501" t="s">
        <v>611</v>
      </c>
      <c r="G168" s="1458">
        <f t="shared" ref="G168:P168" si="57">G166-G167</f>
        <v>0</v>
      </c>
      <c r="H168" s="387">
        <f t="shared" si="57"/>
        <v>0</v>
      </c>
      <c r="I168" s="387">
        <f t="shared" si="57"/>
        <v>0</v>
      </c>
      <c r="J168" s="387">
        <f t="shared" si="57"/>
        <v>0</v>
      </c>
      <c r="K168" s="528">
        <f t="shared" si="57"/>
        <v>0</v>
      </c>
      <c r="L168" s="1458">
        <f t="shared" si="57"/>
        <v>0</v>
      </c>
      <c r="M168" s="387">
        <f>M166-M167</f>
        <v>0</v>
      </c>
      <c r="N168" s="387">
        <f t="shared" si="57"/>
        <v>0</v>
      </c>
      <c r="O168" s="387">
        <f t="shared" si="57"/>
        <v>0</v>
      </c>
      <c r="P168" s="528">
        <f t="shared" si="57"/>
        <v>0</v>
      </c>
      <c r="Q168" s="1283"/>
      <c r="R168" s="527">
        <f>R166-R167</f>
        <v>188486.24327840001</v>
      </c>
      <c r="S168" s="387">
        <f>S166-S167</f>
        <v>188370.06609120002</v>
      </c>
      <c r="T168" s="387">
        <f>T166-T167</f>
        <v>178841.07118079998</v>
      </c>
      <c r="U168" s="387">
        <f>U166-U167</f>
        <v>179446.41547199999</v>
      </c>
      <c r="V168" s="528">
        <f>V166-V167</f>
        <v>179721.57196799997</v>
      </c>
      <c r="W168" s="4264"/>
      <c r="X168" s="1266"/>
      <c r="Y168" s="1266"/>
      <c r="Z168" s="1266"/>
      <c r="AA168" s="3186"/>
      <c r="AB168" s="135"/>
      <c r="AC168" s="135"/>
      <c r="AD168" s="135"/>
      <c r="AE168" s="135"/>
      <c r="AF168" s="135"/>
      <c r="AG168" s="135"/>
      <c r="AH168" s="3187"/>
    </row>
    <row r="169" spans="4:34" s="501" customFormat="1" ht="12.75" customHeight="1">
      <c r="D169" s="299"/>
      <c r="E169" s="1720" t="str">
        <f>CONCATENATE(E68, " Totals")</f>
        <v xml:space="preserve"> Totals</v>
      </c>
      <c r="F169" s="3107" t="str">
        <f>CONCATENATE("Total direct expenditure - ",E68)</f>
        <v xml:space="preserve">Total direct expenditure - </v>
      </c>
      <c r="G169" s="1534">
        <f ca="1">SUMIF($F$69:$P$168,"Total direct expenditure",G$69:G$168)</f>
        <v>0</v>
      </c>
      <c r="H169" s="562">
        <f t="shared" ref="H169:N169" ca="1" si="58">SUMIF($E$68:$P$168,"Total direct expenditure",H$68:H$168)</f>
        <v>0</v>
      </c>
      <c r="I169" s="562">
        <f t="shared" ca="1" si="58"/>
        <v>0</v>
      </c>
      <c r="J169" s="562">
        <f t="shared" ca="1" si="58"/>
        <v>0</v>
      </c>
      <c r="K169" s="563">
        <f t="shared" ca="1" si="58"/>
        <v>0</v>
      </c>
      <c r="L169" s="1534">
        <f t="shared" ca="1" si="58"/>
        <v>0</v>
      </c>
      <c r="M169" s="562">
        <f t="shared" ca="1" si="58"/>
        <v>0</v>
      </c>
      <c r="N169" s="562">
        <f t="shared" ca="1" si="58"/>
        <v>0</v>
      </c>
      <c r="O169" s="562">
        <f ca="1">SUMIF($F$69:$P$168,"Total direct expenditure",O$69:O$168)</f>
        <v>0</v>
      </c>
      <c r="P169" s="562">
        <f ca="1">SUMIF($F$69:$P$168,"Total direct expenditure",P$69:P$168)</f>
        <v>1664058</v>
      </c>
      <c r="Q169" s="1284"/>
      <c r="R169" s="562">
        <f ca="1">SUMIF($F$69:$P$168,"Total direct expenditure",R$69:R$168)</f>
        <v>1813792.6830799996</v>
      </c>
      <c r="S169" s="562">
        <f ca="1">SUMIF($F$69:$P$168,"Total direct expenditure",S$69:S$168)</f>
        <v>1593335.86041</v>
      </c>
      <c r="T169" s="562">
        <f ca="1">SUMIF($F$69:$P$168,"Total direct expenditure",T$69:T$168)</f>
        <v>1131796.3787199999</v>
      </c>
      <c r="U169" s="562">
        <f ca="1">SUMIF($F$69:$P$168,"Total direct expenditure",U$69:U$168)</f>
        <v>1112344.3942499999</v>
      </c>
      <c r="V169" s="562">
        <f ca="1">SUMIF($F$69:$P$168,"Total direct expenditure",V$69:V$168)</f>
        <v>1044121.5292</v>
      </c>
      <c r="W169" s="4265"/>
      <c r="X169" s="1266"/>
      <c r="Y169" s="1266"/>
      <c r="Z169" s="1266"/>
      <c r="AA169" s="3186"/>
      <c r="AB169" s="135"/>
      <c r="AC169" s="135"/>
      <c r="AD169" s="135"/>
      <c r="AE169" s="135"/>
      <c r="AF169" s="135"/>
      <c r="AG169" s="135"/>
      <c r="AH169" s="3187"/>
    </row>
    <row r="170" spans="4:34" s="501" customFormat="1" ht="12.75" customHeight="1">
      <c r="D170" s="299"/>
      <c r="E170" s="1716"/>
      <c r="F170" s="3107" t="str">
        <f>CONCATENATE("Total direct expenditure - ",E68)</f>
        <v xml:space="preserve">Total direct expenditure - </v>
      </c>
      <c r="G170" s="559">
        <f ca="1">SUMIF($F$69:$P$168,"Total direct expenditure (incl escalation)",G$69:G$168)</f>
        <v>0</v>
      </c>
      <c r="H170" s="521">
        <f t="shared" ref="H170:N170" ca="1" si="59">SUMIF($E$68:$P$168,"Total direct expenditure (incl escalation)",H$68:H$168)</f>
        <v>0</v>
      </c>
      <c r="I170" s="521">
        <f t="shared" ca="1" si="59"/>
        <v>0</v>
      </c>
      <c r="J170" s="521">
        <f t="shared" ca="1" si="59"/>
        <v>0</v>
      </c>
      <c r="K170" s="523">
        <f t="shared" ca="1" si="59"/>
        <v>0</v>
      </c>
      <c r="L170" s="559">
        <f t="shared" ca="1" si="59"/>
        <v>0</v>
      </c>
      <c r="M170" s="521">
        <f t="shared" ca="1" si="59"/>
        <v>0</v>
      </c>
      <c r="N170" s="521">
        <f t="shared" ca="1" si="59"/>
        <v>0</v>
      </c>
      <c r="O170" s="521">
        <f ca="1">SUMIF($F$69:$P$168,"Total direct expenditure (incl escalation)",N$69:O$168)</f>
        <v>0</v>
      </c>
      <c r="P170" s="521">
        <f ca="1">SUMIF($F$69:$P$168,"Total direct expenditure (incl escalation)",O$69:P$168)</f>
        <v>0</v>
      </c>
      <c r="Q170" s="1285"/>
      <c r="R170" s="521">
        <f ca="1">SUMIF($F$69:$P$168,"Total direct expenditure (incl escalation)",Q$69:R$168)</f>
        <v>0</v>
      </c>
      <c r="S170" s="521">
        <f ca="1">SUMIF($F$69:$P$168,"Total direct expenditure (incl escalation)",R$69:S$168)</f>
        <v>0</v>
      </c>
      <c r="T170" s="521">
        <f ca="1">SUMIF($F$69:$P$168,"Total direct expenditure (incl escalation)",S$69:T$168)</f>
        <v>0</v>
      </c>
      <c r="U170" s="521">
        <f ca="1">SUMIF($F$69:$P$168,"Total direct expenditure (incl escalation)",T$69:U$168)</f>
        <v>0</v>
      </c>
      <c r="V170" s="521">
        <f ca="1">SUMIF($F$69:$P$168,"Total direct expenditure (incl escalation)",U$69:V$168)</f>
        <v>0</v>
      </c>
      <c r="W170" s="4266"/>
      <c r="X170" s="1266"/>
      <c r="Y170" s="1266"/>
      <c r="Z170" s="1266"/>
      <c r="AA170" s="3186"/>
      <c r="AB170" s="135"/>
      <c r="AC170" s="135"/>
      <c r="AD170" s="135"/>
      <c r="AE170" s="135"/>
      <c r="AF170" s="135"/>
      <c r="AG170" s="135"/>
      <c r="AH170" s="3187"/>
    </row>
    <row r="171" spans="4:34" s="501" customFormat="1" ht="12.75" customHeight="1">
      <c r="D171" s="299"/>
      <c r="E171" s="1716"/>
      <c r="F171" s="329" t="str">
        <f>CONCATENATE("Total overhead expenditure - ",E68)</f>
        <v xml:space="preserve">Total overhead expenditure - </v>
      </c>
      <c r="G171" s="559">
        <f ca="1">SUMIF($F$69:$P$168,"Total overhead expenditure",G$69:G$168)</f>
        <v>0</v>
      </c>
      <c r="H171" s="521">
        <f t="shared" ref="H171:N171" ca="1" si="60">SUMIF($E$68:$P$168,"Total overhead expenditure",H$68:H$168)</f>
        <v>0</v>
      </c>
      <c r="I171" s="521">
        <f t="shared" ca="1" si="60"/>
        <v>0</v>
      </c>
      <c r="J171" s="521">
        <f t="shared" ca="1" si="60"/>
        <v>0</v>
      </c>
      <c r="K171" s="523">
        <f t="shared" ca="1" si="60"/>
        <v>0</v>
      </c>
      <c r="L171" s="559">
        <f t="shared" ca="1" si="60"/>
        <v>0</v>
      </c>
      <c r="M171" s="521">
        <f t="shared" ca="1" si="60"/>
        <v>0</v>
      </c>
      <c r="N171" s="521">
        <f t="shared" ca="1" si="60"/>
        <v>0</v>
      </c>
      <c r="O171" s="521">
        <f ca="1">SUMIF($F$69:$P$168,"Total overhead expenditure",O$69:O$168)</f>
        <v>0</v>
      </c>
      <c r="P171" s="521">
        <f ca="1">SUMIF($F$69:$P$168,"Total overhead expenditure",P$69:P$168)</f>
        <v>99843.48</v>
      </c>
      <c r="Q171" s="1285"/>
      <c r="R171" s="521">
        <f ca="1">SUMIF($F$69:$P$168,"Total overhead expenditure",R$69:R$168)</f>
        <v>108827.56098479999</v>
      </c>
      <c r="S171" s="521">
        <f ca="1">SUMIF($F$69:$P$168,"Total overhead expenditure",S$69:S$168)</f>
        <v>95600.15162460001</v>
      </c>
      <c r="T171" s="521">
        <f ca="1">SUMIF($F$69:$P$168,"Total overhead expenditure",T$69:T$168)</f>
        <v>67907.782723199984</v>
      </c>
      <c r="U171" s="521">
        <f ca="1">SUMIF($F$69:$P$168,"Total overhead expenditure",U$69:U$168)</f>
        <v>66740.663654999997</v>
      </c>
      <c r="V171" s="521">
        <f ca="1">SUMIF($F$69:$P$168,"Total overhead expenditure",V$69:V$168)</f>
        <v>62647.291751999997</v>
      </c>
      <c r="W171" s="4266"/>
      <c r="X171" s="1266"/>
      <c r="Y171" s="1266"/>
      <c r="Z171" s="1266"/>
      <c r="AA171" s="3186"/>
      <c r="AB171" s="135"/>
      <c r="AC171" s="135"/>
      <c r="AD171" s="135"/>
      <c r="AE171" s="135"/>
      <c r="AF171" s="135"/>
      <c r="AG171" s="135"/>
      <c r="AH171" s="3187"/>
    </row>
    <row r="172" spans="4:34" s="501" customFormat="1" ht="12.75" customHeight="1">
      <c r="D172" s="299"/>
      <c r="E172" s="1716"/>
      <c r="F172" s="329" t="str">
        <f>CONCATENATE("Related party margin expenditure - ",E68)</f>
        <v xml:space="preserve">Related party margin expenditure - </v>
      </c>
      <c r="G172" s="559">
        <f ca="1">SUMIF($F$69:$P$168,"Related party margin",G$69:G$168)</f>
        <v>0</v>
      </c>
      <c r="H172" s="521">
        <f t="shared" ref="H172:N172" ca="1" si="61">SUMIF($E$68:$P$168,"Related party margin",H$68:H$168)</f>
        <v>0</v>
      </c>
      <c r="I172" s="521">
        <f t="shared" ca="1" si="61"/>
        <v>0</v>
      </c>
      <c r="J172" s="521">
        <f t="shared" ca="1" si="61"/>
        <v>0</v>
      </c>
      <c r="K172" s="523">
        <f t="shared" ca="1" si="61"/>
        <v>0</v>
      </c>
      <c r="L172" s="559">
        <f t="shared" ca="1" si="61"/>
        <v>0</v>
      </c>
      <c r="M172" s="521">
        <f t="shared" ca="1" si="61"/>
        <v>0</v>
      </c>
      <c r="N172" s="521">
        <f t="shared" ca="1" si="61"/>
        <v>0</v>
      </c>
      <c r="O172" s="521">
        <f ca="1">SUMIF($F$69:$P$168,"Related party margin",O$69:O$168)</f>
        <v>0</v>
      </c>
      <c r="P172" s="521">
        <f ca="1">SUMIF($F$69:$P$168,"Related party margin",P$69:P$168)</f>
        <v>0</v>
      </c>
      <c r="Q172" s="1285"/>
      <c r="R172" s="521">
        <f ca="1">SUMIF($F$69:$P$168,"Related party margin",R$69:R$168)</f>
        <v>0</v>
      </c>
      <c r="S172" s="521">
        <f ca="1">SUMIF($F$69:$P$168,"Related party margin",S$69:S$168)</f>
        <v>0</v>
      </c>
      <c r="T172" s="521">
        <f ca="1">SUMIF($F$69:$P$168,"Related party margin",T$69:T$168)</f>
        <v>0</v>
      </c>
      <c r="U172" s="521">
        <f ca="1">SUMIF($F$69:$P$168,"Related party margin",U$69:U$168)</f>
        <v>0</v>
      </c>
      <c r="V172" s="521">
        <f ca="1">SUMIF($F$69:$P$168,"Related party margin",V$69:V$168)</f>
        <v>0</v>
      </c>
      <c r="W172" s="4266"/>
      <c r="X172" s="1266"/>
      <c r="Y172" s="1266"/>
      <c r="Z172" s="1266"/>
      <c r="AA172" s="3186"/>
      <c r="AB172" s="135"/>
      <c r="AC172" s="135"/>
      <c r="AD172" s="135"/>
      <c r="AE172" s="135"/>
      <c r="AF172" s="135"/>
      <c r="AG172" s="135"/>
      <c r="AH172" s="3187"/>
    </row>
    <row r="173" spans="4:34" s="501" customFormat="1" ht="12.75" customHeight="1">
      <c r="D173" s="299"/>
      <c r="E173" s="1716"/>
      <c r="F173" s="1721" t="str">
        <f>CONCATENATE("Total gross expenditure - ",E68)</f>
        <v xml:space="preserve">Total gross expenditure - </v>
      </c>
      <c r="G173" s="1238">
        <f ca="1">SUMIF($F$69:$P$168,"Total gross expenditure",G$69:G$168)</f>
        <v>0</v>
      </c>
      <c r="H173" s="1239">
        <f t="shared" ref="H173:N173" ca="1" si="62">SUMIF($E$68:$P$168,"Total gross expenditure",H$68:H$168)</f>
        <v>0</v>
      </c>
      <c r="I173" s="1239">
        <f t="shared" ca="1" si="62"/>
        <v>0</v>
      </c>
      <c r="J173" s="1239">
        <f t="shared" ca="1" si="62"/>
        <v>0</v>
      </c>
      <c r="K173" s="1240">
        <f t="shared" ca="1" si="62"/>
        <v>0</v>
      </c>
      <c r="L173" s="1238">
        <f t="shared" ca="1" si="62"/>
        <v>0</v>
      </c>
      <c r="M173" s="1239">
        <f t="shared" ca="1" si="62"/>
        <v>0</v>
      </c>
      <c r="N173" s="1239">
        <f t="shared" ca="1" si="62"/>
        <v>0</v>
      </c>
      <c r="O173" s="1239">
        <f ca="1">SUMIF($F$69:$P$168,"Total gross expenditure",O$69:O$168)</f>
        <v>0</v>
      </c>
      <c r="P173" s="1239">
        <f ca="1">SUMIF($F$69:$P$168,"Total gross expenditure",P$69:P$168)</f>
        <v>1763901.48</v>
      </c>
      <c r="Q173" s="1286"/>
      <c r="R173" s="1239">
        <f ca="1">SUMIF($F$69:$P$168,"Total gross expenditure",R$69:R$168)</f>
        <v>1922620.2440648</v>
      </c>
      <c r="S173" s="1239">
        <f ca="1">SUMIF($F$69:$P$168,"Total gross expenditure",S$69:S$168)</f>
        <v>1688936.0120345999</v>
      </c>
      <c r="T173" s="1239">
        <f ca="1">SUMIF($F$69:$P$168,"Total gross expenditure",T$69:T$168)</f>
        <v>1199704.1614432</v>
      </c>
      <c r="U173" s="1239">
        <f ca="1">SUMIF($F$69:$P$168,"Total gross expenditure",U$69:U$168)</f>
        <v>1179085.0579050002</v>
      </c>
      <c r="V173" s="1239">
        <f ca="1">SUMIF($F$69:$P$168,"Total gross expenditure",V$69:V$168)</f>
        <v>1106768.8209519999</v>
      </c>
      <c r="W173" s="4266"/>
      <c r="X173" s="1266"/>
      <c r="Y173" s="1266"/>
      <c r="Z173" s="1266"/>
      <c r="AA173" s="3186"/>
      <c r="AB173" s="135"/>
      <c r="AC173" s="135"/>
      <c r="AD173" s="135"/>
      <c r="AE173" s="135"/>
      <c r="AF173" s="135"/>
      <c r="AG173" s="135"/>
      <c r="AH173" s="3187"/>
    </row>
    <row r="174" spans="4:34" s="501" customFormat="1" ht="12.75" customHeight="1">
      <c r="D174" s="299"/>
      <c r="E174" s="1716"/>
      <c r="F174" s="329" t="s">
        <v>35</v>
      </c>
      <c r="G174" s="559">
        <f ca="1">SUMIF($F$69:$P$168,"Less customer contributions",G$69:G$168)</f>
        <v>0</v>
      </c>
      <c r="H174" s="521">
        <f t="shared" ref="H174:N174" ca="1" si="63">SUMIF($E$68:$P$168,"Less customer contributions",H$68:H$168)</f>
        <v>0</v>
      </c>
      <c r="I174" s="521">
        <f t="shared" ca="1" si="63"/>
        <v>0</v>
      </c>
      <c r="J174" s="521">
        <f t="shared" ca="1" si="63"/>
        <v>0</v>
      </c>
      <c r="K174" s="523">
        <f t="shared" ca="1" si="63"/>
        <v>0</v>
      </c>
      <c r="L174" s="559">
        <f t="shared" ca="1" si="63"/>
        <v>0</v>
      </c>
      <c r="M174" s="521">
        <f t="shared" ca="1" si="63"/>
        <v>0</v>
      </c>
      <c r="N174" s="521">
        <f t="shared" ca="1" si="63"/>
        <v>0</v>
      </c>
      <c r="O174" s="521">
        <f ca="1">SUMIF($F$69:$P$168,"Less customer contributions",O$69:O$168)</f>
        <v>0</v>
      </c>
      <c r="P174" s="521">
        <f ca="1">SUMIF($F$69:$P$168,"Less customer contributions",P$69:P$168)</f>
        <v>0</v>
      </c>
      <c r="Q174" s="1285"/>
      <c r="R174" s="521">
        <f ca="1">SUMIF($F$69:$P$168,"Less customer contributions",R$69:R$168)</f>
        <v>0</v>
      </c>
      <c r="S174" s="521">
        <f ca="1">SUMIF($F$69:$P$168,"Less customer contributions",S$69:S$168)</f>
        <v>0</v>
      </c>
      <c r="T174" s="521">
        <f ca="1">SUMIF($F$69:$P$168,"Less customer contributions",T$69:T$168)</f>
        <v>0</v>
      </c>
      <c r="U174" s="521">
        <f ca="1">SUMIF($F$69:$P$168,"Less customer contributions",U$69:U$168)</f>
        <v>0</v>
      </c>
      <c r="V174" s="521">
        <f ca="1">SUMIF($F$69:$P$168,"Less customer contributions",V$69:V$168)</f>
        <v>0</v>
      </c>
      <c r="W174" s="4266"/>
      <c r="X174" s="1266"/>
      <c r="Y174" s="1266"/>
      <c r="Z174" s="1266"/>
      <c r="AA174" s="3186"/>
      <c r="AB174" s="135"/>
      <c r="AC174" s="135"/>
      <c r="AD174" s="135"/>
      <c r="AE174" s="135"/>
      <c r="AF174" s="135"/>
      <c r="AG174" s="135"/>
      <c r="AH174" s="3187"/>
    </row>
    <row r="175" spans="4:34" s="501" customFormat="1" ht="12.75" customHeight="1" thickBot="1">
      <c r="D175" s="299"/>
      <c r="E175" s="1718"/>
      <c r="F175" s="1722" t="str">
        <f>CONCATENATE("Total net expenditure - ",E68)</f>
        <v xml:space="preserve">Total net expenditure - </v>
      </c>
      <c r="G175" s="1535">
        <f ca="1">SUMIF($F$69:$P$168,"Total net expenditure",G$69:G$168)</f>
        <v>0</v>
      </c>
      <c r="H175" s="1244">
        <f t="shared" ref="H175:N175" ca="1" si="64">SUMIF($E$68:$P$168,"Total net expenditure",H$68:H$168)</f>
        <v>0</v>
      </c>
      <c r="I175" s="1244">
        <f t="shared" ca="1" si="64"/>
        <v>0</v>
      </c>
      <c r="J175" s="1244">
        <f t="shared" ca="1" si="64"/>
        <v>0</v>
      </c>
      <c r="K175" s="1245">
        <f t="shared" ca="1" si="64"/>
        <v>0</v>
      </c>
      <c r="L175" s="1535">
        <f t="shared" ca="1" si="64"/>
        <v>0</v>
      </c>
      <c r="M175" s="1244">
        <f t="shared" ca="1" si="64"/>
        <v>0</v>
      </c>
      <c r="N175" s="1244">
        <f t="shared" ca="1" si="64"/>
        <v>0</v>
      </c>
      <c r="O175" s="1244">
        <f ca="1">SUMIF($F$69:$P$168,"Total net expenditure",O$69:O$168)</f>
        <v>0</v>
      </c>
      <c r="P175" s="1244">
        <f ca="1">SUMIF($F$69:$P$168,"Total net expenditure",P$69:P$168)</f>
        <v>1763901.48</v>
      </c>
      <c r="Q175" s="1287"/>
      <c r="R175" s="1244">
        <f ca="1">SUMIF($F$69:$P$168,"Total net expenditure",R$69:R$168)</f>
        <v>1922620.2440648</v>
      </c>
      <c r="S175" s="1244">
        <f ca="1">SUMIF($F$69:$P$168,"Total net expenditure",S$69:S$168)</f>
        <v>1688936.0120345999</v>
      </c>
      <c r="T175" s="1244">
        <f ca="1">SUMIF($F$69:$P$168,"Total net expenditure",T$69:T$168)</f>
        <v>1199704.1614432</v>
      </c>
      <c r="U175" s="1244">
        <f ca="1">SUMIF($F$69:$P$168,"Total net expenditure",U$69:U$168)</f>
        <v>1179085.0579050002</v>
      </c>
      <c r="V175" s="1244">
        <f ca="1">SUMIF($F$69:$P$168,"Total net expenditure",V$69:V$168)</f>
        <v>1106768.8209519999</v>
      </c>
      <c r="W175" s="4267"/>
      <c r="X175" s="1266"/>
      <c r="Y175" s="1266"/>
      <c r="Z175" s="1266"/>
      <c r="AA175" s="3186"/>
      <c r="AB175" s="135"/>
      <c r="AC175" s="135"/>
      <c r="AD175" s="135"/>
      <c r="AE175" s="135"/>
      <c r="AF175" s="135"/>
      <c r="AG175" s="135"/>
      <c r="AH175" s="3187"/>
    </row>
    <row r="176" spans="4:34" s="501" customFormat="1" ht="12.75" customHeight="1" thickBot="1">
      <c r="D176" s="299"/>
      <c r="E176" s="401"/>
      <c r="F176" s="135"/>
      <c r="G176" s="138"/>
      <c r="H176" s="138"/>
      <c r="I176" s="138"/>
      <c r="J176" s="138"/>
      <c r="K176" s="138"/>
      <c r="L176" s="138"/>
      <c r="M176" s="138"/>
      <c r="N176" s="138"/>
      <c r="O176" s="138"/>
      <c r="P176" s="138"/>
      <c r="Q176" s="138"/>
      <c r="R176" s="135"/>
      <c r="S176" s="135"/>
      <c r="T176" s="135"/>
      <c r="U176" s="135"/>
      <c r="V176" s="135"/>
      <c r="W176" s="135"/>
      <c r="X176" s="1266"/>
      <c r="Y176" s="1266"/>
      <c r="Z176" s="1266"/>
      <c r="AA176" s="3186"/>
      <c r="AB176" s="135"/>
      <c r="AC176" s="135"/>
      <c r="AD176" s="135"/>
      <c r="AE176" s="135"/>
      <c r="AF176" s="135"/>
      <c r="AG176" s="135"/>
      <c r="AH176" s="3187"/>
    </row>
    <row r="177" spans="1:37" s="501" customFormat="1" ht="18" customHeight="1">
      <c r="D177" s="299"/>
      <c r="E177" s="4252" t="s">
        <v>360</v>
      </c>
      <c r="F177" s="1723" t="s">
        <v>605</v>
      </c>
      <c r="G177" s="1534">
        <f t="shared" ref="G177:V177" ca="1" si="65">SUM(G61,G169)</f>
        <v>89486.945999999996</v>
      </c>
      <c r="H177" s="562">
        <f t="shared" ca="1" si="65"/>
        <v>72124.109999999986</v>
      </c>
      <c r="I177" s="562">
        <f t="shared" ca="1" si="65"/>
        <v>3597.192</v>
      </c>
      <c r="J177" s="562">
        <f t="shared" ca="1" si="65"/>
        <v>62331.650999999998</v>
      </c>
      <c r="K177" s="575">
        <f t="shared" ca="1" si="65"/>
        <v>84238.614678899074</v>
      </c>
      <c r="L177" s="1534">
        <f t="shared" ca="1" si="65"/>
        <v>157289.01999999999</v>
      </c>
      <c r="M177" s="562">
        <f t="shared" ca="1" si="65"/>
        <v>26231.309999999998</v>
      </c>
      <c r="N177" s="562">
        <f t="shared" ca="1" si="65"/>
        <v>102834.6</v>
      </c>
      <c r="O177" s="562">
        <f t="shared" ca="1" si="65"/>
        <v>19009.349999999999</v>
      </c>
      <c r="P177" s="563">
        <f t="shared" ca="1" si="65"/>
        <v>1724058</v>
      </c>
      <c r="Q177" s="1276">
        <f t="shared" si="65"/>
        <v>0</v>
      </c>
      <c r="R177" s="1534">
        <f t="shared" ca="1" si="65"/>
        <v>1813792.6830799996</v>
      </c>
      <c r="S177" s="562">
        <f t="shared" ca="1" si="65"/>
        <v>1593335.86041</v>
      </c>
      <c r="T177" s="562">
        <f t="shared" ca="1" si="65"/>
        <v>1131796.3787199999</v>
      </c>
      <c r="U177" s="562">
        <f t="shared" ca="1" si="65"/>
        <v>1112344.3942499999</v>
      </c>
      <c r="V177" s="574">
        <f t="shared" ca="1" si="65"/>
        <v>1044121.5292</v>
      </c>
      <c r="W177" s="4268"/>
      <c r="X177"/>
      <c r="Y177"/>
      <c r="Z177"/>
      <c r="AA177" s="1534">
        <f t="shared" ref="AA177:AH177" ca="1" si="66">SUM(AA61,AA89)</f>
        <v>0</v>
      </c>
      <c r="AB177" s="562">
        <f t="shared" ca="1" si="66"/>
        <v>0</v>
      </c>
      <c r="AC177" s="562">
        <f t="shared" ca="1" si="66"/>
        <v>0</v>
      </c>
      <c r="AD177" s="562">
        <f t="shared" ca="1" si="66"/>
        <v>0</v>
      </c>
      <c r="AE177" s="575">
        <f t="shared" ca="1" si="66"/>
        <v>0</v>
      </c>
      <c r="AF177" s="1534">
        <f t="shared" ca="1" si="66"/>
        <v>0</v>
      </c>
      <c r="AG177" s="562">
        <f t="shared" ca="1" si="66"/>
        <v>0</v>
      </c>
      <c r="AH177" s="563">
        <f t="shared" ca="1" si="66"/>
        <v>0</v>
      </c>
    </row>
    <row r="178" spans="1:37" s="501" customFormat="1" ht="12.75" customHeight="1">
      <c r="D178" s="299"/>
      <c r="E178" s="4253"/>
      <c r="F178" s="3103" t="s">
        <v>609</v>
      </c>
      <c r="G178" s="559">
        <f t="shared" ref="G178:V182" ca="1" si="67">SUM(G63,G171)</f>
        <v>9942.9940000000006</v>
      </c>
      <c r="H178" s="521">
        <f t="shared" ca="1" si="67"/>
        <v>8013.7899999999981</v>
      </c>
      <c r="I178" s="521">
        <f t="shared" ca="1" si="67"/>
        <v>399.68800000000005</v>
      </c>
      <c r="J178" s="521">
        <f t="shared" ca="1" si="67"/>
        <v>6925.7390000000005</v>
      </c>
      <c r="K178" s="526">
        <f t="shared" ca="1" si="67"/>
        <v>7581.4753211009247</v>
      </c>
      <c r="L178" s="559">
        <f t="shared" ca="1" si="67"/>
        <v>4087.01</v>
      </c>
      <c r="M178" s="521">
        <f t="shared" ca="1" si="67"/>
        <v>1341.43</v>
      </c>
      <c r="N178" s="521">
        <f t="shared" ca="1" si="67"/>
        <v>5563.4</v>
      </c>
      <c r="O178" s="521">
        <f t="shared" ca="1" si="67"/>
        <v>852.65</v>
      </c>
      <c r="P178" s="523">
        <f t="shared" ca="1" si="67"/>
        <v>103443.48</v>
      </c>
      <c r="Q178" s="1277">
        <f t="shared" si="67"/>
        <v>0</v>
      </c>
      <c r="R178" s="559">
        <f t="shared" ca="1" si="67"/>
        <v>108827.56098479999</v>
      </c>
      <c r="S178" s="521">
        <f t="shared" ca="1" si="67"/>
        <v>95600.15162460001</v>
      </c>
      <c r="T178" s="521">
        <f t="shared" ca="1" si="67"/>
        <v>67907.782723199984</v>
      </c>
      <c r="U178" s="521">
        <f t="shared" ca="1" si="67"/>
        <v>66740.663654999997</v>
      </c>
      <c r="V178" s="522">
        <f t="shared" ca="1" si="67"/>
        <v>62647.291751999997</v>
      </c>
      <c r="W178" s="4269"/>
      <c r="X178"/>
      <c r="Y178"/>
      <c r="Z178"/>
      <c r="AA178" s="559">
        <f t="shared" ref="AA178:AH182" ca="1" si="68">SUM(AA63,AA91)</f>
        <v>0</v>
      </c>
      <c r="AB178" s="521">
        <f t="shared" ca="1" si="68"/>
        <v>0</v>
      </c>
      <c r="AC178" s="521">
        <f t="shared" ca="1" si="68"/>
        <v>0</v>
      </c>
      <c r="AD178" s="521">
        <f t="shared" ca="1" si="68"/>
        <v>0</v>
      </c>
      <c r="AE178" s="526">
        <f t="shared" ca="1" si="68"/>
        <v>0</v>
      </c>
      <c r="AF178" s="559">
        <f t="shared" ca="1" si="68"/>
        <v>0</v>
      </c>
      <c r="AG178" s="521">
        <f t="shared" ca="1" si="68"/>
        <v>0</v>
      </c>
      <c r="AH178" s="523">
        <f t="shared" ca="1" si="68"/>
        <v>0</v>
      </c>
    </row>
    <row r="179" spans="1:37" s="501" customFormat="1" ht="12.75" customHeight="1">
      <c r="D179" s="299"/>
      <c r="E179" s="4253"/>
      <c r="F179" s="1724" t="s">
        <v>607</v>
      </c>
      <c r="G179" s="559">
        <f t="shared" ca="1" si="67"/>
        <v>0</v>
      </c>
      <c r="H179" s="521">
        <f t="shared" ca="1" si="67"/>
        <v>0</v>
      </c>
      <c r="I179" s="521">
        <f t="shared" ca="1" si="67"/>
        <v>0</v>
      </c>
      <c r="J179" s="521">
        <f t="shared" ca="1" si="67"/>
        <v>0</v>
      </c>
      <c r="K179" s="526">
        <f t="shared" ca="1" si="67"/>
        <v>0</v>
      </c>
      <c r="L179" s="559">
        <f t="shared" ca="1" si="67"/>
        <v>0</v>
      </c>
      <c r="M179" s="521">
        <f t="shared" ca="1" si="67"/>
        <v>0</v>
      </c>
      <c r="N179" s="521">
        <f t="shared" ca="1" si="67"/>
        <v>0</v>
      </c>
      <c r="O179" s="521">
        <f t="shared" ca="1" si="67"/>
        <v>0</v>
      </c>
      <c r="P179" s="523">
        <f t="shared" ca="1" si="67"/>
        <v>0</v>
      </c>
      <c r="Q179" s="1277">
        <f t="shared" si="67"/>
        <v>0</v>
      </c>
      <c r="R179" s="559">
        <f t="shared" ca="1" si="67"/>
        <v>0</v>
      </c>
      <c r="S179" s="521">
        <f t="shared" ca="1" si="67"/>
        <v>0</v>
      </c>
      <c r="T179" s="521">
        <f t="shared" ca="1" si="67"/>
        <v>0</v>
      </c>
      <c r="U179" s="521">
        <f t="shared" ca="1" si="67"/>
        <v>0</v>
      </c>
      <c r="V179" s="522">
        <f t="shared" ca="1" si="67"/>
        <v>0</v>
      </c>
      <c r="W179" s="4269"/>
      <c r="X179"/>
      <c r="Y179"/>
      <c r="Z179"/>
      <c r="AA179" s="559">
        <f t="shared" ca="1" si="68"/>
        <v>0</v>
      </c>
      <c r="AB179" s="521">
        <f t="shared" ca="1" si="68"/>
        <v>0</v>
      </c>
      <c r="AC179" s="521">
        <f t="shared" ca="1" si="68"/>
        <v>0</v>
      </c>
      <c r="AD179" s="521">
        <f t="shared" ca="1" si="68"/>
        <v>0</v>
      </c>
      <c r="AE179" s="526">
        <f t="shared" ca="1" si="68"/>
        <v>0</v>
      </c>
      <c r="AF179" s="559">
        <f t="shared" ca="1" si="68"/>
        <v>0</v>
      </c>
      <c r="AG179" s="521">
        <f t="shared" ca="1" si="68"/>
        <v>0</v>
      </c>
      <c r="AH179" s="523">
        <f t="shared" ca="1" si="68"/>
        <v>0</v>
      </c>
    </row>
    <row r="180" spans="1:37" s="501" customFormat="1" ht="12.75" customHeight="1">
      <c r="D180" s="299"/>
      <c r="E180" s="4253"/>
      <c r="F180" s="3104" t="s">
        <v>610</v>
      </c>
      <c r="G180" s="1238">
        <f t="shared" ca="1" si="67"/>
        <v>99429.94</v>
      </c>
      <c r="H180" s="1239">
        <f t="shared" ca="1" si="67"/>
        <v>80137.89999999998</v>
      </c>
      <c r="I180" s="1239">
        <f t="shared" ca="1" si="67"/>
        <v>3996.88</v>
      </c>
      <c r="J180" s="1239">
        <f t="shared" ca="1" si="67"/>
        <v>69257.39</v>
      </c>
      <c r="K180" s="1242">
        <f t="shared" ca="1" si="67"/>
        <v>91820.09</v>
      </c>
      <c r="L180" s="1238">
        <f t="shared" ca="1" si="67"/>
        <v>161376.03000000003</v>
      </c>
      <c r="M180" s="1239">
        <f t="shared" ca="1" si="67"/>
        <v>27572.739999999998</v>
      </c>
      <c r="N180" s="1239">
        <f t="shared" ca="1" si="67"/>
        <v>108398</v>
      </c>
      <c r="O180" s="1239">
        <f t="shared" ca="1" si="67"/>
        <v>19862</v>
      </c>
      <c r="P180" s="1240">
        <f t="shared" ca="1" si="67"/>
        <v>1767501.48</v>
      </c>
      <c r="Q180" s="1278">
        <f t="shared" si="67"/>
        <v>0</v>
      </c>
      <c r="R180" s="1238">
        <f t="shared" ca="1" si="67"/>
        <v>1922620.2440648</v>
      </c>
      <c r="S180" s="1239">
        <f t="shared" ca="1" si="67"/>
        <v>1688936.0120345999</v>
      </c>
      <c r="T180" s="1239">
        <f t="shared" ca="1" si="67"/>
        <v>1199704.1614432</v>
      </c>
      <c r="U180" s="1239">
        <f t="shared" ca="1" si="67"/>
        <v>1179085.0579050002</v>
      </c>
      <c r="V180" s="1247">
        <f t="shared" ca="1" si="67"/>
        <v>1106768.8209519999</v>
      </c>
      <c r="W180" s="4269"/>
      <c r="X180"/>
      <c r="Y180"/>
      <c r="Z180"/>
      <c r="AA180" s="1238">
        <f t="shared" ca="1" si="68"/>
        <v>0</v>
      </c>
      <c r="AB180" s="1239">
        <f t="shared" ca="1" si="68"/>
        <v>0</v>
      </c>
      <c r="AC180" s="1239">
        <f t="shared" ca="1" si="68"/>
        <v>0</v>
      </c>
      <c r="AD180" s="1239">
        <f t="shared" ca="1" si="68"/>
        <v>0</v>
      </c>
      <c r="AE180" s="1242">
        <f t="shared" ca="1" si="68"/>
        <v>0</v>
      </c>
      <c r="AF180" s="1238">
        <f t="shared" ca="1" si="68"/>
        <v>0</v>
      </c>
      <c r="AG180" s="1239">
        <f t="shared" ca="1" si="68"/>
        <v>0</v>
      </c>
      <c r="AH180" s="1240">
        <f t="shared" ca="1" si="68"/>
        <v>0</v>
      </c>
    </row>
    <row r="181" spans="1:37" s="501" customFormat="1" ht="12.75" customHeight="1">
      <c r="D181" s="299"/>
      <c r="E181" s="4253"/>
      <c r="F181" s="329" t="s">
        <v>35</v>
      </c>
      <c r="G181" s="559">
        <f t="shared" ca="1" si="67"/>
        <v>0</v>
      </c>
      <c r="H181" s="521">
        <f t="shared" ca="1" si="67"/>
        <v>0</v>
      </c>
      <c r="I181" s="521">
        <f t="shared" ca="1" si="67"/>
        <v>0</v>
      </c>
      <c r="J181" s="521">
        <f t="shared" ca="1" si="67"/>
        <v>0</v>
      </c>
      <c r="K181" s="526">
        <f t="shared" ca="1" si="67"/>
        <v>0</v>
      </c>
      <c r="L181" s="559">
        <f t="shared" ca="1" si="67"/>
        <v>0</v>
      </c>
      <c r="M181" s="521">
        <f t="shared" ca="1" si="67"/>
        <v>0</v>
      </c>
      <c r="N181" s="521">
        <f t="shared" ca="1" si="67"/>
        <v>0</v>
      </c>
      <c r="O181" s="521">
        <f t="shared" ca="1" si="67"/>
        <v>0</v>
      </c>
      <c r="P181" s="523">
        <f t="shared" ca="1" si="67"/>
        <v>0</v>
      </c>
      <c r="Q181" s="1277">
        <f t="shared" si="67"/>
        <v>0</v>
      </c>
      <c r="R181" s="559">
        <f t="shared" ca="1" si="67"/>
        <v>0</v>
      </c>
      <c r="S181" s="521">
        <f t="shared" ca="1" si="67"/>
        <v>0</v>
      </c>
      <c r="T181" s="521">
        <f t="shared" ca="1" si="67"/>
        <v>0</v>
      </c>
      <c r="U181" s="521">
        <f t="shared" ca="1" si="67"/>
        <v>0</v>
      </c>
      <c r="V181" s="522">
        <f t="shared" ca="1" si="67"/>
        <v>0</v>
      </c>
      <c r="W181" s="4269"/>
      <c r="X181"/>
      <c r="Y181"/>
      <c r="Z181"/>
      <c r="AA181" s="559">
        <f t="shared" ca="1" si="68"/>
        <v>0</v>
      </c>
      <c r="AB181" s="521">
        <f t="shared" ca="1" si="68"/>
        <v>0</v>
      </c>
      <c r="AC181" s="521">
        <f t="shared" ca="1" si="68"/>
        <v>0</v>
      </c>
      <c r="AD181" s="521">
        <f t="shared" ca="1" si="68"/>
        <v>0</v>
      </c>
      <c r="AE181" s="526">
        <f t="shared" ca="1" si="68"/>
        <v>0</v>
      </c>
      <c r="AF181" s="559">
        <f t="shared" ca="1" si="68"/>
        <v>0</v>
      </c>
      <c r="AG181" s="521">
        <f t="shared" ca="1" si="68"/>
        <v>0</v>
      </c>
      <c r="AH181" s="523">
        <f t="shared" ca="1" si="68"/>
        <v>0</v>
      </c>
    </row>
    <row r="182" spans="1:37" s="501" customFormat="1" ht="13.5" customHeight="1" thickBot="1">
      <c r="D182" s="299"/>
      <c r="E182" s="4254"/>
      <c r="F182" s="3105" t="s">
        <v>611</v>
      </c>
      <c r="G182" s="1251">
        <f t="shared" ca="1" si="67"/>
        <v>99429.94</v>
      </c>
      <c r="H182" s="1252">
        <f t="shared" ca="1" si="67"/>
        <v>80137.89999999998</v>
      </c>
      <c r="I182" s="1252">
        <f t="shared" ca="1" si="67"/>
        <v>3996.88</v>
      </c>
      <c r="J182" s="1252">
        <f t="shared" ca="1" si="67"/>
        <v>69257.39</v>
      </c>
      <c r="K182" s="1253">
        <f t="shared" ca="1" si="67"/>
        <v>91820.09</v>
      </c>
      <c r="L182" s="1535">
        <f t="shared" ca="1" si="67"/>
        <v>161376.03000000003</v>
      </c>
      <c r="M182" s="1244">
        <f t="shared" ca="1" si="67"/>
        <v>27572.739999999998</v>
      </c>
      <c r="N182" s="1244">
        <f t="shared" ca="1" si="67"/>
        <v>108398</v>
      </c>
      <c r="O182" s="1244">
        <f t="shared" ca="1" si="67"/>
        <v>19862</v>
      </c>
      <c r="P182" s="1245">
        <f t="shared" ca="1" si="67"/>
        <v>1767501.48</v>
      </c>
      <c r="Q182" s="1279">
        <f t="shared" si="67"/>
        <v>0</v>
      </c>
      <c r="R182" s="1251">
        <f t="shared" ca="1" si="67"/>
        <v>1922620.2440648</v>
      </c>
      <c r="S182" s="1252">
        <f t="shared" ca="1" si="67"/>
        <v>1688936.0120345999</v>
      </c>
      <c r="T182" s="1252">
        <f t="shared" ca="1" si="67"/>
        <v>1199704.1614432</v>
      </c>
      <c r="U182" s="1252">
        <f t="shared" ca="1" si="67"/>
        <v>1179085.0579050002</v>
      </c>
      <c r="V182" s="1254">
        <f t="shared" ca="1" si="67"/>
        <v>1106768.8209519999</v>
      </c>
      <c r="W182" s="4269"/>
      <c r="X182"/>
      <c r="Y182"/>
      <c r="Z182"/>
      <c r="AA182" s="1251">
        <f t="shared" ca="1" si="68"/>
        <v>0</v>
      </c>
      <c r="AB182" s="1252">
        <f t="shared" ca="1" si="68"/>
        <v>0</v>
      </c>
      <c r="AC182" s="1252">
        <f t="shared" ca="1" si="68"/>
        <v>0</v>
      </c>
      <c r="AD182" s="1252">
        <f t="shared" ca="1" si="68"/>
        <v>0</v>
      </c>
      <c r="AE182" s="1253">
        <f t="shared" ca="1" si="68"/>
        <v>0</v>
      </c>
      <c r="AF182" s="1535">
        <f t="shared" ca="1" si="68"/>
        <v>0</v>
      </c>
      <c r="AG182" s="1244">
        <f t="shared" ca="1" si="68"/>
        <v>0</v>
      </c>
      <c r="AH182" s="1245">
        <f t="shared" ca="1" si="68"/>
        <v>0</v>
      </c>
    </row>
    <row r="183" spans="1:37" s="69" customFormat="1" ht="32.25" customHeight="1" thickBot="1">
      <c r="A183" s="75"/>
      <c r="B183" s="75"/>
      <c r="C183" s="75"/>
      <c r="D183" s="348"/>
      <c r="E183" s="4196" t="s">
        <v>127</v>
      </c>
      <c r="F183" s="4197"/>
      <c r="G183" s="1255"/>
      <c r="H183" s="1256"/>
      <c r="I183" s="1256"/>
      <c r="J183" s="1256"/>
      <c r="K183" s="1256"/>
      <c r="L183" s="1256"/>
      <c r="M183" s="1256"/>
      <c r="N183" s="1256"/>
      <c r="O183" s="1256"/>
      <c r="P183" s="1256"/>
      <c r="Q183" s="1256"/>
      <c r="R183" s="1256"/>
      <c r="S183" s="1256"/>
      <c r="T183" s="1256"/>
      <c r="U183" s="1256"/>
      <c r="V183" s="1256"/>
      <c r="W183" s="1257"/>
      <c r="X183"/>
      <c r="Y183"/>
      <c r="Z183"/>
      <c r="AA183" s="1790"/>
      <c r="AB183" s="1771"/>
      <c r="AC183" s="1771"/>
      <c r="AD183" s="1771"/>
      <c r="AE183" s="1771"/>
      <c r="AF183" s="1771"/>
      <c r="AG183" s="1771"/>
      <c r="AH183" s="1774"/>
    </row>
    <row r="184" spans="1:37" s="78" customFormat="1" ht="75.75" customHeight="1" thickBot="1">
      <c r="D184" s="299"/>
      <c r="E184" s="82"/>
      <c r="F184" s="82"/>
      <c r="G184" s="3523"/>
      <c r="H184" s="3523"/>
      <c r="I184" s="3523"/>
      <c r="J184" s="3523"/>
      <c r="K184" s="3523"/>
      <c r="L184" s="3524"/>
      <c r="M184" s="3524"/>
      <c r="N184" s="3524"/>
      <c r="O184" s="3524"/>
      <c r="P184" s="3524"/>
      <c r="Q184" s="82"/>
      <c r="R184" s="3524"/>
      <c r="S184" s="3524"/>
      <c r="T184" s="3524"/>
      <c r="U184" s="3524"/>
      <c r="V184" s="3524"/>
      <c r="W184" s="223"/>
      <c r="X184"/>
      <c r="Y184"/>
      <c r="Z184"/>
      <c r="AA184"/>
      <c r="AB184"/>
      <c r="AC184"/>
      <c r="AD184"/>
      <c r="AE184"/>
      <c r="AF184"/>
      <c r="AG184"/>
      <c r="AH184"/>
      <c r="AI184"/>
      <c r="AJ184"/>
      <c r="AK184"/>
    </row>
    <row r="185" spans="1:37" s="1266" customFormat="1" ht="23.25" customHeight="1" thickBot="1">
      <c r="A185" s="299"/>
      <c r="B185" s="299"/>
      <c r="C185" s="299"/>
      <c r="D185" s="299"/>
      <c r="E185" s="2867" t="s">
        <v>672</v>
      </c>
      <c r="F185" s="1373"/>
      <c r="G185" s="1373"/>
      <c r="H185" s="1373"/>
      <c r="I185" s="1373"/>
      <c r="J185" s="1373"/>
      <c r="K185" s="1373"/>
      <c r="L185" s="1373"/>
      <c r="M185" s="1373"/>
      <c r="N185" s="1373"/>
      <c r="O185" s="1373"/>
      <c r="P185" s="1374"/>
      <c r="Z185"/>
      <c r="AA185"/>
      <c r="AB185"/>
      <c r="AC185"/>
      <c r="AD185"/>
      <c r="AE185"/>
      <c r="AF185"/>
      <c r="AG185"/>
      <c r="AH185"/>
      <c r="AI185"/>
      <c r="AJ185"/>
      <c r="AK185"/>
    </row>
    <row r="186" spans="1:37" s="501" customFormat="1" ht="23.25" customHeight="1">
      <c r="A186" s="78"/>
      <c r="B186" s="78"/>
      <c r="C186" s="78"/>
      <c r="D186" s="299"/>
      <c r="E186" s="4112"/>
      <c r="F186" s="1358"/>
      <c r="G186" s="4218" t="s">
        <v>36</v>
      </c>
      <c r="H186" s="4137"/>
      <c r="I186" s="4137"/>
      <c r="J186" s="4137"/>
      <c r="K186" s="4137"/>
      <c r="L186" s="4219" t="s">
        <v>37</v>
      </c>
      <c r="M186" s="4188"/>
      <c r="N186" s="4188"/>
      <c r="O186" s="4188"/>
      <c r="P186" s="4189"/>
      <c r="X186"/>
      <c r="Y186"/>
      <c r="Z186"/>
      <c r="AA186"/>
      <c r="AB186"/>
      <c r="AC186"/>
      <c r="AD186"/>
      <c r="AE186"/>
      <c r="AF186"/>
      <c r="AG186"/>
      <c r="AH186"/>
      <c r="AI186"/>
      <c r="AJ186"/>
      <c r="AK186"/>
    </row>
    <row r="187" spans="1:37" s="501" customFormat="1" ht="16.5" customHeight="1">
      <c r="A187" s="78"/>
      <c r="B187" s="78"/>
      <c r="C187" s="78"/>
      <c r="D187" s="299"/>
      <c r="E187" s="4113"/>
      <c r="F187" s="1359"/>
      <c r="G187" s="4131" t="str">
        <f>CONCATENATE("$0's, real ",dms_DollarReal)</f>
        <v>$0's, real December 2017</v>
      </c>
      <c r="H187" s="4132"/>
      <c r="I187" s="4132"/>
      <c r="J187" s="4132"/>
      <c r="K187" s="4132"/>
      <c r="L187" s="4132"/>
      <c r="M187" s="4132"/>
      <c r="N187" s="4132"/>
      <c r="O187" s="4132"/>
      <c r="P187" s="4210"/>
      <c r="X187"/>
      <c r="Y187"/>
      <c r="Z187"/>
      <c r="AA187"/>
      <c r="AB187"/>
      <c r="AC187"/>
      <c r="AD187"/>
      <c r="AE187"/>
      <c r="AF187"/>
      <c r="AG187"/>
      <c r="AH187"/>
      <c r="AI187"/>
      <c r="AJ187"/>
      <c r="AK187"/>
    </row>
    <row r="188" spans="1:37" s="501" customFormat="1" ht="16.5" customHeight="1">
      <c r="D188" s="299"/>
      <c r="E188" s="4113"/>
      <c r="F188" s="1359"/>
      <c r="G188" s="4131" t="s">
        <v>76</v>
      </c>
      <c r="H188" s="4132"/>
      <c r="I188" s="4132"/>
      <c r="J188" s="4132"/>
      <c r="K188" s="4132"/>
      <c r="L188" s="4132"/>
      <c r="M188" s="4132"/>
      <c r="N188" s="4132"/>
      <c r="O188" s="4132"/>
      <c r="P188" s="4210"/>
      <c r="X188"/>
      <c r="Y188"/>
      <c r="Z188"/>
      <c r="AA188"/>
      <c r="AB188"/>
      <c r="AC188"/>
      <c r="AD188"/>
      <c r="AE188"/>
      <c r="AF188"/>
      <c r="AG188"/>
      <c r="AH188"/>
      <c r="AI188"/>
      <c r="AJ188"/>
      <c r="AK188"/>
    </row>
    <row r="189" spans="1:37" s="501" customFormat="1" ht="12.75" customHeight="1" thickBot="1">
      <c r="D189" s="299"/>
      <c r="E189" s="4255"/>
      <c r="F189" s="3541"/>
      <c r="G189" s="1521">
        <f t="array" ref="G189:K189">PRCP</f>
        <v>2008</v>
      </c>
      <c r="H189" s="374">
        <v>2009</v>
      </c>
      <c r="I189" s="374">
        <v>2010</v>
      </c>
      <c r="J189" s="374">
        <v>2011</v>
      </c>
      <c r="K189" s="374">
        <v>2012</v>
      </c>
      <c r="L189" s="376">
        <f>CRCP_y1</f>
        <v>2013</v>
      </c>
      <c r="M189" s="376">
        <f>CRCP_y2</f>
        <v>2014</v>
      </c>
      <c r="N189" s="376">
        <f>CRCP_y3</f>
        <v>2015</v>
      </c>
      <c r="O189" s="376">
        <f>CRCP_y4</f>
        <v>2016</v>
      </c>
      <c r="P189" s="568">
        <f>CRCP_y5</f>
        <v>2017</v>
      </c>
      <c r="X189"/>
      <c r="Y189"/>
      <c r="Z189"/>
      <c r="AA189"/>
      <c r="AB189"/>
      <c r="AC189"/>
      <c r="AD189"/>
      <c r="AE189"/>
      <c r="AF189"/>
      <c r="AG189"/>
      <c r="AH189"/>
      <c r="AI189"/>
      <c r="AJ189"/>
      <c r="AK189"/>
    </row>
    <row r="190" spans="1:37" s="78" customFormat="1" ht="48.75" customHeight="1" thickBot="1">
      <c r="A190" s="299"/>
      <c r="B190" s="299"/>
      <c r="C190" s="299"/>
      <c r="D190" s="299"/>
      <c r="E190" s="4270" t="s">
        <v>1358</v>
      </c>
      <c r="F190" s="4271"/>
      <c r="G190" s="1706"/>
      <c r="H190" s="3542"/>
      <c r="I190" s="3542"/>
      <c r="J190" s="3542"/>
      <c r="K190" s="3542"/>
      <c r="L190" s="3542"/>
      <c r="M190" s="3542"/>
      <c r="N190" s="3542"/>
      <c r="O190" s="3542"/>
      <c r="P190" s="3543"/>
      <c r="Q190" s="501"/>
      <c r="R190" s="501"/>
      <c r="S190" s="501"/>
      <c r="T190" s="501"/>
      <c r="U190" s="501"/>
      <c r="V190" s="501"/>
      <c r="W190" s="501"/>
      <c r="X190"/>
      <c r="Y190"/>
      <c r="Z190"/>
      <c r="AA190"/>
      <c r="AB190"/>
      <c r="AC190"/>
      <c r="AD190"/>
      <c r="AE190"/>
      <c r="AF190"/>
      <c r="AG190"/>
      <c r="AH190"/>
      <c r="AI190"/>
      <c r="AJ190"/>
      <c r="AK190"/>
    </row>
    <row r="191" spans="1:37" s="78" customFormat="1" ht="18" outlineLevel="1">
      <c r="D191" s="299"/>
      <c r="E191" s="567" t="s">
        <v>91</v>
      </c>
      <c r="F191" s="880" t="s">
        <v>619</v>
      </c>
      <c r="G191" s="1699"/>
      <c r="H191" s="1700"/>
      <c r="I191" s="1700"/>
      <c r="J191" s="1700"/>
      <c r="K191" s="1700"/>
      <c r="L191" s="1703"/>
      <c r="M191" s="1704"/>
      <c r="N191" s="1704"/>
      <c r="O191" s="1704"/>
      <c r="P191" s="1705"/>
      <c r="Q191" s="501"/>
      <c r="R191" s="501"/>
      <c r="S191" s="501"/>
      <c r="T191" s="501"/>
      <c r="U191" s="501"/>
      <c r="V191" s="501"/>
      <c r="W191" s="501"/>
      <c r="X191"/>
      <c r="Y191"/>
      <c r="Z191"/>
      <c r="AA191"/>
      <c r="AB191"/>
      <c r="AC191"/>
      <c r="AD191"/>
      <c r="AE191"/>
      <c r="AF191"/>
      <c r="AG191"/>
      <c r="AH191"/>
      <c r="AI191"/>
      <c r="AJ191"/>
      <c r="AK191"/>
    </row>
    <row r="192" spans="1:37" s="501" customFormat="1" ht="12.75" customHeight="1" outlineLevel="1">
      <c r="A192" s="78"/>
      <c r="B192" s="78"/>
      <c r="C192" s="78"/>
      <c r="D192" s="299"/>
      <c r="E192" s="524"/>
      <c r="F192" s="542" t="s">
        <v>585</v>
      </c>
      <c r="G192" s="1701"/>
      <c r="H192" s="1702"/>
      <c r="I192" s="1702"/>
      <c r="J192" s="1702"/>
      <c r="K192" s="1702"/>
      <c r="L192" s="486"/>
      <c r="M192" s="485"/>
      <c r="N192" s="485"/>
      <c r="O192" s="485"/>
      <c r="P192" s="487"/>
      <c r="Q192" s="482"/>
      <c r="R192" s="482"/>
      <c r="S192" s="482"/>
      <c r="T192" s="482"/>
      <c r="U192" s="482"/>
      <c r="V192" s="482"/>
      <c r="W192" s="134"/>
      <c r="X192"/>
      <c r="Y192"/>
      <c r="Z192"/>
      <c r="AA192"/>
      <c r="AB192"/>
      <c r="AC192"/>
      <c r="AD192"/>
      <c r="AE192"/>
      <c r="AF192"/>
      <c r="AG192"/>
      <c r="AH192"/>
      <c r="AI192"/>
      <c r="AJ192"/>
      <c r="AK192"/>
    </row>
    <row r="193" spans="1:37" s="501" customFormat="1" ht="12.75" customHeight="1" outlineLevel="1">
      <c r="D193" s="299"/>
      <c r="E193" s="524"/>
      <c r="F193" s="542" t="s">
        <v>584</v>
      </c>
      <c r="G193" s="1701"/>
      <c r="H193" s="1702"/>
      <c r="I193" s="1702"/>
      <c r="J193" s="1702"/>
      <c r="K193" s="1702"/>
      <c r="L193" s="486"/>
      <c r="M193" s="485"/>
      <c r="N193" s="485"/>
      <c r="O193" s="485"/>
      <c r="P193" s="487"/>
      <c r="Q193" s="482"/>
      <c r="R193" s="482"/>
      <c r="S193" s="482"/>
      <c r="T193" s="482"/>
      <c r="U193" s="482"/>
      <c r="V193" s="482"/>
      <c r="W193" s="134"/>
      <c r="X193"/>
      <c r="Y193"/>
      <c r="Z193"/>
      <c r="AA193"/>
      <c r="AB193"/>
      <c r="AC193"/>
      <c r="AD193"/>
      <c r="AE193"/>
      <c r="AF193"/>
      <c r="AG193"/>
      <c r="AH193"/>
      <c r="AI193"/>
      <c r="AJ193"/>
      <c r="AK193"/>
    </row>
    <row r="194" spans="1:37" s="501" customFormat="1" ht="12.75" customHeight="1" outlineLevel="1">
      <c r="D194" s="299"/>
      <c r="E194" s="524"/>
      <c r="F194" s="542" t="s">
        <v>604</v>
      </c>
      <c r="G194" s="1701"/>
      <c r="H194" s="1702"/>
      <c r="I194" s="1702"/>
      <c r="J194" s="1702"/>
      <c r="K194" s="1702"/>
      <c r="L194" s="486"/>
      <c r="M194" s="485"/>
      <c r="N194" s="485"/>
      <c r="O194" s="485"/>
      <c r="P194" s="487"/>
      <c r="Q194" s="482"/>
      <c r="R194" s="482"/>
      <c r="S194" s="482"/>
      <c r="T194" s="482"/>
      <c r="U194" s="482"/>
      <c r="V194" s="482"/>
      <c r="W194" s="134"/>
      <c r="X194"/>
      <c r="Y194"/>
      <c r="Z194"/>
      <c r="AA194"/>
      <c r="AB194"/>
      <c r="AC194"/>
      <c r="AD194"/>
      <c r="AE194"/>
      <c r="AF194"/>
      <c r="AG194"/>
      <c r="AH194"/>
      <c r="AI194"/>
      <c r="AJ194"/>
      <c r="AK194"/>
    </row>
    <row r="195" spans="1:37" s="501" customFormat="1" ht="12.75" customHeight="1" outlineLevel="1">
      <c r="D195" s="299"/>
      <c r="E195" s="524"/>
      <c r="F195" s="543" t="s">
        <v>605</v>
      </c>
      <c r="G195" s="486"/>
      <c r="H195" s="485"/>
      <c r="I195" s="485"/>
      <c r="J195" s="485"/>
      <c r="K195" s="650"/>
      <c r="L195" s="384">
        <f>SUM(L192:L194)</f>
        <v>0</v>
      </c>
      <c r="M195" s="385">
        <f>SUM(M192:M194)</f>
        <v>0</v>
      </c>
      <c r="N195" s="385">
        <f>SUM(N192:N194)</f>
        <v>0</v>
      </c>
      <c r="O195" s="385">
        <f>SUM(O192:O194)</f>
        <v>0</v>
      </c>
      <c r="P195" s="477">
        <f>SUM(P192:P194)</f>
        <v>0</v>
      </c>
      <c r="Q195" s="482"/>
      <c r="R195" s="482"/>
      <c r="S195" s="482"/>
      <c r="T195" s="482"/>
      <c r="U195" s="482"/>
      <c r="V195" s="482"/>
      <c r="W195" s="134"/>
      <c r="X195"/>
      <c r="Y195"/>
      <c r="Z195"/>
      <c r="AA195"/>
      <c r="AB195"/>
      <c r="AC195"/>
      <c r="AD195"/>
      <c r="AE195"/>
      <c r="AF195"/>
      <c r="AG195"/>
      <c r="AH195"/>
      <c r="AI195"/>
      <c r="AJ195"/>
      <c r="AK195"/>
    </row>
    <row r="196" spans="1:37" s="501" customFormat="1" ht="12.75" customHeight="1" outlineLevel="1">
      <c r="D196" s="299"/>
      <c r="E196" s="524"/>
      <c r="F196" s="542" t="s">
        <v>609</v>
      </c>
      <c r="G196" s="486"/>
      <c r="H196" s="485"/>
      <c r="I196" s="485"/>
      <c r="J196" s="485"/>
      <c r="K196" s="650"/>
      <c r="L196" s="536">
        <v>0</v>
      </c>
      <c r="M196" s="537">
        <v>0</v>
      </c>
      <c r="N196" s="537">
        <v>0</v>
      </c>
      <c r="O196" s="537">
        <v>0</v>
      </c>
      <c r="P196" s="573">
        <v>0</v>
      </c>
      <c r="Q196" s="482"/>
      <c r="R196" s="482"/>
      <c r="S196" s="482"/>
      <c r="T196" s="482"/>
      <c r="U196" s="482"/>
      <c r="V196" s="482"/>
      <c r="W196" s="134"/>
      <c r="X196"/>
      <c r="Y196"/>
      <c r="Z196"/>
      <c r="AA196"/>
      <c r="AB196"/>
      <c r="AC196"/>
      <c r="AD196"/>
      <c r="AE196"/>
      <c r="AF196"/>
      <c r="AG196"/>
      <c r="AH196"/>
      <c r="AI196"/>
      <c r="AJ196"/>
      <c r="AK196"/>
    </row>
    <row r="197" spans="1:37" s="501" customFormat="1" ht="12.75" customHeight="1" outlineLevel="1">
      <c r="D197" s="299"/>
      <c r="E197" s="524"/>
      <c r="F197" s="542" t="s">
        <v>607</v>
      </c>
      <c r="G197" s="486"/>
      <c r="H197" s="485"/>
      <c r="I197" s="485"/>
      <c r="J197" s="485"/>
      <c r="K197" s="650"/>
      <c r="L197" s="489">
        <v>0</v>
      </c>
      <c r="M197" s="490">
        <v>0</v>
      </c>
      <c r="N197" s="490">
        <v>0</v>
      </c>
      <c r="O197" s="490">
        <v>0</v>
      </c>
      <c r="P197" s="491">
        <v>0</v>
      </c>
      <c r="Q197" s="482"/>
      <c r="R197" s="482"/>
      <c r="S197" s="482"/>
      <c r="T197" s="482"/>
      <c r="U197" s="482"/>
      <c r="V197" s="482"/>
      <c r="W197" s="134"/>
      <c r="X197"/>
      <c r="Y197"/>
      <c r="Z197"/>
      <c r="AA197"/>
      <c r="AB197"/>
      <c r="AC197"/>
      <c r="AD197"/>
      <c r="AE197"/>
      <c r="AF197"/>
      <c r="AG197"/>
      <c r="AH197"/>
      <c r="AI197"/>
      <c r="AJ197"/>
      <c r="AK197"/>
    </row>
    <row r="198" spans="1:37" s="501" customFormat="1" ht="12.75" customHeight="1" outlineLevel="1">
      <c r="D198" s="299"/>
      <c r="E198" s="524"/>
      <c r="F198" s="543" t="s">
        <v>610</v>
      </c>
      <c r="G198" s="384">
        <f t="shared" ref="G198:P198" si="69">SUM(G195:G197)</f>
        <v>0</v>
      </c>
      <c r="H198" s="385">
        <f t="shared" si="69"/>
        <v>0</v>
      </c>
      <c r="I198" s="385">
        <f t="shared" si="69"/>
        <v>0</v>
      </c>
      <c r="J198" s="385">
        <f t="shared" si="69"/>
        <v>0</v>
      </c>
      <c r="K198" s="651">
        <f t="shared" si="69"/>
        <v>0</v>
      </c>
      <c r="L198" s="384">
        <f t="shared" si="69"/>
        <v>0</v>
      </c>
      <c r="M198" s="385">
        <f t="shared" si="69"/>
        <v>0</v>
      </c>
      <c r="N198" s="385">
        <f t="shared" si="69"/>
        <v>0</v>
      </c>
      <c r="O198" s="385">
        <f t="shared" si="69"/>
        <v>0</v>
      </c>
      <c r="P198" s="477">
        <f t="shared" si="69"/>
        <v>0</v>
      </c>
      <c r="Q198" s="482"/>
      <c r="R198" s="482"/>
      <c r="S198" s="482"/>
      <c r="T198" s="482"/>
      <c r="U198" s="482"/>
      <c r="V198" s="482"/>
      <c r="W198" s="134"/>
      <c r="X198"/>
      <c r="Y198"/>
      <c r="Z198"/>
      <c r="AA198"/>
      <c r="AB198"/>
      <c r="AC198"/>
      <c r="AD198"/>
      <c r="AE198"/>
      <c r="AF198"/>
      <c r="AG198"/>
      <c r="AH198"/>
      <c r="AI198"/>
      <c r="AJ198"/>
      <c r="AK198"/>
    </row>
    <row r="199" spans="1:37" s="501" customFormat="1" ht="12.75" customHeight="1" outlineLevel="1">
      <c r="D199" s="299"/>
      <c r="E199" s="524"/>
      <c r="F199" s="542" t="s">
        <v>35</v>
      </c>
      <c r="G199" s="486"/>
      <c r="H199" s="485"/>
      <c r="I199" s="485"/>
      <c r="J199" s="485"/>
      <c r="K199" s="650"/>
      <c r="L199" s="486"/>
      <c r="M199" s="485"/>
      <c r="N199" s="485"/>
      <c r="O199" s="485"/>
      <c r="P199" s="487"/>
      <c r="Q199" s="482"/>
      <c r="R199" s="482"/>
      <c r="S199" s="482"/>
      <c r="T199" s="482"/>
      <c r="U199" s="482"/>
      <c r="V199" s="482"/>
      <c r="W199" s="134"/>
      <c r="X199"/>
      <c r="Y199"/>
      <c r="Z199"/>
      <c r="AA199"/>
      <c r="AB199"/>
      <c r="AC199"/>
      <c r="AD199"/>
      <c r="AE199"/>
      <c r="AF199"/>
      <c r="AG199"/>
      <c r="AH199"/>
      <c r="AI199"/>
      <c r="AJ199"/>
      <c r="AK199"/>
    </row>
    <row r="200" spans="1:37" s="501" customFormat="1" ht="12.75" customHeight="1" outlineLevel="1" thickBot="1">
      <c r="D200" s="299"/>
      <c r="E200" s="524"/>
      <c r="F200" s="1501" t="s">
        <v>611</v>
      </c>
      <c r="G200" s="1458">
        <f t="shared" ref="G200:P200" si="70">G198-G199</f>
        <v>0</v>
      </c>
      <c r="H200" s="387">
        <f t="shared" si="70"/>
        <v>0</v>
      </c>
      <c r="I200" s="387">
        <f t="shared" si="70"/>
        <v>0</v>
      </c>
      <c r="J200" s="387">
        <f t="shared" si="70"/>
        <v>0</v>
      </c>
      <c r="K200" s="653">
        <f t="shared" si="70"/>
        <v>0</v>
      </c>
      <c r="L200" s="1458">
        <f t="shared" si="70"/>
        <v>0</v>
      </c>
      <c r="M200" s="387">
        <f>M198-M199</f>
        <v>0</v>
      </c>
      <c r="N200" s="387">
        <f t="shared" si="70"/>
        <v>0</v>
      </c>
      <c r="O200" s="387">
        <f t="shared" si="70"/>
        <v>0</v>
      </c>
      <c r="P200" s="528">
        <f t="shared" si="70"/>
        <v>0</v>
      </c>
      <c r="Q200" s="482"/>
      <c r="R200" s="482"/>
      <c r="S200" s="482"/>
      <c r="T200" s="482"/>
      <c r="U200" s="482"/>
      <c r="V200" s="482"/>
      <c r="W200" s="134"/>
      <c r="X200"/>
      <c r="Y200"/>
      <c r="Z200"/>
      <c r="AA200"/>
      <c r="AB200"/>
      <c r="AC200"/>
      <c r="AD200"/>
      <c r="AE200"/>
      <c r="AF200"/>
      <c r="AG200"/>
      <c r="AH200"/>
      <c r="AI200"/>
      <c r="AJ200"/>
      <c r="AK200"/>
    </row>
    <row r="201" spans="1:37" s="78" customFormat="1" ht="30" customHeight="1" outlineLevel="1">
      <c r="D201" s="299"/>
      <c r="E201" s="567" t="s">
        <v>91</v>
      </c>
      <c r="F201" s="880" t="s">
        <v>619</v>
      </c>
      <c r="G201" s="1699"/>
      <c r="H201" s="1700"/>
      <c r="I201" s="1700"/>
      <c r="J201" s="1700"/>
      <c r="K201" s="1700"/>
      <c r="L201" s="1703"/>
      <c r="M201" s="1704"/>
      <c r="N201" s="1704"/>
      <c r="O201" s="1704"/>
      <c r="P201" s="1705"/>
      <c r="Q201" s="134"/>
      <c r="R201" s="134"/>
      <c r="S201" s="134"/>
      <c r="T201" s="134"/>
      <c r="U201" s="134"/>
      <c r="V201" s="134"/>
      <c r="W201" s="1250"/>
      <c r="X201"/>
      <c r="Y201"/>
      <c r="Z201"/>
      <c r="AA201"/>
      <c r="AB201"/>
      <c r="AC201"/>
      <c r="AD201"/>
      <c r="AE201"/>
      <c r="AF201"/>
      <c r="AG201"/>
      <c r="AH201"/>
      <c r="AI201"/>
      <c r="AJ201"/>
      <c r="AK201"/>
    </row>
    <row r="202" spans="1:37" s="501" customFormat="1" ht="12.75" customHeight="1" outlineLevel="1">
      <c r="A202" s="78"/>
      <c r="B202" s="78"/>
      <c r="C202" s="78"/>
      <c r="D202" s="299"/>
      <c r="E202" s="524"/>
      <c r="F202" s="542" t="s">
        <v>585</v>
      </c>
      <c r="G202" s="1701"/>
      <c r="H202" s="1702"/>
      <c r="I202" s="1702"/>
      <c r="J202" s="1702"/>
      <c r="K202" s="1702"/>
      <c r="L202" s="486"/>
      <c r="M202" s="485"/>
      <c r="N202" s="485"/>
      <c r="O202" s="485"/>
      <c r="P202" s="487"/>
      <c r="Q202" s="482"/>
      <c r="R202" s="482"/>
      <c r="S202" s="482"/>
      <c r="T202" s="482"/>
      <c r="U202" s="482"/>
      <c r="V202" s="482"/>
      <c r="W202" s="134"/>
      <c r="X202"/>
      <c r="Y202"/>
      <c r="Z202"/>
      <c r="AA202"/>
      <c r="AB202"/>
      <c r="AC202"/>
      <c r="AD202"/>
      <c r="AE202"/>
      <c r="AF202"/>
      <c r="AG202"/>
      <c r="AH202"/>
      <c r="AI202"/>
      <c r="AJ202"/>
      <c r="AK202"/>
    </row>
    <row r="203" spans="1:37" s="501" customFormat="1" ht="12.75" customHeight="1" outlineLevel="1">
      <c r="D203" s="299"/>
      <c r="E203" s="524"/>
      <c r="F203" s="542" t="s">
        <v>584</v>
      </c>
      <c r="G203" s="1701"/>
      <c r="H203" s="1702"/>
      <c r="I203" s="1702"/>
      <c r="J203" s="1702"/>
      <c r="K203" s="1702"/>
      <c r="L203" s="486"/>
      <c r="M203" s="485"/>
      <c r="N203" s="485"/>
      <c r="O203" s="485"/>
      <c r="P203" s="487"/>
      <c r="Q203" s="482"/>
      <c r="R203" s="482"/>
      <c r="S203" s="482"/>
      <c r="T203" s="482"/>
      <c r="U203" s="482"/>
      <c r="V203" s="482"/>
      <c r="W203" s="134"/>
      <c r="X203"/>
      <c r="Y203"/>
      <c r="Z203"/>
      <c r="AA203"/>
      <c r="AB203"/>
      <c r="AC203"/>
      <c r="AD203"/>
      <c r="AE203"/>
      <c r="AF203"/>
      <c r="AG203"/>
      <c r="AH203"/>
      <c r="AI203"/>
      <c r="AJ203"/>
      <c r="AK203"/>
    </row>
    <row r="204" spans="1:37" s="501" customFormat="1" ht="12.75" customHeight="1" outlineLevel="1">
      <c r="D204" s="299"/>
      <c r="E204" s="524"/>
      <c r="F204" s="542" t="s">
        <v>604</v>
      </c>
      <c r="G204" s="1701"/>
      <c r="H204" s="1702"/>
      <c r="I204" s="1702"/>
      <c r="J204" s="1702"/>
      <c r="K204" s="1702"/>
      <c r="L204" s="486"/>
      <c r="M204" s="485"/>
      <c r="N204" s="485"/>
      <c r="O204" s="485"/>
      <c r="P204" s="487"/>
      <c r="Q204" s="482"/>
      <c r="R204" s="482"/>
      <c r="S204" s="482"/>
      <c r="T204" s="482"/>
      <c r="U204" s="482"/>
      <c r="V204" s="482"/>
      <c r="W204" s="134"/>
      <c r="X204"/>
      <c r="Y204"/>
      <c r="Z204"/>
      <c r="AA204"/>
      <c r="AB204"/>
      <c r="AC204"/>
      <c r="AD204"/>
      <c r="AE204"/>
      <c r="AF204"/>
      <c r="AG204"/>
      <c r="AH204"/>
      <c r="AI204"/>
      <c r="AJ204"/>
      <c r="AK204"/>
    </row>
    <row r="205" spans="1:37" s="501" customFormat="1" ht="12.75" customHeight="1" outlineLevel="1">
      <c r="D205" s="299"/>
      <c r="E205" s="524"/>
      <c r="F205" s="543" t="s">
        <v>605</v>
      </c>
      <c r="G205" s="486"/>
      <c r="H205" s="485"/>
      <c r="I205" s="485"/>
      <c r="J205" s="485"/>
      <c r="K205" s="650"/>
      <c r="L205" s="384">
        <f>SUM(L202:L204)</f>
        <v>0</v>
      </c>
      <c r="M205" s="385">
        <f>SUM(M202:M204)</f>
        <v>0</v>
      </c>
      <c r="N205" s="385">
        <f>SUM(N202:N204)</f>
        <v>0</v>
      </c>
      <c r="O205" s="385">
        <f>SUM(O202:O204)</f>
        <v>0</v>
      </c>
      <c r="P205" s="477">
        <f>SUM(P202:P204)</f>
        <v>0</v>
      </c>
      <c r="Q205" s="482"/>
      <c r="R205" s="482"/>
      <c r="S205" s="482"/>
      <c r="T205" s="482"/>
      <c r="U205" s="482"/>
      <c r="V205" s="482"/>
      <c r="W205" s="134"/>
      <c r="X205"/>
      <c r="Y205"/>
      <c r="Z205"/>
      <c r="AA205"/>
      <c r="AB205"/>
      <c r="AC205"/>
      <c r="AD205"/>
      <c r="AE205"/>
      <c r="AF205"/>
      <c r="AG205"/>
      <c r="AH205"/>
      <c r="AI205"/>
      <c r="AJ205"/>
      <c r="AK205"/>
    </row>
    <row r="206" spans="1:37" s="501" customFormat="1" ht="12.75" customHeight="1" outlineLevel="1">
      <c r="D206" s="299"/>
      <c r="E206" s="524"/>
      <c r="F206" s="542" t="s">
        <v>609</v>
      </c>
      <c r="G206" s="486"/>
      <c r="H206" s="485"/>
      <c r="I206" s="485"/>
      <c r="J206" s="485"/>
      <c r="K206" s="650"/>
      <c r="L206" s="536">
        <v>0</v>
      </c>
      <c r="M206" s="537">
        <v>0</v>
      </c>
      <c r="N206" s="537">
        <v>0</v>
      </c>
      <c r="O206" s="537">
        <v>0</v>
      </c>
      <c r="P206" s="573">
        <v>0</v>
      </c>
      <c r="Q206" s="482"/>
      <c r="R206" s="482"/>
      <c r="S206" s="482"/>
      <c r="T206" s="482"/>
      <c r="U206" s="482"/>
      <c r="V206" s="482"/>
      <c r="W206" s="134"/>
      <c r="X206"/>
      <c r="Y206"/>
      <c r="Z206"/>
      <c r="AA206"/>
      <c r="AB206"/>
      <c r="AC206"/>
      <c r="AD206"/>
      <c r="AE206"/>
      <c r="AF206"/>
      <c r="AG206"/>
      <c r="AH206"/>
      <c r="AI206"/>
      <c r="AJ206"/>
      <c r="AK206"/>
    </row>
    <row r="207" spans="1:37" s="501" customFormat="1" ht="12.75" customHeight="1" outlineLevel="1">
      <c r="D207" s="299"/>
      <c r="E207" s="524"/>
      <c r="F207" s="542" t="s">
        <v>607</v>
      </c>
      <c r="G207" s="486"/>
      <c r="H207" s="485"/>
      <c r="I207" s="485"/>
      <c r="J207" s="485"/>
      <c r="K207" s="650"/>
      <c r="L207" s="489">
        <v>0</v>
      </c>
      <c r="M207" s="490">
        <v>0</v>
      </c>
      <c r="N207" s="490">
        <v>0</v>
      </c>
      <c r="O207" s="490">
        <v>0</v>
      </c>
      <c r="P207" s="491">
        <v>0</v>
      </c>
      <c r="Q207" s="482"/>
      <c r="R207" s="482"/>
      <c r="S207" s="482"/>
      <c r="T207" s="482"/>
      <c r="U207" s="482"/>
      <c r="V207" s="482"/>
      <c r="W207" s="134"/>
      <c r="X207"/>
      <c r="Y207"/>
      <c r="Z207"/>
      <c r="AA207"/>
      <c r="AB207"/>
      <c r="AC207"/>
      <c r="AD207"/>
      <c r="AE207"/>
      <c r="AF207"/>
      <c r="AG207"/>
      <c r="AH207"/>
      <c r="AI207"/>
      <c r="AJ207"/>
      <c r="AK207"/>
    </row>
    <row r="208" spans="1:37" s="501" customFormat="1" ht="12.75" customHeight="1" outlineLevel="1">
      <c r="D208" s="299"/>
      <c r="E208" s="524"/>
      <c r="F208" s="543" t="s">
        <v>610</v>
      </c>
      <c r="G208" s="384">
        <f t="shared" ref="G208:P208" si="71">SUM(G205:G207)</f>
        <v>0</v>
      </c>
      <c r="H208" s="385">
        <f t="shared" si="71"/>
        <v>0</v>
      </c>
      <c r="I208" s="385">
        <f t="shared" si="71"/>
        <v>0</v>
      </c>
      <c r="J208" s="385">
        <f t="shared" si="71"/>
        <v>0</v>
      </c>
      <c r="K208" s="651">
        <f t="shared" si="71"/>
        <v>0</v>
      </c>
      <c r="L208" s="384">
        <f t="shared" si="71"/>
        <v>0</v>
      </c>
      <c r="M208" s="385">
        <f t="shared" si="71"/>
        <v>0</v>
      </c>
      <c r="N208" s="385">
        <f t="shared" si="71"/>
        <v>0</v>
      </c>
      <c r="O208" s="385">
        <f t="shared" si="71"/>
        <v>0</v>
      </c>
      <c r="P208" s="477">
        <f t="shared" si="71"/>
        <v>0</v>
      </c>
      <c r="Q208" s="482"/>
      <c r="R208" s="482"/>
      <c r="S208" s="482"/>
      <c r="T208" s="482"/>
      <c r="U208" s="482"/>
      <c r="V208" s="482"/>
      <c r="W208" s="134"/>
      <c r="X208"/>
      <c r="Y208"/>
      <c r="Z208"/>
      <c r="AA208"/>
      <c r="AB208"/>
      <c r="AC208"/>
      <c r="AD208"/>
      <c r="AE208"/>
      <c r="AF208"/>
      <c r="AG208"/>
      <c r="AH208"/>
      <c r="AI208"/>
      <c r="AJ208"/>
      <c r="AK208"/>
    </row>
    <row r="209" spans="1:37" s="501" customFormat="1" ht="12.75" customHeight="1" outlineLevel="1">
      <c r="D209" s="299"/>
      <c r="E209" s="524"/>
      <c r="F209" s="542" t="s">
        <v>35</v>
      </c>
      <c r="G209" s="486"/>
      <c r="H209" s="485"/>
      <c r="I209" s="485"/>
      <c r="J209" s="485"/>
      <c r="K209" s="650"/>
      <c r="L209" s="486"/>
      <c r="M209" s="485"/>
      <c r="N209" s="485"/>
      <c r="O209" s="485"/>
      <c r="P209" s="487"/>
      <c r="Q209" s="482"/>
      <c r="R209" s="482"/>
      <c r="S209" s="482"/>
      <c r="T209" s="482"/>
      <c r="U209" s="482"/>
      <c r="V209" s="482"/>
      <c r="W209" s="134"/>
      <c r="X209"/>
      <c r="Y209"/>
      <c r="Z209"/>
      <c r="AA209"/>
      <c r="AB209"/>
      <c r="AC209"/>
      <c r="AD209"/>
      <c r="AE209"/>
      <c r="AF209"/>
      <c r="AG209"/>
      <c r="AH209"/>
      <c r="AI209"/>
      <c r="AJ209"/>
      <c r="AK209"/>
    </row>
    <row r="210" spans="1:37" s="501" customFormat="1" ht="12.75" customHeight="1" outlineLevel="1" thickBot="1">
      <c r="D210" s="299"/>
      <c r="E210" s="525"/>
      <c r="F210" s="1501" t="s">
        <v>611</v>
      </c>
      <c r="G210" s="1458">
        <f t="shared" ref="G210:P210" si="72">G208-G209</f>
        <v>0</v>
      </c>
      <c r="H210" s="387">
        <f t="shared" si="72"/>
        <v>0</v>
      </c>
      <c r="I210" s="387">
        <f t="shared" si="72"/>
        <v>0</v>
      </c>
      <c r="J210" s="387">
        <f t="shared" si="72"/>
        <v>0</v>
      </c>
      <c r="K210" s="653">
        <f t="shared" si="72"/>
        <v>0</v>
      </c>
      <c r="L210" s="1458">
        <f t="shared" si="72"/>
        <v>0</v>
      </c>
      <c r="M210" s="387">
        <f>M208-M209</f>
        <v>0</v>
      </c>
      <c r="N210" s="387">
        <f t="shared" si="72"/>
        <v>0</v>
      </c>
      <c r="O210" s="387">
        <f t="shared" si="72"/>
        <v>0</v>
      </c>
      <c r="P210" s="528">
        <f t="shared" si="72"/>
        <v>0</v>
      </c>
      <c r="Q210" s="482"/>
      <c r="R210" s="482"/>
      <c r="S210" s="482"/>
      <c r="T210" s="482"/>
      <c r="U210" s="482"/>
      <c r="V210" s="482"/>
      <c r="W210" s="134"/>
      <c r="X210"/>
      <c r="Y210"/>
      <c r="Z210"/>
      <c r="AA210"/>
      <c r="AB210"/>
      <c r="AC210"/>
      <c r="AD210"/>
      <c r="AE210"/>
      <c r="AF210"/>
      <c r="AG210"/>
      <c r="AH210"/>
      <c r="AI210"/>
      <c r="AJ210"/>
      <c r="AK210"/>
    </row>
    <row r="211" spans="1:37" s="501" customFormat="1" ht="19.5" customHeight="1">
      <c r="D211" s="299"/>
      <c r="E211" s="4256" t="str">
        <f>CONCATENATE(E190, " Totals")</f>
        <v>SCADA Totals</v>
      </c>
      <c r="F211" s="3107" t="str">
        <f>CONCATENATE("Total direct expenditure - ",E190)</f>
        <v>Total direct expenditure - SCADA</v>
      </c>
      <c r="G211" s="1534">
        <v>1155257.4390235003</v>
      </c>
      <c r="H211" s="562">
        <v>905826.85559797159</v>
      </c>
      <c r="I211" s="562">
        <v>892698.93015452288</v>
      </c>
      <c r="J211" s="562">
        <v>984594.40825866489</v>
      </c>
      <c r="K211" s="575">
        <v>275686.43431242614</v>
      </c>
      <c r="L211" s="1534">
        <v>240684.95073891501</v>
      </c>
      <c r="M211" s="562">
        <v>155577.34399981037</v>
      </c>
      <c r="N211" s="562">
        <v>46979.53252337889</v>
      </c>
      <c r="O211" s="562">
        <v>46979.53252337889</v>
      </c>
      <c r="P211" s="563">
        <v>46979.53252337889</v>
      </c>
      <c r="Q211" s="134"/>
      <c r="R211" s="134"/>
      <c r="S211" s="134"/>
      <c r="T211" s="134"/>
      <c r="U211" s="134"/>
      <c r="V211" s="134"/>
      <c r="W211" s="1250"/>
      <c r="X211"/>
      <c r="Y211"/>
      <c r="Z211"/>
      <c r="AA211"/>
      <c r="AB211"/>
      <c r="AC211"/>
      <c r="AD211"/>
      <c r="AE211"/>
      <c r="AF211"/>
      <c r="AG211"/>
      <c r="AH211"/>
      <c r="AI211"/>
      <c r="AJ211"/>
      <c r="AK211"/>
    </row>
    <row r="212" spans="1:37" s="501" customFormat="1" ht="12.75" customHeight="1">
      <c r="D212" s="299"/>
      <c r="E212" s="4257"/>
      <c r="F212" s="329" t="str">
        <f>CONCATENATE("Total overhead expenditure - ",E190)</f>
        <v>Total overhead expenditure - SCADA</v>
      </c>
      <c r="G212" s="559">
        <f ca="1">SUMIF($E$191:$P$210,"Total overhead expenditure",G$191:G$210)</f>
        <v>0</v>
      </c>
      <c r="H212" s="521">
        <f ca="1">SUMIF($E$191:$P$210,"Total overhead expenditure",H$191:H$210)</f>
        <v>0</v>
      </c>
      <c r="I212" s="521">
        <f ca="1">SUMIF($E$191:$P$210,"Total overhead expenditure",I$191:I$210)</f>
        <v>0</v>
      </c>
      <c r="J212" s="521">
        <f ca="1">SUMIF($E$191:$P$210,"Total overhead expenditure",J$191:J$210)</f>
        <v>0</v>
      </c>
      <c r="K212" s="526">
        <f ca="1">SUMIF($E$191:$P$210,"Total overhead expenditure",K$191:K$210)</f>
        <v>0</v>
      </c>
      <c r="L212" s="559">
        <f>L211*0.04194</f>
        <v>10094.326833990095</v>
      </c>
      <c r="M212" s="559">
        <f>M211*0.04194</f>
        <v>6524.9138073520471</v>
      </c>
      <c r="N212" s="559">
        <f>N211*0.04194</f>
        <v>1970.3215940305106</v>
      </c>
      <c r="O212" s="559">
        <f>O211*0.04194</f>
        <v>1970.3215940305106</v>
      </c>
      <c r="P212" s="559">
        <f>P211*0.04194</f>
        <v>1970.3215940305106</v>
      </c>
      <c r="Q212" s="1249"/>
      <c r="R212" s="482"/>
      <c r="S212" s="482"/>
      <c r="T212" s="482"/>
      <c r="U212" s="482"/>
      <c r="V212" s="482"/>
      <c r="W212" s="1250"/>
      <c r="X212"/>
      <c r="Y212"/>
      <c r="Z212"/>
      <c r="AA212"/>
      <c r="AB212"/>
      <c r="AC212"/>
      <c r="AD212"/>
      <c r="AE212"/>
      <c r="AF212"/>
      <c r="AG212"/>
      <c r="AH212"/>
      <c r="AI212"/>
      <c r="AJ212"/>
      <c r="AK212"/>
    </row>
    <row r="213" spans="1:37" s="501" customFormat="1" ht="12.75" customHeight="1">
      <c r="D213" s="299"/>
      <c r="E213" s="4257"/>
      <c r="F213" s="329" t="str">
        <f>CONCATENATE("Related party margin expenditure - ",E190)</f>
        <v>Related party margin expenditure - SCADA</v>
      </c>
      <c r="G213" s="559">
        <f t="shared" ref="G213:P213" ca="1" si="73">SUMIF($E$191:$P$210,"Related party margin",G$191:G$210)</f>
        <v>0</v>
      </c>
      <c r="H213" s="521">
        <f t="shared" ca="1" si="73"/>
        <v>0</v>
      </c>
      <c r="I213" s="521">
        <f t="shared" ca="1" si="73"/>
        <v>0</v>
      </c>
      <c r="J213" s="521">
        <f t="shared" ca="1" si="73"/>
        <v>0</v>
      </c>
      <c r="K213" s="526">
        <f t="shared" ca="1" si="73"/>
        <v>0</v>
      </c>
      <c r="L213" s="559">
        <f t="shared" ca="1" si="73"/>
        <v>0</v>
      </c>
      <c r="M213" s="521">
        <f t="shared" ca="1" si="73"/>
        <v>0</v>
      </c>
      <c r="N213" s="521">
        <f t="shared" ca="1" si="73"/>
        <v>0</v>
      </c>
      <c r="O213" s="521">
        <f t="shared" ca="1" si="73"/>
        <v>0</v>
      </c>
      <c r="P213" s="523">
        <f t="shared" ca="1" si="73"/>
        <v>0</v>
      </c>
      <c r="Q213" s="482"/>
      <c r="R213" s="482"/>
      <c r="S213" s="482"/>
      <c r="T213" s="482"/>
      <c r="U213" s="482"/>
      <c r="V213" s="482"/>
      <c r="W213" s="1250"/>
      <c r="X213"/>
      <c r="Y213"/>
      <c r="Z213"/>
      <c r="AA213"/>
      <c r="AB213"/>
      <c r="AC213"/>
      <c r="AD213"/>
      <c r="AE213"/>
      <c r="AF213"/>
      <c r="AG213"/>
      <c r="AH213"/>
      <c r="AI213"/>
      <c r="AJ213"/>
      <c r="AK213"/>
    </row>
    <row r="214" spans="1:37" s="69" customFormat="1" ht="12.75" customHeight="1">
      <c r="A214" s="75"/>
      <c r="B214" s="75"/>
      <c r="C214" s="75"/>
      <c r="D214" s="348"/>
      <c r="E214" s="4257"/>
      <c r="F214" s="1721" t="str">
        <f>CONCATENATE("Total gross expenditure - ",E190)</f>
        <v>Total gross expenditure - SCADA</v>
      </c>
      <c r="G214" s="1238">
        <f ca="1">SUM(G211:G213)</f>
        <v>1155257.4390235003</v>
      </c>
      <c r="H214" s="1238">
        <f t="shared" ref="H214:P214" ca="1" si="74">SUM(H211:H213)</f>
        <v>905826.85559797159</v>
      </c>
      <c r="I214" s="1238">
        <f t="shared" ca="1" si="74"/>
        <v>892698.93015452288</v>
      </c>
      <c r="J214" s="1238">
        <f t="shared" ca="1" si="74"/>
        <v>984594.40825866489</v>
      </c>
      <c r="K214" s="1238">
        <f t="shared" ca="1" si="74"/>
        <v>275686.43431242614</v>
      </c>
      <c r="L214" s="1238">
        <f t="shared" ca="1" si="74"/>
        <v>250779.27757290509</v>
      </c>
      <c r="M214" s="1238">
        <f t="shared" ca="1" si="74"/>
        <v>162102.25780716242</v>
      </c>
      <c r="N214" s="1238">
        <f t="shared" ca="1" si="74"/>
        <v>48949.854117409399</v>
      </c>
      <c r="O214" s="1238">
        <f t="shared" ca="1" si="74"/>
        <v>48949.854117409399</v>
      </c>
      <c r="P214" s="1238">
        <f t="shared" ca="1" si="74"/>
        <v>48949.854117409399</v>
      </c>
      <c r="Q214" s="156"/>
      <c r="R214" s="134"/>
      <c r="S214" s="134"/>
      <c r="T214" s="134"/>
      <c r="U214" s="134"/>
      <c r="V214" s="134"/>
      <c r="W214" s="1250"/>
      <c r="X214"/>
      <c r="Y214"/>
      <c r="Z214"/>
      <c r="AA214"/>
      <c r="AB214"/>
      <c r="AC214"/>
      <c r="AD214"/>
      <c r="AE214"/>
      <c r="AF214"/>
      <c r="AG214"/>
      <c r="AH214"/>
      <c r="AI214"/>
      <c r="AJ214"/>
      <c r="AK214"/>
    </row>
    <row r="215" spans="1:37" s="69" customFormat="1" ht="12.75" customHeight="1">
      <c r="A215" s="75"/>
      <c r="B215" s="75"/>
      <c r="C215" s="75"/>
      <c r="D215" s="348"/>
      <c r="E215" s="4257"/>
      <c r="F215" s="329" t="s">
        <v>35</v>
      </c>
      <c r="G215" s="559">
        <f t="shared" ref="G215:P215" ca="1" si="75">SUMIF($E$191:$P$210,"Less customer contributions",G$191:G$210)</f>
        <v>0</v>
      </c>
      <c r="H215" s="559">
        <f t="shared" ca="1" si="75"/>
        <v>0</v>
      </c>
      <c r="I215" s="559">
        <f t="shared" ca="1" si="75"/>
        <v>0</v>
      </c>
      <c r="J215" s="559">
        <f t="shared" ca="1" si="75"/>
        <v>0</v>
      </c>
      <c r="K215" s="559">
        <f t="shared" ca="1" si="75"/>
        <v>0</v>
      </c>
      <c r="L215" s="559">
        <f t="shared" ca="1" si="75"/>
        <v>0</v>
      </c>
      <c r="M215" s="559">
        <f t="shared" ca="1" si="75"/>
        <v>0</v>
      </c>
      <c r="N215" s="559">
        <f t="shared" ca="1" si="75"/>
        <v>0</v>
      </c>
      <c r="O215" s="559">
        <f t="shared" ca="1" si="75"/>
        <v>0</v>
      </c>
      <c r="P215" s="559">
        <f t="shared" ca="1" si="75"/>
        <v>0</v>
      </c>
      <c r="Q215" s="137"/>
      <c r="R215" s="137"/>
      <c r="S215" s="137"/>
      <c r="T215" s="137"/>
      <c r="U215" s="137"/>
      <c r="V215" s="137"/>
      <c r="W215" s="1250"/>
      <c r="X215"/>
      <c r="Y215"/>
      <c r="Z215"/>
      <c r="AA215"/>
      <c r="AB215"/>
      <c r="AC215"/>
      <c r="AD215"/>
      <c r="AE215"/>
      <c r="AF215"/>
      <c r="AG215"/>
      <c r="AH215"/>
      <c r="AI215"/>
      <c r="AJ215"/>
      <c r="AK215"/>
    </row>
    <row r="216" spans="1:37" s="69" customFormat="1" ht="12.75" customHeight="1" thickBot="1">
      <c r="A216" s="75"/>
      <c r="B216" s="75"/>
      <c r="C216" s="75"/>
      <c r="D216" s="348"/>
      <c r="E216" s="4258"/>
      <c r="F216" s="1722" t="str">
        <f>CONCATENATE("Total net expenditure - ",E190)</f>
        <v>Total net expenditure - SCADA</v>
      </c>
      <c r="G216" s="1535">
        <f ca="1">-G215+G214</f>
        <v>1155257.4390235003</v>
      </c>
      <c r="H216" s="1535">
        <f t="shared" ref="H216:P216" ca="1" si="76">-H215+H214</f>
        <v>905826.85559797159</v>
      </c>
      <c r="I216" s="1535">
        <f t="shared" ca="1" si="76"/>
        <v>892698.93015452288</v>
      </c>
      <c r="J216" s="1535">
        <f t="shared" ca="1" si="76"/>
        <v>984594.40825866489</v>
      </c>
      <c r="K216" s="1535">
        <f t="shared" ca="1" si="76"/>
        <v>275686.43431242614</v>
      </c>
      <c r="L216" s="1535">
        <f t="shared" ca="1" si="76"/>
        <v>250779.27757290509</v>
      </c>
      <c r="M216" s="1535">
        <f t="shared" ca="1" si="76"/>
        <v>162102.25780716242</v>
      </c>
      <c r="N216" s="1535">
        <f t="shared" ca="1" si="76"/>
        <v>48949.854117409399</v>
      </c>
      <c r="O216" s="1535">
        <f t="shared" ca="1" si="76"/>
        <v>48949.854117409399</v>
      </c>
      <c r="P216" s="1535">
        <f t="shared" ca="1" si="76"/>
        <v>48949.854117409399</v>
      </c>
      <c r="Q216" s="137"/>
      <c r="R216" s="137"/>
      <c r="S216" s="137"/>
      <c r="T216" s="137"/>
      <c r="U216" s="137"/>
      <c r="V216" s="137"/>
      <c r="W216" s="1250"/>
      <c r="X216"/>
      <c r="Y216"/>
      <c r="Z216"/>
      <c r="AA216"/>
      <c r="AB216"/>
      <c r="AC216"/>
      <c r="AD216"/>
      <c r="AE216"/>
      <c r="AF216"/>
      <c r="AG216"/>
      <c r="AH216"/>
      <c r="AI216"/>
      <c r="AJ216"/>
      <c r="AK216"/>
    </row>
    <row r="217" spans="1:37" s="78" customFormat="1" ht="30.75" customHeight="1" thickBot="1">
      <c r="A217" s="299"/>
      <c r="B217" s="299"/>
      <c r="C217" s="299"/>
      <c r="D217" s="299"/>
      <c r="E217" s="4270" t="s">
        <v>361</v>
      </c>
      <c r="F217" s="4271"/>
      <c r="G217" s="1706"/>
      <c r="H217" s="3542"/>
      <c r="I217" s="3542"/>
      <c r="J217" s="3542"/>
      <c r="K217" s="3542"/>
      <c r="L217" s="3542"/>
      <c r="M217" s="3542"/>
      <c r="N217" s="3542"/>
      <c r="O217" s="3542"/>
      <c r="P217" s="3543"/>
      <c r="Q217" s="501"/>
      <c r="R217" s="501"/>
      <c r="S217" s="501"/>
      <c r="T217" s="501"/>
      <c r="U217" s="501"/>
      <c r="V217" s="501"/>
      <c r="W217" s="501"/>
      <c r="X217"/>
      <c r="Y217"/>
      <c r="Z217"/>
      <c r="AA217"/>
      <c r="AB217"/>
      <c r="AC217"/>
      <c r="AD217"/>
      <c r="AE217"/>
      <c r="AF217"/>
      <c r="AG217"/>
      <c r="AH217"/>
      <c r="AI217"/>
      <c r="AJ217"/>
      <c r="AK217"/>
    </row>
    <row r="218" spans="1:37" s="501" customFormat="1" ht="30" customHeight="1" outlineLevel="1">
      <c r="D218" s="299"/>
      <c r="E218" s="567" t="s">
        <v>91</v>
      </c>
      <c r="F218" s="880" t="s">
        <v>619</v>
      </c>
      <c r="G218" s="1699"/>
      <c r="H218" s="1700"/>
      <c r="I218" s="1700"/>
      <c r="J218" s="1700"/>
      <c r="K218" s="1700"/>
      <c r="L218" s="1703"/>
      <c r="M218" s="1704"/>
      <c r="N218" s="1704"/>
      <c r="O218" s="1704"/>
      <c r="P218" s="1705"/>
      <c r="Q218" s="134"/>
      <c r="R218" s="134"/>
      <c r="S218" s="134"/>
      <c r="T218" s="134"/>
      <c r="U218" s="134"/>
      <c r="V218" s="134"/>
      <c r="W218" s="1250"/>
      <c r="X218"/>
      <c r="Y218"/>
      <c r="Z218"/>
      <c r="AA218"/>
      <c r="AB218"/>
      <c r="AC218"/>
      <c r="AD218"/>
      <c r="AE218"/>
      <c r="AF218"/>
      <c r="AG218"/>
      <c r="AH218"/>
      <c r="AI218"/>
      <c r="AJ218"/>
      <c r="AK218"/>
    </row>
    <row r="219" spans="1:37" s="501" customFormat="1" ht="12.75" customHeight="1" outlineLevel="1">
      <c r="A219" s="78"/>
      <c r="B219" s="78"/>
      <c r="C219" s="78"/>
      <c r="D219" s="299"/>
      <c r="E219" s="524"/>
      <c r="F219" s="542" t="s">
        <v>585</v>
      </c>
      <c r="G219" s="1701"/>
      <c r="H219" s="1702"/>
      <c r="I219" s="1702"/>
      <c r="J219" s="1702"/>
      <c r="K219" s="1702"/>
      <c r="L219" s="486"/>
      <c r="M219" s="485"/>
      <c r="N219" s="485"/>
      <c r="O219" s="485"/>
      <c r="P219" s="487"/>
      <c r="Q219" s="482"/>
      <c r="R219" s="482"/>
      <c r="S219" s="482"/>
      <c r="T219" s="482"/>
      <c r="U219" s="482"/>
      <c r="V219" s="482"/>
      <c r="W219" s="134"/>
      <c r="X219"/>
      <c r="Y219"/>
      <c r="Z219"/>
      <c r="AA219"/>
      <c r="AB219"/>
      <c r="AC219"/>
      <c r="AD219"/>
      <c r="AE219"/>
      <c r="AF219"/>
      <c r="AG219"/>
      <c r="AH219"/>
      <c r="AI219"/>
      <c r="AJ219"/>
      <c r="AK219"/>
    </row>
    <row r="220" spans="1:37" s="501" customFormat="1" ht="12.75" customHeight="1" outlineLevel="1">
      <c r="D220" s="299"/>
      <c r="E220" s="524"/>
      <c r="F220" s="542" t="s">
        <v>584</v>
      </c>
      <c r="G220" s="1701"/>
      <c r="H220" s="1702"/>
      <c r="I220" s="1702"/>
      <c r="J220" s="1702"/>
      <c r="K220" s="1702"/>
      <c r="L220" s="486"/>
      <c r="M220" s="485"/>
      <c r="N220" s="485"/>
      <c r="O220" s="485"/>
      <c r="P220" s="487"/>
      <c r="Q220" s="482"/>
      <c r="R220" s="482"/>
      <c r="S220" s="482"/>
      <c r="T220" s="482"/>
      <c r="U220" s="482"/>
      <c r="V220" s="482"/>
      <c r="W220" s="134"/>
      <c r="X220"/>
      <c r="Y220"/>
      <c r="Z220"/>
      <c r="AA220"/>
      <c r="AB220"/>
      <c r="AC220"/>
      <c r="AD220"/>
      <c r="AE220"/>
      <c r="AF220"/>
      <c r="AG220"/>
      <c r="AH220"/>
      <c r="AI220"/>
      <c r="AJ220"/>
      <c r="AK220"/>
    </row>
    <row r="221" spans="1:37" s="501" customFormat="1" ht="12.75" customHeight="1" outlineLevel="1">
      <c r="D221" s="299"/>
      <c r="E221" s="524"/>
      <c r="F221" s="542" t="s">
        <v>604</v>
      </c>
      <c r="G221" s="1701"/>
      <c r="H221" s="1702"/>
      <c r="I221" s="1702"/>
      <c r="J221" s="1702"/>
      <c r="K221" s="1702"/>
      <c r="L221" s="486"/>
      <c r="M221" s="485"/>
      <c r="N221" s="485"/>
      <c r="O221" s="485"/>
      <c r="P221" s="487"/>
      <c r="Q221" s="482"/>
      <c r="R221" s="482"/>
      <c r="S221" s="482"/>
      <c r="T221" s="482"/>
      <c r="U221" s="482"/>
      <c r="V221" s="482"/>
      <c r="W221" s="134"/>
      <c r="X221"/>
      <c r="Y221"/>
      <c r="Z221"/>
      <c r="AA221"/>
      <c r="AB221"/>
      <c r="AC221"/>
      <c r="AD221"/>
      <c r="AE221"/>
      <c r="AF221"/>
      <c r="AG221"/>
      <c r="AH221"/>
      <c r="AI221"/>
      <c r="AJ221"/>
      <c r="AK221"/>
    </row>
    <row r="222" spans="1:37" s="501" customFormat="1" ht="12.75" customHeight="1" outlineLevel="1">
      <c r="D222" s="299"/>
      <c r="E222" s="524"/>
      <c r="F222" s="543" t="s">
        <v>605</v>
      </c>
      <c r="G222" s="486"/>
      <c r="H222" s="485"/>
      <c r="I222" s="485"/>
      <c r="J222" s="485"/>
      <c r="K222" s="650"/>
      <c r="L222" s="384">
        <f>SUM(L219:L221)</f>
        <v>0</v>
      </c>
      <c r="M222" s="385">
        <f>SUM(M219:M221)</f>
        <v>0</v>
      </c>
      <c r="N222" s="385">
        <f>SUM(N219:N221)</f>
        <v>0</v>
      </c>
      <c r="O222" s="385">
        <f>SUM(O219:O221)</f>
        <v>0</v>
      </c>
      <c r="P222" s="477">
        <f>SUM(P219:P221)</f>
        <v>0</v>
      </c>
      <c r="Q222" s="482"/>
      <c r="R222" s="482"/>
      <c r="S222" s="482"/>
      <c r="T222" s="482"/>
      <c r="U222" s="482"/>
      <c r="V222" s="482"/>
      <c r="W222" s="134"/>
      <c r="X222"/>
      <c r="Y222"/>
      <c r="Z222"/>
      <c r="AA222"/>
      <c r="AB222"/>
      <c r="AC222"/>
      <c r="AD222"/>
      <c r="AE222"/>
      <c r="AF222"/>
      <c r="AG222"/>
      <c r="AH222"/>
      <c r="AI222"/>
      <c r="AJ222"/>
      <c r="AK222"/>
    </row>
    <row r="223" spans="1:37" s="501" customFormat="1" ht="12.75" customHeight="1" outlineLevel="1">
      <c r="D223" s="299"/>
      <c r="E223" s="524"/>
      <c r="F223" s="542" t="s">
        <v>609</v>
      </c>
      <c r="G223" s="486"/>
      <c r="H223" s="485"/>
      <c r="I223" s="485"/>
      <c r="J223" s="485"/>
      <c r="K223" s="650"/>
      <c r="L223" s="536">
        <v>0</v>
      </c>
      <c r="M223" s="537">
        <v>0</v>
      </c>
      <c r="N223" s="537">
        <v>0</v>
      </c>
      <c r="O223" s="537">
        <v>0</v>
      </c>
      <c r="P223" s="573">
        <v>0</v>
      </c>
      <c r="Q223" s="482"/>
      <c r="R223" s="482"/>
      <c r="S223" s="482"/>
      <c r="T223" s="482"/>
      <c r="U223" s="482"/>
      <c r="V223" s="482"/>
      <c r="W223" s="134"/>
      <c r="X223"/>
      <c r="Y223"/>
      <c r="Z223"/>
      <c r="AA223"/>
      <c r="AB223"/>
      <c r="AC223"/>
      <c r="AD223"/>
      <c r="AE223"/>
      <c r="AF223"/>
      <c r="AG223"/>
      <c r="AH223"/>
      <c r="AI223"/>
      <c r="AJ223"/>
      <c r="AK223"/>
    </row>
    <row r="224" spans="1:37" s="501" customFormat="1" ht="12.75" customHeight="1" outlineLevel="1">
      <c r="D224" s="299"/>
      <c r="E224" s="524"/>
      <c r="F224" s="542" t="s">
        <v>607</v>
      </c>
      <c r="G224" s="486"/>
      <c r="H224" s="485"/>
      <c r="I224" s="485"/>
      <c r="J224" s="485"/>
      <c r="K224" s="650"/>
      <c r="L224" s="489">
        <v>0</v>
      </c>
      <c r="M224" s="490">
        <v>0</v>
      </c>
      <c r="N224" s="490">
        <v>0</v>
      </c>
      <c r="O224" s="490">
        <v>0</v>
      </c>
      <c r="P224" s="491">
        <v>0</v>
      </c>
      <c r="Q224" s="482"/>
      <c r="R224" s="482"/>
      <c r="S224" s="482"/>
      <c r="T224" s="482"/>
      <c r="U224" s="482"/>
      <c r="V224" s="482"/>
      <c r="W224" s="134"/>
      <c r="X224"/>
      <c r="Y224"/>
      <c r="Z224"/>
      <c r="AA224"/>
      <c r="AB224"/>
      <c r="AC224"/>
      <c r="AD224"/>
      <c r="AE224"/>
      <c r="AF224"/>
      <c r="AG224"/>
      <c r="AH224"/>
      <c r="AI224"/>
      <c r="AJ224"/>
      <c r="AK224"/>
    </row>
    <row r="225" spans="1:37" s="501" customFormat="1" ht="12.75" customHeight="1" outlineLevel="1">
      <c r="D225" s="299"/>
      <c r="E225" s="524"/>
      <c r="F225" s="543" t="s">
        <v>610</v>
      </c>
      <c r="G225" s="384">
        <f t="shared" ref="G225:P225" si="77">SUM(G222:G224)</f>
        <v>0</v>
      </c>
      <c r="H225" s="385">
        <f t="shared" si="77"/>
        <v>0</v>
      </c>
      <c r="I225" s="385">
        <f t="shared" si="77"/>
        <v>0</v>
      </c>
      <c r="J225" s="385">
        <f t="shared" si="77"/>
        <v>0</v>
      </c>
      <c r="K225" s="651">
        <f t="shared" si="77"/>
        <v>0</v>
      </c>
      <c r="L225" s="384">
        <f t="shared" si="77"/>
        <v>0</v>
      </c>
      <c r="M225" s="385">
        <f t="shared" si="77"/>
        <v>0</v>
      </c>
      <c r="N225" s="385">
        <f t="shared" si="77"/>
        <v>0</v>
      </c>
      <c r="O225" s="385">
        <f t="shared" si="77"/>
        <v>0</v>
      </c>
      <c r="P225" s="477">
        <f t="shared" si="77"/>
        <v>0</v>
      </c>
      <c r="Q225" s="482"/>
      <c r="R225" s="482"/>
      <c r="S225" s="482"/>
      <c r="T225" s="482"/>
      <c r="U225" s="482"/>
      <c r="V225" s="482"/>
      <c r="W225" s="134"/>
      <c r="X225"/>
      <c r="Y225"/>
      <c r="Z225"/>
      <c r="AA225"/>
      <c r="AB225"/>
      <c r="AC225"/>
      <c r="AD225"/>
      <c r="AE225"/>
      <c r="AF225"/>
      <c r="AG225"/>
      <c r="AH225"/>
      <c r="AI225"/>
      <c r="AJ225"/>
      <c r="AK225"/>
    </row>
    <row r="226" spans="1:37" s="501" customFormat="1" ht="12.75" customHeight="1" outlineLevel="1">
      <c r="D226" s="299"/>
      <c r="E226" s="524"/>
      <c r="F226" s="542" t="s">
        <v>35</v>
      </c>
      <c r="G226" s="486"/>
      <c r="H226" s="485"/>
      <c r="I226" s="485"/>
      <c r="J226" s="485"/>
      <c r="K226" s="650"/>
      <c r="L226" s="486"/>
      <c r="M226" s="485"/>
      <c r="N226" s="485"/>
      <c r="O226" s="485"/>
      <c r="P226" s="487"/>
      <c r="Q226" s="482"/>
      <c r="R226" s="482"/>
      <c r="S226" s="482"/>
      <c r="T226" s="482"/>
      <c r="U226" s="482"/>
      <c r="V226" s="482"/>
      <c r="W226" s="134"/>
      <c r="X226"/>
      <c r="Y226"/>
      <c r="Z226"/>
      <c r="AA226"/>
      <c r="AB226"/>
      <c r="AC226"/>
      <c r="AD226"/>
      <c r="AE226"/>
      <c r="AF226"/>
      <c r="AG226"/>
      <c r="AH226"/>
      <c r="AI226"/>
      <c r="AJ226"/>
      <c r="AK226"/>
    </row>
    <row r="227" spans="1:37" s="501" customFormat="1" ht="12.75" customHeight="1" outlineLevel="1" thickBot="1">
      <c r="D227" s="299"/>
      <c r="E227" s="524"/>
      <c r="F227" s="1501" t="s">
        <v>611</v>
      </c>
      <c r="G227" s="1458">
        <f t="shared" ref="G227:P227" si="78">G225-G226</f>
        <v>0</v>
      </c>
      <c r="H227" s="387">
        <f t="shared" si="78"/>
        <v>0</v>
      </c>
      <c r="I227" s="387">
        <f t="shared" si="78"/>
        <v>0</v>
      </c>
      <c r="J227" s="387">
        <f t="shared" si="78"/>
        <v>0</v>
      </c>
      <c r="K227" s="653">
        <f t="shared" si="78"/>
        <v>0</v>
      </c>
      <c r="L227" s="1458">
        <f t="shared" si="78"/>
        <v>0</v>
      </c>
      <c r="M227" s="387">
        <f>M225-M226</f>
        <v>0</v>
      </c>
      <c r="N227" s="387">
        <f t="shared" si="78"/>
        <v>0</v>
      </c>
      <c r="O227" s="387">
        <f t="shared" si="78"/>
        <v>0</v>
      </c>
      <c r="P227" s="528">
        <f t="shared" si="78"/>
        <v>0</v>
      </c>
      <c r="Q227" s="482"/>
      <c r="R227" s="482"/>
      <c r="S227" s="482"/>
      <c r="T227" s="482"/>
      <c r="U227" s="482"/>
      <c r="V227" s="482"/>
      <c r="W227" s="134"/>
      <c r="X227"/>
      <c r="Y227"/>
      <c r="Z227"/>
      <c r="AA227"/>
      <c r="AB227"/>
      <c r="AC227"/>
      <c r="AD227"/>
      <c r="AE227"/>
      <c r="AF227"/>
      <c r="AG227"/>
      <c r="AH227"/>
      <c r="AI227"/>
      <c r="AJ227"/>
      <c r="AK227"/>
    </row>
    <row r="228" spans="1:37" s="501" customFormat="1" ht="24.75" customHeight="1" outlineLevel="1">
      <c r="D228" s="299"/>
      <c r="E228" s="567" t="s">
        <v>91</v>
      </c>
      <c r="F228" s="880" t="s">
        <v>619</v>
      </c>
      <c r="G228" s="1699"/>
      <c r="H228" s="1700"/>
      <c r="I228" s="1700"/>
      <c r="J228" s="1700"/>
      <c r="K228" s="1700"/>
      <c r="L228" s="1703"/>
      <c r="M228" s="1704"/>
      <c r="N228" s="1704"/>
      <c r="O228" s="1704"/>
      <c r="P228" s="1705"/>
      <c r="Q228" s="134"/>
      <c r="R228" s="134"/>
      <c r="S228" s="134"/>
      <c r="T228" s="134"/>
      <c r="U228" s="134"/>
      <c r="V228" s="134"/>
      <c r="W228" s="1250"/>
      <c r="X228"/>
      <c r="Y228"/>
      <c r="Z228"/>
      <c r="AA228"/>
      <c r="AB228"/>
      <c r="AC228"/>
      <c r="AD228"/>
      <c r="AE228"/>
      <c r="AF228"/>
      <c r="AG228"/>
      <c r="AH228"/>
      <c r="AI228"/>
      <c r="AJ228"/>
      <c r="AK228"/>
    </row>
    <row r="229" spans="1:37" s="501" customFormat="1" ht="12.75" customHeight="1" outlineLevel="1">
      <c r="A229" s="78"/>
      <c r="B229" s="78"/>
      <c r="C229" s="78"/>
      <c r="D229" s="299"/>
      <c r="E229" s="524"/>
      <c r="F229" s="542" t="s">
        <v>585</v>
      </c>
      <c r="G229" s="1701"/>
      <c r="H229" s="1702"/>
      <c r="I229" s="1702"/>
      <c r="J229" s="1702"/>
      <c r="K229" s="1702"/>
      <c r="L229" s="486"/>
      <c r="M229" s="485"/>
      <c r="N229" s="485"/>
      <c r="O229" s="485"/>
      <c r="P229" s="487"/>
      <c r="Q229" s="482"/>
      <c r="R229" s="482"/>
      <c r="S229" s="482"/>
      <c r="T229" s="482"/>
      <c r="U229" s="482"/>
      <c r="V229" s="482"/>
      <c r="W229" s="134"/>
      <c r="X229"/>
      <c r="Y229"/>
      <c r="Z229"/>
      <c r="AA229"/>
      <c r="AB229"/>
      <c r="AC229"/>
      <c r="AD229"/>
      <c r="AE229"/>
      <c r="AF229"/>
      <c r="AG229"/>
      <c r="AH229"/>
      <c r="AI229"/>
      <c r="AJ229"/>
      <c r="AK229"/>
    </row>
    <row r="230" spans="1:37" s="501" customFormat="1" ht="12.75" customHeight="1" outlineLevel="1">
      <c r="D230" s="299"/>
      <c r="E230" s="524"/>
      <c r="F230" s="542" t="s">
        <v>584</v>
      </c>
      <c r="G230" s="1701"/>
      <c r="H230" s="1702"/>
      <c r="I230" s="1702"/>
      <c r="J230" s="1702"/>
      <c r="K230" s="1702"/>
      <c r="L230" s="486"/>
      <c r="M230" s="485"/>
      <c r="N230" s="485"/>
      <c r="O230" s="485"/>
      <c r="P230" s="487"/>
      <c r="Q230" s="482"/>
      <c r="R230" s="482"/>
      <c r="S230" s="482"/>
      <c r="T230" s="482"/>
      <c r="U230" s="482"/>
      <c r="V230" s="482"/>
      <c r="W230" s="134"/>
      <c r="X230"/>
      <c r="Y230"/>
      <c r="Z230"/>
      <c r="AA230"/>
      <c r="AB230"/>
      <c r="AC230"/>
      <c r="AD230"/>
      <c r="AE230"/>
      <c r="AF230"/>
      <c r="AG230"/>
      <c r="AH230"/>
      <c r="AI230"/>
      <c r="AJ230"/>
      <c r="AK230"/>
    </row>
    <row r="231" spans="1:37" s="501" customFormat="1" ht="12.75" customHeight="1" outlineLevel="1">
      <c r="D231" s="299"/>
      <c r="E231" s="524"/>
      <c r="F231" s="542" t="s">
        <v>604</v>
      </c>
      <c r="G231" s="1701"/>
      <c r="H231" s="1702"/>
      <c r="I231" s="1702"/>
      <c r="J231" s="1702"/>
      <c r="K231" s="1702"/>
      <c r="L231" s="486"/>
      <c r="M231" s="485"/>
      <c r="N231" s="485"/>
      <c r="O231" s="485"/>
      <c r="P231" s="487"/>
      <c r="Q231" s="482"/>
      <c r="R231" s="482"/>
      <c r="S231" s="482"/>
      <c r="T231" s="482"/>
      <c r="U231" s="482"/>
      <c r="V231" s="482"/>
      <c r="W231" s="134"/>
      <c r="X231"/>
      <c r="Y231"/>
      <c r="Z231"/>
      <c r="AA231"/>
      <c r="AB231"/>
      <c r="AC231"/>
      <c r="AD231"/>
      <c r="AE231"/>
      <c r="AF231"/>
      <c r="AG231"/>
      <c r="AH231"/>
      <c r="AI231"/>
      <c r="AJ231"/>
      <c r="AK231"/>
    </row>
    <row r="232" spans="1:37" s="501" customFormat="1" ht="12.75" customHeight="1" outlineLevel="1">
      <c r="D232" s="299"/>
      <c r="E232" s="524"/>
      <c r="F232" s="543" t="s">
        <v>605</v>
      </c>
      <c r="G232" s="486"/>
      <c r="H232" s="485"/>
      <c r="I232" s="485"/>
      <c r="J232" s="485"/>
      <c r="K232" s="650"/>
      <c r="L232" s="384">
        <f>SUM(L229:L231)</f>
        <v>0</v>
      </c>
      <c r="M232" s="385">
        <f>SUM(M229:M231)</f>
        <v>0</v>
      </c>
      <c r="N232" s="385">
        <f>SUM(N229:N231)</f>
        <v>0</v>
      </c>
      <c r="O232" s="385">
        <f>SUM(O229:O231)</f>
        <v>0</v>
      </c>
      <c r="P232" s="477">
        <f>SUM(P229:P231)</f>
        <v>0</v>
      </c>
      <c r="Q232" s="482"/>
      <c r="R232" s="482"/>
      <c r="S232" s="482"/>
      <c r="T232" s="482"/>
      <c r="U232" s="482"/>
      <c r="V232" s="482"/>
      <c r="W232" s="134"/>
      <c r="X232"/>
      <c r="Y232"/>
      <c r="Z232"/>
      <c r="AA232"/>
      <c r="AB232"/>
      <c r="AC232"/>
      <c r="AD232"/>
      <c r="AE232"/>
      <c r="AF232"/>
      <c r="AG232"/>
      <c r="AH232"/>
      <c r="AI232"/>
      <c r="AJ232"/>
      <c r="AK232"/>
    </row>
    <row r="233" spans="1:37" s="501" customFormat="1" ht="12.75" customHeight="1" outlineLevel="1">
      <c r="D233" s="299"/>
      <c r="E233" s="524"/>
      <c r="F233" s="542" t="s">
        <v>609</v>
      </c>
      <c r="G233" s="486"/>
      <c r="H233" s="485"/>
      <c r="I233" s="485"/>
      <c r="J233" s="485"/>
      <c r="K233" s="650"/>
      <c r="L233" s="536">
        <v>0</v>
      </c>
      <c r="M233" s="537">
        <v>0</v>
      </c>
      <c r="N233" s="537">
        <v>0</v>
      </c>
      <c r="O233" s="537">
        <v>0</v>
      </c>
      <c r="P233" s="573">
        <v>0</v>
      </c>
      <c r="Q233" s="482"/>
      <c r="R233" s="482"/>
      <c r="S233" s="482"/>
      <c r="T233" s="482"/>
      <c r="U233" s="482"/>
      <c r="V233" s="482"/>
      <c r="W233" s="134"/>
      <c r="X233"/>
      <c r="Y233"/>
      <c r="Z233"/>
      <c r="AA233"/>
      <c r="AB233"/>
      <c r="AC233"/>
      <c r="AD233"/>
      <c r="AE233"/>
      <c r="AF233"/>
      <c r="AG233"/>
      <c r="AH233"/>
      <c r="AI233"/>
      <c r="AJ233"/>
      <c r="AK233"/>
    </row>
    <row r="234" spans="1:37" s="501" customFormat="1" ht="12.75" customHeight="1" outlineLevel="1">
      <c r="D234" s="299"/>
      <c r="E234" s="524"/>
      <c r="F234" s="542" t="s">
        <v>607</v>
      </c>
      <c r="G234" s="486"/>
      <c r="H234" s="485"/>
      <c r="I234" s="485"/>
      <c r="J234" s="485"/>
      <c r="K234" s="650"/>
      <c r="L234" s="489">
        <v>0</v>
      </c>
      <c r="M234" s="490">
        <v>0</v>
      </c>
      <c r="N234" s="490">
        <v>0</v>
      </c>
      <c r="O234" s="490">
        <v>0</v>
      </c>
      <c r="P234" s="491">
        <v>0</v>
      </c>
      <c r="Q234" s="482"/>
      <c r="R234" s="482"/>
      <c r="S234" s="482"/>
      <c r="T234" s="482"/>
      <c r="U234" s="482"/>
      <c r="V234" s="482"/>
      <c r="W234" s="134"/>
      <c r="X234"/>
      <c r="Y234"/>
      <c r="Z234"/>
      <c r="AA234"/>
      <c r="AB234"/>
      <c r="AC234"/>
      <c r="AD234"/>
      <c r="AE234"/>
      <c r="AF234"/>
      <c r="AG234"/>
      <c r="AH234"/>
      <c r="AI234"/>
      <c r="AJ234"/>
      <c r="AK234"/>
    </row>
    <row r="235" spans="1:37" s="501" customFormat="1" ht="12.75" customHeight="1" outlineLevel="1">
      <c r="D235" s="299"/>
      <c r="E235" s="524"/>
      <c r="F235" s="543" t="s">
        <v>610</v>
      </c>
      <c r="G235" s="384">
        <f t="shared" ref="G235:P235" si="79">SUM(G232:G234)</f>
        <v>0</v>
      </c>
      <c r="H235" s="385">
        <f t="shared" si="79"/>
        <v>0</v>
      </c>
      <c r="I235" s="385">
        <f t="shared" si="79"/>
        <v>0</v>
      </c>
      <c r="J235" s="385">
        <f t="shared" si="79"/>
        <v>0</v>
      </c>
      <c r="K235" s="651">
        <f t="shared" si="79"/>
        <v>0</v>
      </c>
      <c r="L235" s="384">
        <f t="shared" si="79"/>
        <v>0</v>
      </c>
      <c r="M235" s="385">
        <f t="shared" si="79"/>
        <v>0</v>
      </c>
      <c r="N235" s="385">
        <f t="shared" si="79"/>
        <v>0</v>
      </c>
      <c r="O235" s="385">
        <f t="shared" si="79"/>
        <v>0</v>
      </c>
      <c r="P235" s="477">
        <f t="shared" si="79"/>
        <v>0</v>
      </c>
      <c r="Q235" s="482"/>
      <c r="R235" s="482"/>
      <c r="S235" s="482"/>
      <c r="T235" s="482"/>
      <c r="U235" s="482"/>
      <c r="V235" s="482"/>
      <c r="W235" s="134"/>
      <c r="X235"/>
      <c r="Y235"/>
      <c r="Z235"/>
      <c r="AA235"/>
      <c r="AB235"/>
      <c r="AC235"/>
      <c r="AD235"/>
      <c r="AE235"/>
      <c r="AF235"/>
      <c r="AG235"/>
      <c r="AH235"/>
      <c r="AI235"/>
      <c r="AJ235"/>
      <c r="AK235"/>
    </row>
    <row r="236" spans="1:37" s="501" customFormat="1" ht="12.75" customHeight="1" outlineLevel="1">
      <c r="D236" s="299"/>
      <c r="E236" s="524"/>
      <c r="F236" s="542" t="s">
        <v>35</v>
      </c>
      <c r="G236" s="486"/>
      <c r="H236" s="485"/>
      <c r="I236" s="485"/>
      <c r="J236" s="485"/>
      <c r="K236" s="650"/>
      <c r="L236" s="486"/>
      <c r="M236" s="485"/>
      <c r="N236" s="485"/>
      <c r="O236" s="485"/>
      <c r="P236" s="487"/>
      <c r="Q236" s="482"/>
      <c r="R236" s="482"/>
      <c r="S236" s="482"/>
      <c r="T236" s="482"/>
      <c r="U236" s="482"/>
      <c r="V236" s="482"/>
      <c r="W236" s="134"/>
      <c r="X236"/>
      <c r="Y236"/>
      <c r="Z236"/>
      <c r="AA236"/>
      <c r="AB236"/>
      <c r="AC236"/>
      <c r="AD236"/>
      <c r="AE236"/>
      <c r="AF236"/>
      <c r="AG236"/>
      <c r="AH236"/>
      <c r="AI236"/>
      <c r="AJ236"/>
      <c r="AK236"/>
    </row>
    <row r="237" spans="1:37" s="501" customFormat="1" ht="12.75" customHeight="1" outlineLevel="1" thickBot="1">
      <c r="D237" s="299"/>
      <c r="E237" s="525"/>
      <c r="F237" s="1501" t="s">
        <v>611</v>
      </c>
      <c r="G237" s="1458">
        <f t="shared" ref="G237:P237" si="80">G235-G236</f>
        <v>0</v>
      </c>
      <c r="H237" s="387">
        <f t="shared" si="80"/>
        <v>0</v>
      </c>
      <c r="I237" s="387">
        <f t="shared" si="80"/>
        <v>0</v>
      </c>
      <c r="J237" s="387">
        <f t="shared" si="80"/>
        <v>0</v>
      </c>
      <c r="K237" s="653">
        <f t="shared" si="80"/>
        <v>0</v>
      </c>
      <c r="L237" s="1458">
        <f t="shared" si="80"/>
        <v>0</v>
      </c>
      <c r="M237" s="387">
        <f>M235-M236</f>
        <v>0</v>
      </c>
      <c r="N237" s="387">
        <f t="shared" si="80"/>
        <v>0</v>
      </c>
      <c r="O237" s="387">
        <f t="shared" si="80"/>
        <v>0</v>
      </c>
      <c r="P237" s="528">
        <f t="shared" si="80"/>
        <v>0</v>
      </c>
      <c r="Q237" s="482"/>
      <c r="R237" s="482"/>
      <c r="S237" s="482"/>
      <c r="T237" s="482"/>
      <c r="U237" s="482"/>
      <c r="V237" s="482"/>
      <c r="W237" s="134"/>
      <c r="X237"/>
      <c r="Y237"/>
      <c r="Z237"/>
      <c r="AA237"/>
      <c r="AB237"/>
      <c r="AC237"/>
      <c r="AD237"/>
      <c r="AE237"/>
      <c r="AF237"/>
      <c r="AG237"/>
      <c r="AH237"/>
      <c r="AI237"/>
      <c r="AJ237"/>
      <c r="AK237"/>
    </row>
    <row r="238" spans="1:37" s="83" customFormat="1" ht="12.75" customHeight="1">
      <c r="D238" s="569"/>
      <c r="E238" s="4256" t="str">
        <f>CONCATENATE(E217, " Totals")</f>
        <v>&lt; insert sub-category &gt; Totals</v>
      </c>
      <c r="F238" s="3107" t="str">
        <f>CONCATENATE("Total direct expenditure - ",E217)</f>
        <v>Total direct expenditure - &lt; insert sub-category &gt;</v>
      </c>
      <c r="G238" s="1534">
        <f ca="1">SUMIF($E$218:$P$237,"Total direct expenditure",G$218:G$237)</f>
        <v>0</v>
      </c>
      <c r="H238" s="562">
        <f ca="1">SUMIF($E$218:$P$237,"Total direct expenditure",H$218:H$237)</f>
        <v>0</v>
      </c>
      <c r="I238" s="562">
        <f ca="1">SUMIF($E$218:$P$237,"Total direct expenditure",I$218:I$237)</f>
        <v>0</v>
      </c>
      <c r="J238" s="562">
        <f ca="1">SUMIF($E$218:$P$237,"Total direct expenditure",J$218:J$237)</f>
        <v>0</v>
      </c>
      <c r="K238" s="575">
        <f ca="1">SUMIF($E$218:$P$237,"Total direct expenditure",K$218:K$237)</f>
        <v>0</v>
      </c>
      <c r="L238" s="1534">
        <f ca="1">SUMIF($E$218:$P$237,"Total direct expenditure",$L$218:$L$237)</f>
        <v>0</v>
      </c>
      <c r="M238" s="562">
        <f ca="1">SUMIF($E$218:$P$237,"Total direct expenditure",$M$218:$M$237)</f>
        <v>0</v>
      </c>
      <c r="N238" s="562">
        <f ca="1">SUMIF($E$218:$P$237,"Total direct expenditure",$N$218:$N$237)</f>
        <v>0</v>
      </c>
      <c r="O238" s="562">
        <f ca="1">SUMIF($E$218:$P$237,"Total direct expenditure",$O$218:$O$237)</f>
        <v>0</v>
      </c>
      <c r="P238" s="563">
        <f ca="1">SUMIF($E$218:$P$237,"Total direct expenditure",$P$218:$P$237)</f>
        <v>0</v>
      </c>
      <c r="Q238" s="570"/>
      <c r="R238" s="570"/>
      <c r="S238" s="570"/>
      <c r="T238" s="570"/>
      <c r="U238" s="570"/>
      <c r="V238" s="570"/>
      <c r="W238" s="571"/>
      <c r="X238"/>
      <c r="Y238"/>
      <c r="Z238"/>
      <c r="AA238"/>
      <c r="AB238"/>
      <c r="AC238"/>
      <c r="AD238"/>
      <c r="AE238"/>
      <c r="AF238"/>
      <c r="AG238"/>
      <c r="AH238"/>
      <c r="AI238"/>
      <c r="AJ238"/>
      <c r="AK238"/>
    </row>
    <row r="239" spans="1:37" s="501" customFormat="1" ht="12.75" customHeight="1">
      <c r="D239" s="299"/>
      <c r="E239" s="4257"/>
      <c r="F239" s="329" t="str">
        <f>CONCATENATE("Total overhead expenditure - ",E217)</f>
        <v>Total overhead expenditure - &lt; insert sub-category &gt;</v>
      </c>
      <c r="G239" s="559">
        <f ca="1">SUMIF($E$218:$P$237,"Total overhead expenditure",G$218:G$237)</f>
        <v>0</v>
      </c>
      <c r="H239" s="521">
        <f ca="1">SUMIF($E$218:$P$237,"Total overhead expenditure",H$218:H$237)</f>
        <v>0</v>
      </c>
      <c r="I239" s="521">
        <f ca="1">SUMIF($E$218:$P$237,"Total overhead expenditure",I$218:I$237)</f>
        <v>0</v>
      </c>
      <c r="J239" s="521">
        <f ca="1">SUMIF($E$218:$P$237,"Total overhead expenditure",J$218:J$237)</f>
        <v>0</v>
      </c>
      <c r="K239" s="526">
        <f ca="1">SUMIF($E$218:$P$237,"Total overhead expenditure",K$218:K$237)</f>
        <v>0</v>
      </c>
      <c r="L239" s="559">
        <f ca="1">SUMIF($E$218:$P$237,"Total overhead expenditure",$L$218:$L$237)</f>
        <v>0</v>
      </c>
      <c r="M239" s="521">
        <f ca="1">SUMIF($E$218:$P$237,"Total overhead expenditure",$M$218:$M$237)</f>
        <v>0</v>
      </c>
      <c r="N239" s="521">
        <f ca="1">SUMIF($E$218:$P$237,"Total overhead expenditure",$N$218:$N$237)</f>
        <v>0</v>
      </c>
      <c r="O239" s="521">
        <f ca="1">SUMIF($E$218:$P$237,"Total overhead expenditure",$O$218:$O$237)</f>
        <v>0</v>
      </c>
      <c r="P239" s="523">
        <f ca="1">SUMIF($E$218:$P$237,"Total overhead expenditure",$P$218:$P$237)</f>
        <v>0</v>
      </c>
      <c r="Q239" s="1249"/>
      <c r="R239" s="482"/>
      <c r="S239" s="482"/>
      <c r="T239" s="482"/>
      <c r="U239" s="482"/>
      <c r="V239" s="482"/>
      <c r="W239" s="1250"/>
      <c r="X239"/>
      <c r="Y239"/>
      <c r="Z239"/>
      <c r="AA239"/>
      <c r="AB239"/>
      <c r="AC239"/>
      <c r="AD239"/>
      <c r="AE239"/>
      <c r="AF239"/>
      <c r="AG239"/>
      <c r="AH239"/>
      <c r="AI239"/>
      <c r="AJ239"/>
      <c r="AK239"/>
    </row>
    <row r="240" spans="1:37" s="501" customFormat="1" ht="12.75" customHeight="1">
      <c r="D240" s="299"/>
      <c r="E240" s="4257"/>
      <c r="F240" s="329" t="str">
        <f>CONCATENATE("Related party margin expenditure - ",E217)</f>
        <v>Related party margin expenditure - &lt; insert sub-category &gt;</v>
      </c>
      <c r="G240" s="559">
        <f ca="1">SUMIF($E$218:$P$237,"Related party margin",G$218:G$237)</f>
        <v>0</v>
      </c>
      <c r="H240" s="521">
        <f ca="1">SUMIF($E$218:$P$237,"Related party margin",H$218:H$237)</f>
        <v>0</v>
      </c>
      <c r="I240" s="521">
        <f ca="1">SUMIF($E$218:$P$237,"Related party margin",I$218:I$237)</f>
        <v>0</v>
      </c>
      <c r="J240" s="521">
        <f ca="1">SUMIF($E$218:$P$237,"Related party margin",J$218:J$237)</f>
        <v>0</v>
      </c>
      <c r="K240" s="526">
        <f ca="1">SUMIF($E$218:$P$237,"Related party margin",K$218:K$237)</f>
        <v>0</v>
      </c>
      <c r="L240" s="559">
        <f ca="1">SUMIF($E$218:$P$237,"Related party margin",$L$218:$L$237)</f>
        <v>0</v>
      </c>
      <c r="M240" s="521">
        <f ca="1">SUMIF($E$218:$P$237,"Related party margin",$M$218:$M$237)</f>
        <v>0</v>
      </c>
      <c r="N240" s="521">
        <f ca="1">SUMIF($E$218:$P$237,"Related party margin",$N$218:$N$237)</f>
        <v>0</v>
      </c>
      <c r="O240" s="521">
        <f ca="1">SUMIF($E$218:$P$237,"Related party margin",$O$218:$O$237)</f>
        <v>0</v>
      </c>
      <c r="P240" s="523">
        <f ca="1">SUMIF($E$218:$P$237,"Related party margin",$P$218:$P$237)</f>
        <v>0</v>
      </c>
      <c r="Q240" s="482"/>
      <c r="R240" s="482"/>
      <c r="S240" s="482"/>
      <c r="T240" s="482"/>
      <c r="U240" s="482"/>
      <c r="V240" s="482"/>
      <c r="W240" s="1250"/>
      <c r="X240"/>
      <c r="Y240"/>
      <c r="Z240"/>
      <c r="AA240"/>
      <c r="AB240"/>
      <c r="AC240"/>
      <c r="AD240"/>
      <c r="AE240"/>
      <c r="AF240"/>
      <c r="AG240"/>
      <c r="AH240"/>
      <c r="AI240"/>
      <c r="AJ240"/>
      <c r="AK240"/>
    </row>
    <row r="241" spans="1:37" s="69" customFormat="1" ht="12.75" customHeight="1">
      <c r="A241" s="75"/>
      <c r="B241" s="75"/>
      <c r="C241" s="75"/>
      <c r="D241" s="348"/>
      <c r="E241" s="4257"/>
      <c r="F241" s="1721" t="str">
        <f>CONCATENATE("Total gross expenditure - ",E217)</f>
        <v>Total gross expenditure - &lt; insert sub-category &gt;</v>
      </c>
      <c r="G241" s="1238">
        <f ca="1">SUMIF($E$218:$P$237,"Total gross expenditure",G$218:G$237)</f>
        <v>0</v>
      </c>
      <c r="H241" s="1239">
        <f ca="1">SUMIF($E$218:$P$237,"Total gross expenditure",H$218:H$237)</f>
        <v>0</v>
      </c>
      <c r="I241" s="1239">
        <f ca="1">SUMIF($E$218:$P$237,"Total gross expenditure",I$218:I$237)</f>
        <v>0</v>
      </c>
      <c r="J241" s="1239">
        <f ca="1">SUMIF($E$218:$P$237,"Total gross expenditure",J$218:J$237)</f>
        <v>0</v>
      </c>
      <c r="K241" s="1242">
        <f ca="1">SUMIF($E$218:$P$237,"Total gross expenditure",K$218:K$237)</f>
        <v>0</v>
      </c>
      <c r="L241" s="1238">
        <f ca="1">SUMIF($E$218:$P$237,"Total gross expenditure",$L$218:$L$237)</f>
        <v>0</v>
      </c>
      <c r="M241" s="1239">
        <f ca="1">SUMIF($E$218:$P$237,"Total gross expenditure",$M$218:$M$237)</f>
        <v>0</v>
      </c>
      <c r="N241" s="1239">
        <f ca="1">SUMIF($E$218:$P$237,"Total gross expenditure",$N$218:$N$237)</f>
        <v>0</v>
      </c>
      <c r="O241" s="1239">
        <f ca="1">SUMIF($E$218:$P$237,"Total gross expenditure",$O$218:$O$237)</f>
        <v>0</v>
      </c>
      <c r="P241" s="1240">
        <f ca="1">SUMIF($E$218:$P$237,"Total gross expenditure",$P$218:$P$237)</f>
        <v>0</v>
      </c>
      <c r="Q241" s="156"/>
      <c r="R241" s="134"/>
      <c r="S241" s="134"/>
      <c r="T241" s="134"/>
      <c r="U241" s="134"/>
      <c r="V241" s="134"/>
      <c r="W241" s="1250"/>
      <c r="X241"/>
      <c r="Y241"/>
      <c r="Z241"/>
      <c r="AA241"/>
      <c r="AB241"/>
      <c r="AC241"/>
      <c r="AD241"/>
      <c r="AE241"/>
      <c r="AF241"/>
      <c r="AG241"/>
      <c r="AH241"/>
      <c r="AI241"/>
      <c r="AJ241"/>
      <c r="AK241"/>
    </row>
    <row r="242" spans="1:37" s="69" customFormat="1" ht="12.75" customHeight="1">
      <c r="A242" s="75"/>
      <c r="B242" s="75"/>
      <c r="C242" s="75"/>
      <c r="D242" s="348"/>
      <c r="E242" s="4257"/>
      <c r="F242" s="329" t="s">
        <v>35</v>
      </c>
      <c r="G242" s="559">
        <f ca="1">SUMIF($E$218:$P$237,"Less customer contributions",G$218:G$237)</f>
        <v>0</v>
      </c>
      <c r="H242" s="521">
        <f ca="1">SUMIF($E$218:$P$237,"Less customer contributions",H$218:H$237)</f>
        <v>0</v>
      </c>
      <c r="I242" s="521">
        <f ca="1">SUMIF($E$218:$P$237,"Less customer contributions",I$218:I$237)</f>
        <v>0</v>
      </c>
      <c r="J242" s="521">
        <f ca="1">SUMIF($E$218:$P$237,"Less customer contributions",J$218:J$237)</f>
        <v>0</v>
      </c>
      <c r="K242" s="526">
        <f ca="1">SUMIF($E$218:$P$237,"Less customer contributions",K$218:K$237)</f>
        <v>0</v>
      </c>
      <c r="L242" s="559">
        <f ca="1">SUMIF($E$218:$P$237,"Less customer contributions",$L$218:$L$237)</f>
        <v>0</v>
      </c>
      <c r="M242" s="521">
        <f ca="1">SUMIF($E$218:$P$237,"Less customer contributions",$M$218:$M$237)</f>
        <v>0</v>
      </c>
      <c r="N242" s="521">
        <f ca="1">SUMIF($E$218:$P$237,"Less customer contributions",$N$218:$N$237)</f>
        <v>0</v>
      </c>
      <c r="O242" s="521">
        <f ca="1">SUMIF($E$218:$P$237,"Less customer contributions",$O$218:$O$237)</f>
        <v>0</v>
      </c>
      <c r="P242" s="523">
        <f ca="1">SUMIF($E$218:$P$237,"Less customer contributions",$P$218:$P$237)</f>
        <v>0</v>
      </c>
      <c r="Q242" s="137"/>
      <c r="R242" s="137"/>
      <c r="S242" s="137"/>
      <c r="T242" s="137"/>
      <c r="U242" s="137"/>
      <c r="V242" s="137"/>
      <c r="W242" s="1250"/>
      <c r="X242"/>
      <c r="Y242"/>
      <c r="Z242"/>
      <c r="AA242"/>
      <c r="AB242"/>
      <c r="AC242"/>
      <c r="AD242"/>
      <c r="AE242"/>
      <c r="AF242"/>
      <c r="AG242"/>
      <c r="AH242"/>
      <c r="AI242"/>
      <c r="AJ242"/>
      <c r="AK242"/>
    </row>
    <row r="243" spans="1:37" s="69" customFormat="1" ht="13.5" customHeight="1" thickBot="1">
      <c r="A243" s="75"/>
      <c r="B243" s="75"/>
      <c r="C243" s="75"/>
      <c r="D243" s="348"/>
      <c r="E243" s="4258"/>
      <c r="F243" s="1722" t="str">
        <f>CONCATENATE("Total net expenditure - ",E217)</f>
        <v>Total net expenditure - &lt; insert sub-category &gt;</v>
      </c>
      <c r="G243" s="1535">
        <f ca="1">SUMIF($E$218:$P$237,"Total net expenditure",G$218:G$237)</f>
        <v>0</v>
      </c>
      <c r="H243" s="1244">
        <f ca="1">SUMIF($E$218:$P$237,"Total net expenditure",H$218:H$237)</f>
        <v>0</v>
      </c>
      <c r="I243" s="1244">
        <f ca="1">SUMIF($E$218:$P$237,"Total net expenditure",I$218:I$237)</f>
        <v>0</v>
      </c>
      <c r="J243" s="1244">
        <f ca="1">SUMIF($E$218:$P$237,"Total net expenditure",J$218:J$237)</f>
        <v>0</v>
      </c>
      <c r="K243" s="1248">
        <f ca="1">SUMIF($E$218:$P$237,"Total net expenditure",K$218:K$237)</f>
        <v>0</v>
      </c>
      <c r="L243" s="1535">
        <f ca="1">SUMIF($E$218:$P$237,"Total net expenditure",$L$218:$L$237)</f>
        <v>0</v>
      </c>
      <c r="M243" s="1244">
        <f ca="1">SUMIF($E$218:$P$237,"Total net expenditure",$M$218:$M$237)</f>
        <v>0</v>
      </c>
      <c r="N243" s="1244">
        <f ca="1">SUMIF($E$218:$P$237,"Total net expenditure",$N$218:$N$237)</f>
        <v>0</v>
      </c>
      <c r="O243" s="1244">
        <f ca="1">SUMIF($E$218:$P$237,"Total net expenditure",$O$218:$O$237)</f>
        <v>0</v>
      </c>
      <c r="P243" s="1245">
        <f ca="1">SUMIF($E$218:$P$237,"Total net expenditure",$P$218:$P$237)</f>
        <v>0</v>
      </c>
      <c r="Q243" s="501"/>
      <c r="R243" s="501"/>
      <c r="S243" s="501"/>
      <c r="T243" s="501"/>
      <c r="U243" s="501"/>
      <c r="V243" s="501"/>
      <c r="W243" s="501"/>
      <c r="X243"/>
      <c r="Y243"/>
      <c r="Z243"/>
      <c r="AA243"/>
      <c r="AB243"/>
      <c r="AC243"/>
      <c r="AD243"/>
      <c r="AE243"/>
      <c r="AF243"/>
      <c r="AG243"/>
      <c r="AH243"/>
      <c r="AI243"/>
      <c r="AJ243"/>
      <c r="AK243"/>
    </row>
    <row r="244" spans="1:37" s="501" customFormat="1" ht="12.75" customHeight="1" thickBot="1">
      <c r="D244" s="299"/>
      <c r="E244" s="401"/>
      <c r="F244" s="508"/>
      <c r="G244" s="572"/>
      <c r="H244" s="572"/>
      <c r="I244" s="572"/>
      <c r="J244" s="572"/>
      <c r="K244" s="1288"/>
      <c r="L244" s="1289"/>
      <c r="M244" s="572"/>
      <c r="N244" s="572"/>
      <c r="O244" s="572"/>
      <c r="P244" s="1290"/>
      <c r="X244"/>
      <c r="Y244"/>
      <c r="Z244"/>
      <c r="AA244"/>
      <c r="AB244"/>
      <c r="AC244"/>
      <c r="AD244"/>
      <c r="AE244"/>
      <c r="AF244"/>
      <c r="AG244"/>
      <c r="AH244"/>
      <c r="AI244"/>
      <c r="AJ244"/>
      <c r="AK244"/>
    </row>
    <row r="245" spans="1:37" s="83" customFormat="1" ht="18" customHeight="1">
      <c r="D245" s="569"/>
      <c r="E245" s="4252" t="s">
        <v>360</v>
      </c>
      <c r="F245" s="1725" t="s">
        <v>605</v>
      </c>
      <c r="G245" s="1534">
        <f t="shared" ref="G245:P250" ca="1" si="81">SUM(G211,G238)</f>
        <v>1155257.4390235003</v>
      </c>
      <c r="H245" s="562">
        <f t="shared" ca="1" si="81"/>
        <v>905826.85559797159</v>
      </c>
      <c r="I245" s="562">
        <f t="shared" ca="1" si="81"/>
        <v>892698.93015452288</v>
      </c>
      <c r="J245" s="562">
        <f t="shared" ca="1" si="81"/>
        <v>984594.40825866489</v>
      </c>
      <c r="K245" s="575">
        <f t="shared" ca="1" si="81"/>
        <v>275686.43431242614</v>
      </c>
      <c r="L245" s="1534">
        <f t="shared" ca="1" si="81"/>
        <v>240684.95073891501</v>
      </c>
      <c r="M245" s="562">
        <f t="shared" ca="1" si="81"/>
        <v>155577.34399981037</v>
      </c>
      <c r="N245" s="562">
        <f t="shared" ca="1" si="81"/>
        <v>46979.53252337889</v>
      </c>
      <c r="O245" s="562">
        <f t="shared" ca="1" si="81"/>
        <v>46979.53252337889</v>
      </c>
      <c r="P245" s="563">
        <f t="shared" ca="1" si="81"/>
        <v>46979.53252337889</v>
      </c>
      <c r="Q245" s="501"/>
      <c r="R245" s="501"/>
      <c r="S245" s="501"/>
      <c r="T245" s="501"/>
      <c r="U245" s="501"/>
      <c r="V245" s="501"/>
      <c r="W245" s="501"/>
      <c r="X245"/>
      <c r="Y245"/>
      <c r="Z245"/>
      <c r="AA245"/>
      <c r="AB245"/>
      <c r="AC245"/>
      <c r="AD245"/>
      <c r="AE245"/>
      <c r="AF245"/>
      <c r="AG245"/>
      <c r="AH245"/>
      <c r="AI245"/>
      <c r="AJ245"/>
      <c r="AK245"/>
    </row>
    <row r="246" spans="1:37" s="501" customFormat="1" ht="12.75" customHeight="1">
      <c r="D246" s="299"/>
      <c r="E246" s="4253"/>
      <c r="F246" s="329" t="s">
        <v>609</v>
      </c>
      <c r="G246" s="559">
        <f t="shared" ca="1" si="81"/>
        <v>0</v>
      </c>
      <c r="H246" s="521">
        <f t="shared" ca="1" si="81"/>
        <v>0</v>
      </c>
      <c r="I246" s="521">
        <f t="shared" ca="1" si="81"/>
        <v>0</v>
      </c>
      <c r="J246" s="521">
        <f t="shared" ca="1" si="81"/>
        <v>0</v>
      </c>
      <c r="K246" s="526">
        <f t="shared" ca="1" si="81"/>
        <v>0</v>
      </c>
      <c r="L246" s="559">
        <f t="shared" ca="1" si="81"/>
        <v>10094.326833990095</v>
      </c>
      <c r="M246" s="521">
        <f t="shared" ca="1" si="81"/>
        <v>6524.9138073520471</v>
      </c>
      <c r="N246" s="521">
        <f t="shared" ca="1" si="81"/>
        <v>1970.3215940305106</v>
      </c>
      <c r="O246" s="521">
        <f t="shared" ca="1" si="81"/>
        <v>1970.3215940305106</v>
      </c>
      <c r="P246" s="523">
        <f t="shared" ca="1" si="81"/>
        <v>1970.3215940305106</v>
      </c>
      <c r="X246"/>
      <c r="Y246"/>
      <c r="Z246"/>
      <c r="AA246"/>
      <c r="AB246"/>
      <c r="AC246"/>
      <c r="AD246"/>
      <c r="AE246"/>
      <c r="AF246"/>
      <c r="AG246"/>
      <c r="AH246"/>
      <c r="AI246"/>
      <c r="AJ246"/>
      <c r="AK246"/>
    </row>
    <row r="247" spans="1:37" s="501" customFormat="1" ht="12.75" customHeight="1">
      <c r="D247" s="299"/>
      <c r="E247" s="4253"/>
      <c r="F247" s="1715" t="s">
        <v>607</v>
      </c>
      <c r="G247" s="559">
        <f t="shared" ca="1" si="81"/>
        <v>0</v>
      </c>
      <c r="H247" s="521">
        <f t="shared" ca="1" si="81"/>
        <v>0</v>
      </c>
      <c r="I247" s="521">
        <f t="shared" ca="1" si="81"/>
        <v>0</v>
      </c>
      <c r="J247" s="521">
        <f t="shared" ca="1" si="81"/>
        <v>0</v>
      </c>
      <c r="K247" s="526">
        <f t="shared" ca="1" si="81"/>
        <v>0</v>
      </c>
      <c r="L247" s="559">
        <f t="shared" ca="1" si="81"/>
        <v>0</v>
      </c>
      <c r="M247" s="521">
        <f t="shared" ca="1" si="81"/>
        <v>0</v>
      </c>
      <c r="N247" s="521">
        <f t="shared" ca="1" si="81"/>
        <v>0</v>
      </c>
      <c r="O247" s="521">
        <f t="shared" ca="1" si="81"/>
        <v>0</v>
      </c>
      <c r="P247" s="523">
        <f t="shared" ca="1" si="81"/>
        <v>0</v>
      </c>
      <c r="X247"/>
      <c r="Y247"/>
      <c r="Z247"/>
      <c r="AA247"/>
      <c r="AB247"/>
      <c r="AC247"/>
      <c r="AD247"/>
      <c r="AE247"/>
      <c r="AF247"/>
      <c r="AG247"/>
      <c r="AH247"/>
      <c r="AI247"/>
      <c r="AJ247"/>
      <c r="AK247"/>
    </row>
    <row r="248" spans="1:37" s="69" customFormat="1" ht="12.75" customHeight="1">
      <c r="A248" s="75"/>
      <c r="B248" s="75"/>
      <c r="C248" s="75"/>
      <c r="D248" s="348"/>
      <c r="E248" s="4253"/>
      <c r="F248" s="3104" t="s">
        <v>625</v>
      </c>
      <c r="G248" s="1238">
        <f t="shared" ca="1" si="81"/>
        <v>1155257.4390235003</v>
      </c>
      <c r="H248" s="1239">
        <f t="shared" ca="1" si="81"/>
        <v>905826.85559797159</v>
      </c>
      <c r="I248" s="1239">
        <f t="shared" ca="1" si="81"/>
        <v>892698.93015452288</v>
      </c>
      <c r="J248" s="1239">
        <f t="shared" ca="1" si="81"/>
        <v>984594.40825866489</v>
      </c>
      <c r="K248" s="1242">
        <f t="shared" ca="1" si="81"/>
        <v>275686.43431242614</v>
      </c>
      <c r="L248" s="1238">
        <f t="shared" ca="1" si="81"/>
        <v>250779.27757290509</v>
      </c>
      <c r="M248" s="1239">
        <f t="shared" ca="1" si="81"/>
        <v>162102.25780716242</v>
      </c>
      <c r="N248" s="1239">
        <f t="shared" ca="1" si="81"/>
        <v>48949.854117409399</v>
      </c>
      <c r="O248" s="1239">
        <f t="shared" ca="1" si="81"/>
        <v>48949.854117409399</v>
      </c>
      <c r="P248" s="1240">
        <f t="shared" ca="1" si="81"/>
        <v>48949.854117409399</v>
      </c>
      <c r="Q248" s="501"/>
      <c r="R248" s="501"/>
      <c r="S248" s="501"/>
      <c r="T248" s="501"/>
      <c r="U248" s="501"/>
      <c r="V248" s="501"/>
      <c r="W248" s="501"/>
      <c r="X248"/>
      <c r="Y248"/>
      <c r="Z248"/>
      <c r="AA248"/>
      <c r="AB248"/>
      <c r="AC248"/>
      <c r="AD248"/>
      <c r="AE248"/>
      <c r="AF248"/>
      <c r="AG248"/>
      <c r="AH248"/>
      <c r="AI248"/>
      <c r="AJ248"/>
      <c r="AK248"/>
    </row>
    <row r="249" spans="1:37" s="69" customFormat="1" ht="12.75" customHeight="1">
      <c r="A249" s="75"/>
      <c r="B249" s="75"/>
      <c r="C249" s="75"/>
      <c r="D249" s="348"/>
      <c r="E249" s="4253"/>
      <c r="F249" s="329" t="s">
        <v>35</v>
      </c>
      <c r="G249" s="559">
        <f t="shared" ca="1" si="81"/>
        <v>0</v>
      </c>
      <c r="H249" s="521">
        <f t="shared" ca="1" si="81"/>
        <v>0</v>
      </c>
      <c r="I249" s="521">
        <f t="shared" ca="1" si="81"/>
        <v>0</v>
      </c>
      <c r="J249" s="521">
        <f t="shared" ca="1" si="81"/>
        <v>0</v>
      </c>
      <c r="K249" s="526">
        <f t="shared" ca="1" si="81"/>
        <v>0</v>
      </c>
      <c r="L249" s="559">
        <f t="shared" ca="1" si="81"/>
        <v>0</v>
      </c>
      <c r="M249" s="521">
        <f t="shared" ca="1" si="81"/>
        <v>0</v>
      </c>
      <c r="N249" s="521">
        <f t="shared" ca="1" si="81"/>
        <v>0</v>
      </c>
      <c r="O249" s="521">
        <f t="shared" ca="1" si="81"/>
        <v>0</v>
      </c>
      <c r="P249" s="523">
        <f t="shared" ca="1" si="81"/>
        <v>0</v>
      </c>
      <c r="Q249" s="501"/>
      <c r="R249" s="501"/>
      <c r="S249" s="501"/>
      <c r="T249" s="501"/>
      <c r="U249" s="501"/>
      <c r="V249" s="501"/>
      <c r="W249" s="501"/>
      <c r="X249"/>
      <c r="Y249"/>
      <c r="Z249"/>
      <c r="AA249"/>
      <c r="AB249"/>
      <c r="AC249"/>
      <c r="AD249"/>
      <c r="AE249"/>
      <c r="AF249"/>
      <c r="AG249"/>
      <c r="AH249"/>
      <c r="AI249"/>
      <c r="AJ249"/>
      <c r="AK249"/>
    </row>
    <row r="250" spans="1:37" s="69" customFormat="1" ht="13.5" customHeight="1" thickBot="1">
      <c r="A250" s="75"/>
      <c r="B250" s="75"/>
      <c r="C250" s="75"/>
      <c r="D250" s="348"/>
      <c r="E250" s="4254"/>
      <c r="F250" s="3105" t="s">
        <v>611</v>
      </c>
      <c r="G250" s="1535">
        <f t="shared" ca="1" si="81"/>
        <v>1155257.4390235003</v>
      </c>
      <c r="H250" s="1244">
        <f t="shared" ca="1" si="81"/>
        <v>905826.85559797159</v>
      </c>
      <c r="I250" s="1244">
        <f t="shared" ca="1" si="81"/>
        <v>892698.93015452288</v>
      </c>
      <c r="J250" s="1244">
        <f t="shared" ca="1" si="81"/>
        <v>984594.40825866489</v>
      </c>
      <c r="K250" s="1248">
        <f t="shared" ca="1" si="81"/>
        <v>275686.43431242614</v>
      </c>
      <c r="L250" s="1535">
        <f t="shared" ca="1" si="81"/>
        <v>250779.27757290509</v>
      </c>
      <c r="M250" s="1244">
        <f t="shared" ca="1" si="81"/>
        <v>162102.25780716242</v>
      </c>
      <c r="N250" s="1244">
        <f t="shared" ca="1" si="81"/>
        <v>48949.854117409399</v>
      </c>
      <c r="O250" s="1244">
        <f t="shared" ca="1" si="81"/>
        <v>48949.854117409399</v>
      </c>
      <c r="P250" s="1245">
        <f t="shared" ca="1" si="81"/>
        <v>48949.854117409399</v>
      </c>
      <c r="Q250" s="501"/>
      <c r="R250" s="501"/>
      <c r="S250" s="501"/>
      <c r="T250" s="501"/>
      <c r="U250" s="501"/>
      <c r="V250" s="501"/>
      <c r="W250" s="501"/>
      <c r="X250"/>
      <c r="Y250"/>
      <c r="Z250"/>
      <c r="AA250"/>
      <c r="AB250"/>
      <c r="AC250"/>
      <c r="AD250"/>
      <c r="AE250"/>
      <c r="AF250"/>
      <c r="AG250"/>
      <c r="AH250"/>
      <c r="AI250"/>
      <c r="AJ250"/>
      <c r="AK250"/>
    </row>
    <row r="251" spans="1:37" s="69" customFormat="1" ht="32.25" customHeight="1" thickBot="1">
      <c r="A251" s="75"/>
      <c r="B251" s="75"/>
      <c r="C251" s="75"/>
      <c r="D251" s="348"/>
      <c r="E251" s="4196" t="s">
        <v>127</v>
      </c>
      <c r="F251" s="4197"/>
      <c r="G251" s="687"/>
      <c r="H251" s="301"/>
      <c r="I251" s="301"/>
      <c r="J251" s="301"/>
      <c r="K251" s="301"/>
      <c r="L251" s="301"/>
      <c r="M251" s="301"/>
      <c r="N251" s="301"/>
      <c r="O251" s="301"/>
      <c r="P251" s="436"/>
      <c r="Q251" s="501"/>
      <c r="R251" s="501"/>
      <c r="S251" s="501"/>
      <c r="T251" s="501"/>
      <c r="U251" s="501"/>
      <c r="V251" s="501"/>
      <c r="W251" s="501"/>
      <c r="X251"/>
      <c r="Y251"/>
      <c r="Z251"/>
      <c r="AA251"/>
      <c r="AB251"/>
      <c r="AC251"/>
      <c r="AD251"/>
      <c r="AE251"/>
      <c r="AF251"/>
      <c r="AG251"/>
      <c r="AH251"/>
      <c r="AI251"/>
      <c r="AJ251"/>
      <c r="AK251"/>
    </row>
    <row r="252" spans="1:37" ht="12.75" customHeight="1">
      <c r="L252" s="540"/>
      <c r="M252" s="540"/>
      <c r="N252" s="540"/>
      <c r="O252" s="540"/>
      <c r="P252" s="540"/>
      <c r="Q252" s="541"/>
      <c r="R252" s="541"/>
      <c r="S252" s="541"/>
      <c r="T252" s="541"/>
      <c r="U252" s="541"/>
      <c r="V252" s="541"/>
      <c r="W252" s="541"/>
      <c r="AA252"/>
      <c r="AB252"/>
      <c r="AC252"/>
      <c r="AD252"/>
      <c r="AE252"/>
      <c r="AF252"/>
      <c r="AG252"/>
      <c r="AH252"/>
      <c r="AI252"/>
      <c r="AJ252"/>
      <c r="AK252"/>
    </row>
  </sheetData>
  <mergeCells count="53">
    <mergeCell ref="AA16:AE16"/>
    <mergeCell ref="AF16:AH16"/>
    <mergeCell ref="AA17:AH17"/>
    <mergeCell ref="AA18:AH18"/>
    <mergeCell ref="Q16:Q17"/>
    <mergeCell ref="R16:V16"/>
    <mergeCell ref="W16:W18"/>
    <mergeCell ref="R17:V17"/>
    <mergeCell ref="R18:V18"/>
    <mergeCell ref="W177:W182"/>
    <mergeCell ref="G187:P187"/>
    <mergeCell ref="E217:F217"/>
    <mergeCell ref="E190:F190"/>
    <mergeCell ref="W89:W98"/>
    <mergeCell ref="W99:W108"/>
    <mergeCell ref="W109:W118"/>
    <mergeCell ref="W119:W128"/>
    <mergeCell ref="W129:W138"/>
    <mergeCell ref="W139:W148"/>
    <mergeCell ref="W149:W158"/>
    <mergeCell ref="W159:W168"/>
    <mergeCell ref="W169:W175"/>
    <mergeCell ref="W51:W60"/>
    <mergeCell ref="W61:W67"/>
    <mergeCell ref="W69:W78"/>
    <mergeCell ref="W79:W88"/>
    <mergeCell ref="W21:W30"/>
    <mergeCell ref="W31:W40"/>
    <mergeCell ref="W41:W50"/>
    <mergeCell ref="O18:P18"/>
    <mergeCell ref="G17:N17"/>
    <mergeCell ref="G18:N18"/>
    <mergeCell ref="E211:E216"/>
    <mergeCell ref="E238:E243"/>
    <mergeCell ref="E20:F20"/>
    <mergeCell ref="E68:F68"/>
    <mergeCell ref="E58:E59"/>
    <mergeCell ref="E245:E250"/>
    <mergeCell ref="E177:E182"/>
    <mergeCell ref="E251:F251"/>
    <mergeCell ref="E183:F183"/>
    <mergeCell ref="E7:L7"/>
    <mergeCell ref="E186:E189"/>
    <mergeCell ref="G186:K186"/>
    <mergeCell ref="L186:P186"/>
    <mergeCell ref="G188:P188"/>
    <mergeCell ref="E8:L8"/>
    <mergeCell ref="E9:L9"/>
    <mergeCell ref="E10:L10"/>
    <mergeCell ref="E11:L11"/>
    <mergeCell ref="G16:K16"/>
    <mergeCell ref="L16:P16"/>
    <mergeCell ref="O17:P17"/>
  </mergeCells>
  <pageMargins left="0.7" right="0.7" top="0.75" bottom="0.75" header="0.3" footer="0.3"/>
  <pageSetup paperSize="9" orientation="portrait" r:id="rId1"/>
  <customProperties>
    <customPr name="layoutContexts" r:id="rId2"/>
    <customPr name="SaveUndoMode" r:id="rId3"/>
  </customProperties>
  <drawing r:id="rId4"/>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92D050"/>
    <pageSetUpPr autoPageBreaks="0"/>
  </sheetPr>
  <dimension ref="A1:AE451"/>
  <sheetViews>
    <sheetView showGridLines="0" topLeftCell="D44" zoomScale="70" zoomScaleNormal="70" workbookViewId="0">
      <selection activeCell="M29" sqref="M29"/>
    </sheetView>
  </sheetViews>
  <sheetFormatPr defaultColWidth="9.140625" defaultRowHeight="12.75" outlineLevelRow="2"/>
  <cols>
    <col min="1" max="1" width="16.28515625" style="77" customWidth="1"/>
    <col min="2" max="2" width="35.7109375" style="76" customWidth="1"/>
    <col min="3" max="3" width="28.5703125" style="76" customWidth="1"/>
    <col min="4" max="9" width="15.7109375" style="77" customWidth="1"/>
    <col min="10" max="10" width="15.7109375" style="501" customWidth="1"/>
    <col min="11" max="18" width="15.7109375" style="77" customWidth="1"/>
    <col min="19" max="21" width="15.7109375" customWidth="1"/>
    <col min="22" max="29" width="15.7109375" style="501" customWidth="1"/>
    <col min="30" max="16384" width="9.140625" style="77"/>
  </cols>
  <sheetData>
    <row r="1" spans="1:30" s="217" customFormat="1" ht="24" customHeight="1">
      <c r="B1" s="2272" t="str">
        <f>IF(dms_DataQuality="backcast",INDEX(dms_Worksheet_List,MATCH(dms_Model,dms_Model_List))&amp;" BACKCAST",INDEX(dms_Worksheet_List,MATCH(dms_Model,dms_Model_List)))</f>
        <v>REGULATORY REPORTING STATEMENT</v>
      </c>
      <c r="C1" s="218"/>
      <c r="D1" s="518"/>
      <c r="E1" s="518"/>
      <c r="F1" s="219"/>
      <c r="G1" s="219"/>
      <c r="H1" s="219"/>
      <c r="I1" s="219"/>
      <c r="J1" s="219"/>
      <c r="K1" s="219"/>
      <c r="L1" s="219"/>
      <c r="M1" s="219"/>
      <c r="N1" s="219"/>
      <c r="O1" s="219"/>
      <c r="P1" s="219"/>
      <c r="Q1" s="219"/>
      <c r="R1" s="219"/>
      <c r="S1" s="219"/>
      <c r="T1" s="219"/>
      <c r="U1" s="219"/>
      <c r="V1" s="219"/>
      <c r="W1" s="518"/>
      <c r="X1" s="219"/>
      <c r="Y1" s="219"/>
      <c r="Z1" s="219"/>
      <c r="AA1" s="219"/>
      <c r="AB1" s="219"/>
      <c r="AC1" s="219"/>
      <c r="AD1" s="65"/>
    </row>
    <row r="2" spans="1:30" s="217" customFormat="1" ht="24" customHeight="1">
      <c r="B2" s="2277" t="str">
        <f>INDEX(dms_TradingNameFull_List,MATCH(dms_TradingName,dms_TradingName_List))</f>
        <v>Multinet Gas (DB No.1) Pty Ltd (ACN 086 026 986), Multinet Gas (DB No.2) Pty Ltd (ACN 086 230 122)</v>
      </c>
      <c r="C2" s="1267"/>
      <c r="D2" s="220"/>
      <c r="E2" s="220"/>
      <c r="F2" s="219"/>
      <c r="G2" s="219"/>
      <c r="H2" s="219"/>
      <c r="I2" s="219"/>
      <c r="J2" s="219"/>
      <c r="K2" s="219"/>
      <c r="L2" s="219"/>
      <c r="M2" s="219"/>
      <c r="N2" s="219"/>
      <c r="O2" s="219"/>
      <c r="P2" s="219"/>
      <c r="Q2" s="219"/>
      <c r="R2" s="219"/>
      <c r="S2" s="219"/>
      <c r="T2" s="219"/>
      <c r="U2" s="219"/>
      <c r="V2" s="219"/>
      <c r="W2" s="1267"/>
      <c r="X2" s="219"/>
      <c r="Y2" s="219"/>
      <c r="Z2" s="219"/>
      <c r="AA2" s="219"/>
      <c r="AB2" s="219"/>
      <c r="AC2" s="219"/>
      <c r="AD2" s="65"/>
    </row>
    <row r="3" spans="1:30" s="217" customFormat="1" ht="24" customHeight="1">
      <c r="B3" s="2277" t="str">
        <f ca="1">IF(SUM(dms_SingleYear_Model)&gt;0,CRY,CONCATENATE(FRCP_y1," to ",dms_MultiYear_FinalYear_Result))</f>
        <v>2018 to 2022</v>
      </c>
      <c r="C3" s="1265"/>
      <c r="D3" s="221"/>
      <c r="E3" s="221"/>
      <c r="F3" s="222" t="str">
        <f>CONCATENATE(LEFT(FRCP_y1,4),"-",LEFT(FRCP_y5,2),RIGHT(FRCP_y5,2))</f>
        <v>2018-2022</v>
      </c>
      <c r="G3" s="221"/>
      <c r="H3" s="221"/>
      <c r="I3" s="221"/>
      <c r="J3" s="221"/>
      <c r="K3" s="221"/>
      <c r="L3" s="221"/>
      <c r="M3" s="221"/>
      <c r="N3" s="221"/>
      <c r="O3" s="221"/>
      <c r="P3" s="221"/>
      <c r="Q3" s="221"/>
      <c r="R3" s="221"/>
      <c r="S3" s="1265"/>
      <c r="T3" s="1265"/>
      <c r="U3" s="1265"/>
      <c r="V3" s="1265"/>
      <c r="W3" s="1265"/>
      <c r="X3" s="222"/>
      <c r="Y3" s="1265"/>
      <c r="Z3" s="1265"/>
      <c r="AA3" s="1265"/>
      <c r="AB3" s="1265"/>
      <c r="AC3" s="1265"/>
      <c r="AD3" s="65"/>
    </row>
    <row r="4" spans="1:30" s="159" customFormat="1" ht="24" customHeight="1">
      <c r="B4" s="10" t="s">
        <v>457</v>
      </c>
      <c r="C4" s="10"/>
      <c r="D4" s="12"/>
      <c r="E4" s="12"/>
      <c r="F4" s="12"/>
      <c r="G4" s="12"/>
      <c r="H4" s="12"/>
      <c r="I4" s="12"/>
      <c r="J4" s="12"/>
      <c r="K4" s="12"/>
      <c r="L4" s="12"/>
      <c r="M4" s="12"/>
      <c r="N4" s="12"/>
      <c r="O4" s="12"/>
      <c r="P4" s="12"/>
      <c r="Q4" s="12"/>
      <c r="R4" s="12"/>
      <c r="S4" s="12"/>
      <c r="T4" s="12"/>
      <c r="U4" s="12"/>
      <c r="V4" s="12"/>
      <c r="W4" s="12"/>
      <c r="X4" s="12"/>
      <c r="Y4" s="12"/>
      <c r="Z4" s="12"/>
      <c r="AA4" s="12"/>
      <c r="AB4" s="12"/>
      <c r="AC4" s="12"/>
    </row>
    <row r="5" spans="1:30" customFormat="1" ht="12.75" customHeight="1"/>
    <row r="6" spans="1:30" customFormat="1"/>
    <row r="7" spans="1:30" ht="14.25">
      <c r="A7" s="299"/>
      <c r="B7" s="4343" t="s">
        <v>61</v>
      </c>
      <c r="C7" s="4343"/>
      <c r="D7" s="4343"/>
      <c r="E7" s="4343"/>
      <c r="F7" s="4343"/>
      <c r="G7"/>
      <c r="H7"/>
      <c r="I7" s="299"/>
      <c r="J7" s="299"/>
      <c r="K7" s="282"/>
      <c r="L7" s="282"/>
      <c r="M7" s="282"/>
      <c r="N7" s="282"/>
      <c r="O7" s="282"/>
      <c r="P7" s="282"/>
      <c r="Q7" s="299"/>
      <c r="R7" s="299"/>
      <c r="V7"/>
      <c r="W7"/>
      <c r="X7"/>
      <c r="Y7" s="1266"/>
      <c r="Z7" s="1266"/>
      <c r="AA7" s="299"/>
      <c r="AB7" s="299"/>
      <c r="AC7" s="1268"/>
    </row>
    <row r="8" spans="1:30" ht="21" customHeight="1">
      <c r="A8" s="299"/>
      <c r="B8" s="4343" t="s">
        <v>176</v>
      </c>
      <c r="C8" s="4343"/>
      <c r="D8" s="4343"/>
      <c r="E8" s="4343"/>
      <c r="F8" s="4343"/>
      <c r="G8"/>
      <c r="H8"/>
      <c r="I8" s="299"/>
      <c r="J8" s="299"/>
      <c r="K8" s="282"/>
      <c r="L8" s="282"/>
      <c r="M8" s="282"/>
      <c r="N8" s="282"/>
      <c r="O8" s="282"/>
      <c r="P8" s="282"/>
      <c r="Q8" s="299"/>
      <c r="R8" s="299"/>
      <c r="V8"/>
      <c r="W8"/>
      <c r="X8"/>
      <c r="Y8" s="1266"/>
      <c r="Z8" s="1266"/>
      <c r="AA8" s="299"/>
      <c r="AB8" s="299"/>
      <c r="AC8" s="1268"/>
    </row>
    <row r="9" spans="1:30" ht="48" customHeight="1">
      <c r="A9" s="299"/>
      <c r="B9" s="4343" t="s">
        <v>458</v>
      </c>
      <c r="C9" s="4343"/>
      <c r="D9" s="4343"/>
      <c r="E9" s="4343"/>
      <c r="F9" s="4343"/>
      <c r="G9"/>
      <c r="H9"/>
      <c r="I9" s="299"/>
      <c r="J9" s="299"/>
      <c r="K9" s="282"/>
      <c r="L9" s="282"/>
      <c r="M9" s="282"/>
      <c r="N9" s="282"/>
      <c r="O9" s="282"/>
      <c r="P9" s="282"/>
      <c r="Q9" s="299"/>
      <c r="R9" s="299"/>
      <c r="V9"/>
      <c r="W9"/>
      <c r="X9"/>
      <c r="Y9" s="1266"/>
      <c r="Z9" s="1266"/>
      <c r="AA9" s="299"/>
      <c r="AB9" s="299"/>
      <c r="AC9" s="1268"/>
    </row>
    <row r="10" spans="1:30" s="141" customFormat="1" ht="38.25" customHeight="1">
      <c r="A10" s="576"/>
      <c r="B10" s="4343" t="s">
        <v>459</v>
      </c>
      <c r="C10" s="4343"/>
      <c r="D10" s="4343"/>
      <c r="E10" s="4343"/>
      <c r="F10" s="4343"/>
      <c r="G10"/>
      <c r="H10"/>
      <c r="I10" s="576"/>
      <c r="J10" s="576"/>
      <c r="K10" s="282"/>
      <c r="L10" s="282"/>
      <c r="M10" s="282"/>
      <c r="N10" s="282"/>
      <c r="O10" s="282"/>
      <c r="P10" s="282"/>
      <c r="Q10" s="576"/>
      <c r="R10" s="576"/>
      <c r="S10"/>
      <c r="T10"/>
      <c r="U10"/>
      <c r="V10"/>
      <c r="W10"/>
      <c r="X10"/>
      <c r="Y10" s="1266"/>
      <c r="Z10" s="1266"/>
      <c r="AA10" s="576"/>
      <c r="AB10" s="576"/>
      <c r="AC10" s="1268"/>
    </row>
    <row r="11" spans="1:30" ht="33.75" customHeight="1">
      <c r="A11" s="299"/>
      <c r="B11" s="4343" t="s">
        <v>626</v>
      </c>
      <c r="C11" s="4343"/>
      <c r="D11" s="4343"/>
      <c r="E11" s="4343"/>
      <c r="F11" s="4343"/>
      <c r="G11"/>
      <c r="H11"/>
      <c r="I11" s="299"/>
      <c r="J11" s="299"/>
      <c r="K11" s="299"/>
      <c r="L11" s="299"/>
      <c r="M11" s="299"/>
      <c r="N11" s="299"/>
      <c r="O11" s="299"/>
      <c r="P11" s="299"/>
      <c r="Q11" s="299"/>
      <c r="R11" s="299"/>
      <c r="V11"/>
      <c r="W11"/>
      <c r="X11"/>
      <c r="Y11" s="1266"/>
      <c r="Z11" s="1266"/>
      <c r="AA11" s="299"/>
      <c r="AB11" s="299"/>
      <c r="AC11" s="299"/>
    </row>
    <row r="12" spans="1:30" ht="51" customHeight="1">
      <c r="A12" s="299"/>
      <c r="B12" s="4343" t="str">
        <f>CONCATENATE("As set out in cl.6.1 of the ", dms_TradingName, " RIN, for tables 8.2 to 8.8, where the requested data is captured in the ", dms_TradingName, " capex model it is not required to be reentered in the RIN template tables.  If the requested data has not been provided in the ",dms_TradingName," RIN please enter into the tables. This may require the insertion of new lines in each table.")</f>
        <v>As set out in cl.6.1 of the Multinet Gas RIN, for tables 8.2 to 8.8, where the requested data is captured in the Multinet Gas capex model it is not required to be reentered in the RIN template tables.  If the requested data has not been provided in the Multinet Gas RIN please enter into the tables. This may require the insertion of new lines in each table.</v>
      </c>
      <c r="C12" s="4343"/>
      <c r="D12" s="4343"/>
      <c r="E12" s="4343"/>
      <c r="F12" s="4343"/>
      <c r="G12"/>
      <c r="H12"/>
      <c r="I12" s="299"/>
      <c r="J12" s="299"/>
      <c r="K12" s="299"/>
      <c r="L12" s="299"/>
      <c r="M12" s="299"/>
      <c r="N12" s="299"/>
      <c r="O12" s="299"/>
      <c r="P12" s="299"/>
      <c r="Q12" s="299"/>
      <c r="R12" s="299"/>
      <c r="V12"/>
      <c r="W12"/>
      <c r="X12"/>
      <c r="Y12" s="1266"/>
      <c r="Z12" s="1266"/>
      <c r="AA12" s="299"/>
      <c r="AB12" s="299"/>
      <c r="AC12" s="299"/>
    </row>
    <row r="13" spans="1:30" ht="51" customHeight="1">
      <c r="A13" s="299"/>
      <c r="B13" s="4343" t="s">
        <v>160</v>
      </c>
      <c r="C13" s="4343"/>
      <c r="D13" s="4343"/>
      <c r="E13" s="4343"/>
      <c r="F13" s="4343"/>
      <c r="G13"/>
      <c r="H13"/>
      <c r="I13" s="299"/>
      <c r="J13" s="299"/>
      <c r="K13" s="299"/>
      <c r="L13" s="299"/>
      <c r="M13" s="299"/>
      <c r="N13" s="299"/>
      <c r="O13" s="299"/>
      <c r="P13" s="299"/>
      <c r="Q13" s="299"/>
      <c r="R13" s="299"/>
      <c r="V13"/>
      <c r="W13"/>
      <c r="X13"/>
      <c r="Y13" s="1266"/>
      <c r="Z13" s="1266"/>
      <c r="AA13" s="299"/>
      <c r="AB13" s="299"/>
      <c r="AC13" s="299"/>
    </row>
    <row r="14" spans="1:30" ht="51.75" customHeight="1">
      <c r="A14" s="299"/>
      <c r="B14" s="4343" t="str">
        <f>CONCATENATE("Subject to cl.6.1 of the ", dms_TradingName, " RIN, where linked/adjustable overhead expenditure and related party margin expenditure is not provided in the ", dms_TradingName, " capex model, overhead expenditure and related party margin expenditure should be linked to allocations derived in tabs '14. Overheads' and '15. Related party transactions'.")</f>
        <v>Subject to cl.6.1 of the Multinet Gas RIN, where linked/adjustable overhead expenditure and related party margin expenditure is not provided in the Multinet Gas capex model, overhead expenditure and related party margin expenditure should be linked to allocations derived in tabs '14. Overheads' and '15. Related party transactions'.</v>
      </c>
      <c r="C14" s="4343"/>
      <c r="D14" s="4343"/>
      <c r="E14" s="4343"/>
      <c r="F14" s="4343"/>
      <c r="G14"/>
      <c r="H14"/>
      <c r="I14" s="299"/>
      <c r="J14" s="299"/>
      <c r="K14" s="299"/>
      <c r="L14" s="299"/>
      <c r="M14" s="299"/>
      <c r="N14" s="299"/>
      <c r="O14" s="299"/>
      <c r="P14" s="299"/>
      <c r="Q14" s="299"/>
      <c r="R14" s="299"/>
      <c r="V14"/>
      <c r="W14"/>
      <c r="X14"/>
      <c r="Y14" s="1266"/>
      <c r="Z14" s="1266"/>
      <c r="AA14" s="299"/>
      <c r="AB14" s="299"/>
      <c r="AC14" s="299"/>
    </row>
    <row r="15" spans="1:30" ht="42.75" customHeight="1">
      <c r="A15" s="299"/>
      <c r="B15" s="4343" t="s">
        <v>161</v>
      </c>
      <c r="C15" s="4343"/>
      <c r="D15" s="4343"/>
      <c r="E15" s="4343"/>
      <c r="F15" s="4343"/>
      <c r="G15"/>
      <c r="H15"/>
      <c r="I15" s="299"/>
      <c r="J15" s="299"/>
      <c r="K15" s="299"/>
      <c r="L15" s="299"/>
      <c r="M15" s="299"/>
      <c r="N15" s="299"/>
      <c r="O15" s="299"/>
      <c r="P15" s="299"/>
      <c r="Q15" s="299"/>
      <c r="R15" s="299"/>
      <c r="V15"/>
      <c r="W15"/>
      <c r="X15"/>
      <c r="Y15" s="1266"/>
      <c r="Z15" s="1266"/>
      <c r="AA15" s="299"/>
      <c r="AB15" s="299"/>
      <c r="AC15" s="299"/>
    </row>
    <row r="16" spans="1:30" s="78" customFormat="1" ht="23.25" customHeight="1">
      <c r="A16" s="299"/>
      <c r="B16" s="79"/>
      <c r="C16" s="79"/>
      <c r="D16" s="299"/>
      <c r="E16" s="299"/>
      <c r="F16" s="299"/>
      <c r="G16" s="299"/>
      <c r="H16" s="299"/>
      <c r="I16" s="299"/>
      <c r="J16" s="299"/>
      <c r="K16" s="299"/>
      <c r="L16" s="299"/>
      <c r="M16" s="299"/>
      <c r="N16" s="299"/>
      <c r="O16" s="299"/>
      <c r="P16" s="299"/>
      <c r="Q16" s="299"/>
      <c r="R16" s="299"/>
      <c r="S16"/>
      <c r="T16"/>
      <c r="U16"/>
      <c r="V16" s="299"/>
      <c r="W16" s="299"/>
      <c r="X16" s="299"/>
      <c r="Y16" s="299"/>
      <c r="Z16" s="299"/>
      <c r="AA16" s="299"/>
      <c r="AB16" s="299"/>
      <c r="AC16" s="299"/>
    </row>
    <row r="17" spans="1:29" s="78" customFormat="1" ht="45" customHeight="1" thickBot="1">
      <c r="A17" s="299"/>
      <c r="B17" s="80"/>
      <c r="C17" s="225"/>
      <c r="D17" s="516"/>
      <c r="E17" s="516"/>
      <c r="F17" s="516"/>
      <c r="G17" s="516"/>
      <c r="H17" s="516"/>
      <c r="I17" s="516"/>
      <c r="J17" s="516"/>
      <c r="K17" s="516"/>
      <c r="L17" s="3995" t="s">
        <v>1712</v>
      </c>
      <c r="M17" s="516"/>
      <c r="N17" s="516"/>
      <c r="O17" s="299"/>
      <c r="P17" s="299"/>
      <c r="Q17" s="299"/>
      <c r="R17" s="299"/>
      <c r="S17"/>
      <c r="T17"/>
      <c r="U17"/>
      <c r="V17" s="516"/>
      <c r="W17" s="516"/>
      <c r="X17" s="516"/>
      <c r="Y17" s="516"/>
      <c r="Z17" s="516"/>
      <c r="AA17" s="516"/>
      <c r="AB17" s="516"/>
      <c r="AC17" s="516"/>
    </row>
    <row r="18" spans="1:29" s="223" customFormat="1" ht="24.75" customHeight="1" thickBot="1">
      <c r="A18" s="299"/>
      <c r="B18" s="3544" t="s">
        <v>507</v>
      </c>
      <c r="C18" s="3544"/>
      <c r="D18" s="3545"/>
      <c r="E18" s="3545"/>
      <c r="F18" s="3545"/>
      <c r="G18" s="3545"/>
      <c r="H18" s="3545"/>
      <c r="I18" s="3545"/>
      <c r="J18" s="3545"/>
      <c r="K18" s="3545"/>
      <c r="L18" s="3545"/>
      <c r="M18" s="3545"/>
      <c r="N18" s="3545"/>
      <c r="O18" s="3545"/>
      <c r="P18" s="3545"/>
      <c r="Q18" s="3545"/>
      <c r="R18" s="3545"/>
      <c r="S18" s="1266"/>
      <c r="T18" s="1266"/>
      <c r="U18" s="1266"/>
      <c r="V18"/>
      <c r="W18"/>
      <c r="X18"/>
      <c r="Y18"/>
      <c r="Z18"/>
      <c r="AA18"/>
      <c r="AB18"/>
      <c r="AC18"/>
    </row>
    <row r="19" spans="1:29" s="78" customFormat="1" ht="24.75" customHeight="1" thickBot="1">
      <c r="A19" s="299"/>
      <c r="B19" s="3546" t="s">
        <v>675</v>
      </c>
      <c r="C19" s="3547"/>
      <c r="D19" s="3547"/>
      <c r="E19" s="3547"/>
      <c r="F19" s="3547"/>
      <c r="G19" s="3547"/>
      <c r="H19" s="3547"/>
      <c r="I19" s="3547"/>
      <c r="J19" s="3547"/>
      <c r="K19" s="3547"/>
      <c r="L19" s="3547"/>
      <c r="M19" s="3547"/>
      <c r="N19" s="3547"/>
      <c r="O19" s="3547"/>
      <c r="P19" s="3547"/>
      <c r="Q19" s="3547"/>
      <c r="R19" s="3548"/>
      <c r="S19"/>
      <c r="T19"/>
      <c r="U19"/>
      <c r="V19"/>
      <c r="W19"/>
      <c r="X19"/>
      <c r="Y19"/>
      <c r="Z19"/>
      <c r="AA19"/>
      <c r="AB19"/>
      <c r="AC19"/>
    </row>
    <row r="20" spans="1:29" ht="15.75" customHeight="1">
      <c r="A20" s="299"/>
      <c r="B20" s="4344"/>
      <c r="C20" s="4345"/>
      <c r="D20" s="4404" t="s">
        <v>36</v>
      </c>
      <c r="E20" s="4405"/>
      <c r="F20" s="4405"/>
      <c r="G20" s="4405"/>
      <c r="H20" s="4405"/>
      <c r="I20" s="4408" t="s">
        <v>37</v>
      </c>
      <c r="J20" s="4409"/>
      <c r="K20" s="4409"/>
      <c r="L20" s="4409"/>
      <c r="M20" s="4409"/>
      <c r="N20" s="4406" t="s">
        <v>75</v>
      </c>
      <c r="O20" s="4406"/>
      <c r="P20" s="4406"/>
      <c r="Q20" s="4406"/>
      <c r="R20" s="4407"/>
      <c r="V20"/>
      <c r="W20"/>
      <c r="X20"/>
      <c r="Y20"/>
      <c r="Z20"/>
      <c r="AA20"/>
      <c r="AB20"/>
      <c r="AC20"/>
    </row>
    <row r="21" spans="1:29" ht="12.75" customHeight="1">
      <c r="A21" s="299"/>
      <c r="B21" s="4346"/>
      <c r="C21" s="4347"/>
      <c r="D21" s="4421" t="s">
        <v>357</v>
      </c>
      <c r="E21" s="4422"/>
      <c r="F21" s="4422"/>
      <c r="G21" s="4422"/>
      <c r="H21" s="4422"/>
      <c r="I21" s="4422"/>
      <c r="J21" s="4422"/>
      <c r="K21" s="4422"/>
      <c r="L21" s="4422"/>
      <c r="M21" s="4422"/>
      <c r="N21" s="4422"/>
      <c r="O21" s="4422"/>
      <c r="P21" s="4422"/>
      <c r="Q21" s="4422"/>
      <c r="R21" s="4429"/>
      <c r="V21"/>
      <c r="W21"/>
      <c r="X21"/>
      <c r="Y21"/>
      <c r="Z21"/>
      <c r="AA21"/>
      <c r="AB21"/>
      <c r="AC21"/>
    </row>
    <row r="22" spans="1:29" ht="15" customHeight="1">
      <c r="A22" s="299"/>
      <c r="B22" s="4346"/>
      <c r="C22" s="4347"/>
      <c r="D22" s="4421" t="s">
        <v>56</v>
      </c>
      <c r="E22" s="4422"/>
      <c r="F22" s="4422"/>
      <c r="G22" s="4422"/>
      <c r="H22" s="4422"/>
      <c r="I22" s="4422"/>
      <c r="J22" s="4422"/>
      <c r="K22" s="4423"/>
      <c r="L22" s="4418" t="s">
        <v>57</v>
      </c>
      <c r="M22" s="4419"/>
      <c r="N22" s="4419"/>
      <c r="O22" s="4419"/>
      <c r="P22" s="4419"/>
      <c r="Q22" s="4419"/>
      <c r="R22" s="4420"/>
      <c r="V22"/>
      <c r="W22"/>
      <c r="X22"/>
      <c r="Y22"/>
      <c r="Z22"/>
      <c r="AA22"/>
      <c r="AB22"/>
      <c r="AC22"/>
    </row>
    <row r="23" spans="1:29" ht="15" customHeight="1" thickBot="1">
      <c r="A23" s="299"/>
      <c r="B23" s="4346"/>
      <c r="C23" s="4347"/>
      <c r="D23" s="3549">
        <f t="array" ref="D23:H23">PRCP</f>
        <v>2008</v>
      </c>
      <c r="E23" s="3550">
        <v>2009</v>
      </c>
      <c r="F23" s="3550">
        <v>2010</v>
      </c>
      <c r="G23" s="3550">
        <v>2011</v>
      </c>
      <c r="H23" s="3550">
        <v>2012</v>
      </c>
      <c r="I23" s="3550">
        <f>CRCP_y1</f>
        <v>2013</v>
      </c>
      <c r="J23" s="3550">
        <f>CRCP_y2</f>
        <v>2014</v>
      </c>
      <c r="K23" s="3550">
        <f>CRCP_y3</f>
        <v>2015</v>
      </c>
      <c r="L23" s="3550">
        <f>CRCP_y4</f>
        <v>2016</v>
      </c>
      <c r="M23" s="3550">
        <f>CRCP_y5</f>
        <v>2017</v>
      </c>
      <c r="N23" s="3550" t="str">
        <f t="array" ref="N23:R23">FRCP</f>
        <v>2018</v>
      </c>
      <c r="O23" s="3550">
        <v>2019</v>
      </c>
      <c r="P23" s="3550">
        <v>2020</v>
      </c>
      <c r="Q23" s="3550">
        <v>2021</v>
      </c>
      <c r="R23" s="3551">
        <v>2022</v>
      </c>
      <c r="V23"/>
      <c r="W23"/>
      <c r="X23"/>
      <c r="Y23"/>
      <c r="Z23"/>
      <c r="AA23"/>
      <c r="AB23"/>
      <c r="AC23"/>
    </row>
    <row r="24" spans="1:29" outlineLevel="1">
      <c r="A24" s="299"/>
      <c r="B24" s="4348" t="s">
        <v>1553</v>
      </c>
      <c r="C24" s="3188" t="s">
        <v>93</v>
      </c>
      <c r="D24" s="486">
        <v>73559</v>
      </c>
      <c r="E24" s="485">
        <v>29331</v>
      </c>
      <c r="F24" s="485">
        <v>26430</v>
      </c>
      <c r="G24" s="485">
        <v>22776</v>
      </c>
      <c r="H24" s="487">
        <v>65854</v>
      </c>
      <c r="I24" s="486">
        <v>7422</v>
      </c>
      <c r="J24" s="485">
        <v>5952</v>
      </c>
      <c r="K24" s="485">
        <v>9742</v>
      </c>
      <c r="L24" s="3996">
        <v>14136</v>
      </c>
      <c r="M24" s="487">
        <v>17852</v>
      </c>
      <c r="N24" s="444">
        <v>38653</v>
      </c>
      <c r="O24" s="485">
        <v>2563</v>
      </c>
      <c r="P24" s="485">
        <v>15789</v>
      </c>
      <c r="Q24" s="485">
        <v>43745</v>
      </c>
      <c r="R24" s="441">
        <v>17039</v>
      </c>
      <c r="V24"/>
      <c r="W24"/>
      <c r="X24"/>
      <c r="Y24"/>
      <c r="Z24"/>
      <c r="AA24"/>
      <c r="AB24"/>
      <c r="AC24"/>
    </row>
    <row r="25" spans="1:29" outlineLevel="1">
      <c r="A25" s="299"/>
      <c r="B25" s="4349"/>
      <c r="C25" s="3189" t="s">
        <v>188</v>
      </c>
      <c r="D25" s="486">
        <v>0</v>
      </c>
      <c r="E25" s="485">
        <v>14471</v>
      </c>
      <c r="F25" s="485">
        <v>20030</v>
      </c>
      <c r="G25" s="485">
        <v>19280</v>
      </c>
      <c r="H25" s="487">
        <v>12095</v>
      </c>
      <c r="I25" s="486">
        <v>17754</v>
      </c>
      <c r="J25" s="485">
        <v>17298</v>
      </c>
      <c r="K25" s="485">
        <v>17304</v>
      </c>
      <c r="L25" s="3996">
        <v>16456</v>
      </c>
      <c r="M25" s="487">
        <v>2782</v>
      </c>
      <c r="N25" s="444">
        <v>27614</v>
      </c>
      <c r="O25" s="485">
        <v>2692</v>
      </c>
      <c r="P25" s="485">
        <v>16671</v>
      </c>
      <c r="Q25" s="485">
        <v>7550</v>
      </c>
      <c r="R25" s="441">
        <v>6447</v>
      </c>
      <c r="V25"/>
      <c r="W25"/>
      <c r="X25"/>
      <c r="Y25"/>
      <c r="Z25"/>
      <c r="AA25"/>
      <c r="AB25"/>
      <c r="AC25"/>
    </row>
    <row r="26" spans="1:29" ht="15.75" customHeight="1" outlineLevel="1">
      <c r="A26" s="299"/>
      <c r="B26" s="4349"/>
      <c r="C26" s="3190" t="s">
        <v>133</v>
      </c>
      <c r="D26" s="1542">
        <f>D24+D25</f>
        <v>73559</v>
      </c>
      <c r="E26" s="1540">
        <f t="shared" ref="E26:R26" si="0">E24+E25</f>
        <v>43802</v>
      </c>
      <c r="F26" s="1540">
        <f t="shared" si="0"/>
        <v>46460</v>
      </c>
      <c r="G26" s="1540">
        <f t="shared" si="0"/>
        <v>42056</v>
      </c>
      <c r="H26" s="1541">
        <f t="shared" si="0"/>
        <v>77949</v>
      </c>
      <c r="I26" s="1542">
        <f t="shared" si="0"/>
        <v>25176</v>
      </c>
      <c r="J26" s="1540">
        <f t="shared" si="0"/>
        <v>23250</v>
      </c>
      <c r="K26" s="1540">
        <f t="shared" si="0"/>
        <v>27046</v>
      </c>
      <c r="L26" s="3997">
        <f>SUM(L24:L25)</f>
        <v>30592</v>
      </c>
      <c r="M26" s="1541">
        <f t="shared" si="0"/>
        <v>20634</v>
      </c>
      <c r="N26" s="1543">
        <f t="shared" si="0"/>
        <v>66267</v>
      </c>
      <c r="O26" s="1540">
        <f t="shared" si="0"/>
        <v>5255</v>
      </c>
      <c r="P26" s="1540">
        <f t="shared" si="0"/>
        <v>32460</v>
      </c>
      <c r="Q26" s="1540">
        <f t="shared" si="0"/>
        <v>51295</v>
      </c>
      <c r="R26" s="1544">
        <f t="shared" si="0"/>
        <v>23486</v>
      </c>
      <c r="V26"/>
      <c r="W26"/>
      <c r="X26"/>
      <c r="Y26"/>
      <c r="Z26"/>
      <c r="AA26"/>
      <c r="AB26"/>
      <c r="AC26"/>
    </row>
    <row r="27" spans="1:29" s="501" customFormat="1" outlineLevel="1">
      <c r="A27" s="299"/>
      <c r="B27" s="4349" t="s">
        <v>1554</v>
      </c>
      <c r="C27" s="3191" t="s">
        <v>93</v>
      </c>
      <c r="D27" s="443">
        <v>0</v>
      </c>
      <c r="E27" s="519">
        <v>135</v>
      </c>
      <c r="F27" s="519">
        <v>51</v>
      </c>
      <c r="G27" s="519">
        <v>149</v>
      </c>
      <c r="H27" s="531">
        <v>122</v>
      </c>
      <c r="I27" s="443">
        <v>760</v>
      </c>
      <c r="J27" s="519">
        <v>667</v>
      </c>
      <c r="K27" s="519">
        <v>526</v>
      </c>
      <c r="L27" s="3998">
        <v>619</v>
      </c>
      <c r="M27" s="531">
        <v>168</v>
      </c>
      <c r="N27" s="1537">
        <v>865</v>
      </c>
      <c r="O27" s="519">
        <v>1047</v>
      </c>
      <c r="P27" s="519">
        <v>960</v>
      </c>
      <c r="Q27" s="519">
        <v>516</v>
      </c>
      <c r="R27" s="1538">
        <v>1182</v>
      </c>
      <c r="S27"/>
      <c r="T27"/>
      <c r="U27"/>
      <c r="V27"/>
      <c r="W27"/>
      <c r="X27"/>
      <c r="Y27"/>
      <c r="Z27"/>
      <c r="AA27"/>
      <c r="AB27"/>
      <c r="AC27"/>
    </row>
    <row r="28" spans="1:29" s="501" customFormat="1" outlineLevel="1">
      <c r="A28" s="299"/>
      <c r="B28" s="4349"/>
      <c r="C28" s="3189" t="s">
        <v>188</v>
      </c>
      <c r="D28" s="486">
        <v>834</v>
      </c>
      <c r="E28" s="485">
        <v>0</v>
      </c>
      <c r="F28" s="485">
        <v>0</v>
      </c>
      <c r="G28" s="485">
        <v>1592</v>
      </c>
      <c r="H28" s="487">
        <v>200</v>
      </c>
      <c r="I28" s="486">
        <v>234</v>
      </c>
      <c r="J28" s="485">
        <v>817</v>
      </c>
      <c r="K28" s="485">
        <v>410</v>
      </c>
      <c r="L28" s="3996">
        <v>704</v>
      </c>
      <c r="M28" s="487">
        <v>97</v>
      </c>
      <c r="N28" s="444">
        <v>192</v>
      </c>
      <c r="O28" s="485">
        <v>211</v>
      </c>
      <c r="P28" s="485">
        <v>203</v>
      </c>
      <c r="Q28" s="485">
        <v>137</v>
      </c>
      <c r="R28" s="441">
        <v>258</v>
      </c>
      <c r="S28"/>
      <c r="T28"/>
      <c r="U28"/>
      <c r="V28"/>
      <c r="W28"/>
      <c r="X28"/>
      <c r="Y28"/>
      <c r="Z28"/>
      <c r="AA28"/>
      <c r="AB28"/>
      <c r="AC28"/>
    </row>
    <row r="29" spans="1:29" s="501" customFormat="1" ht="15.75" customHeight="1" outlineLevel="1">
      <c r="A29" s="299"/>
      <c r="B29" s="4349"/>
      <c r="C29" s="3190" t="s">
        <v>133</v>
      </c>
      <c r="D29" s="1542">
        <f>D27+D28</f>
        <v>834</v>
      </c>
      <c r="E29" s="1540">
        <f t="shared" ref="E29:R29" si="1">E27+E28</f>
        <v>135</v>
      </c>
      <c r="F29" s="1540">
        <f t="shared" si="1"/>
        <v>51</v>
      </c>
      <c r="G29" s="1540">
        <f t="shared" si="1"/>
        <v>1741</v>
      </c>
      <c r="H29" s="1541">
        <f t="shared" si="1"/>
        <v>322</v>
      </c>
      <c r="I29" s="1542">
        <f t="shared" si="1"/>
        <v>994</v>
      </c>
      <c r="J29" s="1540">
        <f t="shared" si="1"/>
        <v>1484</v>
      </c>
      <c r="K29" s="1540">
        <f t="shared" si="1"/>
        <v>936</v>
      </c>
      <c r="L29" s="3997">
        <f>SUM(L27:L28)</f>
        <v>1323</v>
      </c>
      <c r="M29" s="1541">
        <f t="shared" si="1"/>
        <v>265</v>
      </c>
      <c r="N29" s="1543">
        <f t="shared" si="1"/>
        <v>1057</v>
      </c>
      <c r="O29" s="1540">
        <f t="shared" si="1"/>
        <v>1258</v>
      </c>
      <c r="P29" s="1540">
        <f t="shared" si="1"/>
        <v>1163</v>
      </c>
      <c r="Q29" s="1540">
        <f t="shared" si="1"/>
        <v>653</v>
      </c>
      <c r="R29" s="1544">
        <f t="shared" si="1"/>
        <v>1440</v>
      </c>
      <c r="S29"/>
      <c r="T29"/>
      <c r="U29"/>
      <c r="V29"/>
      <c r="W29"/>
      <c r="X29"/>
      <c r="Y29"/>
      <c r="Z29"/>
      <c r="AA29"/>
      <c r="AB29"/>
      <c r="AC29"/>
    </row>
    <row r="30" spans="1:29" s="501" customFormat="1" outlineLevel="1">
      <c r="A30" s="299"/>
      <c r="B30" s="4349" t="s">
        <v>92</v>
      </c>
      <c r="C30" s="3191" t="s">
        <v>93</v>
      </c>
      <c r="D30" s="444"/>
      <c r="E30" s="485"/>
      <c r="F30" s="485"/>
      <c r="G30" s="485"/>
      <c r="H30" s="487"/>
      <c r="I30" s="486"/>
      <c r="J30" s="485"/>
      <c r="K30" s="485"/>
      <c r="L30" s="485"/>
      <c r="M30" s="487"/>
      <c r="N30" s="444"/>
      <c r="O30" s="485"/>
      <c r="P30" s="485"/>
      <c r="Q30" s="485"/>
      <c r="R30" s="441"/>
      <c r="S30"/>
      <c r="T30"/>
      <c r="U30"/>
      <c r="V30"/>
      <c r="W30"/>
      <c r="X30"/>
      <c r="Y30"/>
      <c r="Z30"/>
      <c r="AA30"/>
      <c r="AB30"/>
      <c r="AC30"/>
    </row>
    <row r="31" spans="1:29" s="501" customFormat="1" outlineLevel="1">
      <c r="A31" s="299"/>
      <c r="B31" s="4349"/>
      <c r="C31" s="3189" t="s">
        <v>188</v>
      </c>
      <c r="D31" s="444"/>
      <c r="E31" s="485"/>
      <c r="F31" s="485"/>
      <c r="G31" s="485"/>
      <c r="H31" s="487"/>
      <c r="I31" s="486"/>
      <c r="J31" s="485"/>
      <c r="K31" s="485"/>
      <c r="L31" s="485"/>
      <c r="M31" s="487"/>
      <c r="N31" s="444"/>
      <c r="O31" s="485"/>
      <c r="P31" s="485"/>
      <c r="Q31" s="485"/>
      <c r="R31" s="441"/>
      <c r="S31"/>
      <c r="T31"/>
      <c r="U31"/>
      <c r="V31"/>
      <c r="W31"/>
      <c r="X31"/>
      <c r="Y31"/>
      <c r="Z31"/>
      <c r="AA31"/>
      <c r="AB31"/>
      <c r="AC31"/>
    </row>
    <row r="32" spans="1:29" s="501" customFormat="1" ht="15.75" customHeight="1" outlineLevel="1">
      <c r="A32" s="299"/>
      <c r="B32" s="4349"/>
      <c r="C32" s="3190" t="s">
        <v>133</v>
      </c>
      <c r="D32" s="1539">
        <f>D30+D31</f>
        <v>0</v>
      </c>
      <c r="E32" s="1540">
        <f t="shared" ref="E32:R32" si="2">E30+E31</f>
        <v>0</v>
      </c>
      <c r="F32" s="1540">
        <f t="shared" si="2"/>
        <v>0</v>
      </c>
      <c r="G32" s="1540">
        <f t="shared" si="2"/>
        <v>0</v>
      </c>
      <c r="H32" s="1541">
        <f t="shared" si="2"/>
        <v>0</v>
      </c>
      <c r="I32" s="1542">
        <f t="shared" si="2"/>
        <v>0</v>
      </c>
      <c r="J32" s="1540">
        <f t="shared" si="2"/>
        <v>0</v>
      </c>
      <c r="K32" s="1540">
        <f t="shared" si="2"/>
        <v>0</v>
      </c>
      <c r="L32" s="1540">
        <f t="shared" si="2"/>
        <v>0</v>
      </c>
      <c r="M32" s="1541">
        <f t="shared" si="2"/>
        <v>0</v>
      </c>
      <c r="N32" s="1543">
        <f t="shared" si="2"/>
        <v>0</v>
      </c>
      <c r="O32" s="1540">
        <f t="shared" si="2"/>
        <v>0</v>
      </c>
      <c r="P32" s="1540">
        <f t="shared" si="2"/>
        <v>0</v>
      </c>
      <c r="Q32" s="1540">
        <f t="shared" si="2"/>
        <v>0</v>
      </c>
      <c r="R32" s="1544">
        <f t="shared" si="2"/>
        <v>0</v>
      </c>
      <c r="S32"/>
      <c r="T32"/>
      <c r="U32"/>
      <c r="V32"/>
      <c r="W32"/>
      <c r="X32"/>
      <c r="Y32"/>
      <c r="Z32"/>
      <c r="AA32"/>
      <c r="AB32"/>
      <c r="AC32"/>
    </row>
    <row r="33" spans="1:29" s="501" customFormat="1" outlineLevel="1">
      <c r="A33" s="299"/>
      <c r="B33" s="4349" t="s">
        <v>92</v>
      </c>
      <c r="C33" s="3191" t="s">
        <v>93</v>
      </c>
      <c r="D33" s="444"/>
      <c r="E33" s="485"/>
      <c r="F33" s="485"/>
      <c r="G33" s="485"/>
      <c r="H33" s="487"/>
      <c r="I33" s="486"/>
      <c r="J33" s="485"/>
      <c r="K33" s="485"/>
      <c r="L33" s="485"/>
      <c r="M33" s="487"/>
      <c r="N33" s="444"/>
      <c r="O33" s="485"/>
      <c r="P33" s="485"/>
      <c r="Q33" s="485"/>
      <c r="R33" s="441"/>
      <c r="S33"/>
      <c r="T33"/>
      <c r="U33"/>
      <c r="V33"/>
      <c r="W33"/>
      <c r="X33"/>
      <c r="Y33"/>
      <c r="Z33"/>
      <c r="AA33"/>
      <c r="AB33"/>
      <c r="AC33"/>
    </row>
    <row r="34" spans="1:29" s="501" customFormat="1" outlineLevel="1">
      <c r="A34" s="299"/>
      <c r="B34" s="4349"/>
      <c r="C34" s="3189" t="s">
        <v>188</v>
      </c>
      <c r="D34" s="444"/>
      <c r="E34" s="485"/>
      <c r="F34" s="485"/>
      <c r="G34" s="485"/>
      <c r="H34" s="487"/>
      <c r="I34" s="486"/>
      <c r="J34" s="485"/>
      <c r="K34" s="485"/>
      <c r="L34" s="485"/>
      <c r="M34" s="487"/>
      <c r="N34" s="444"/>
      <c r="O34" s="485"/>
      <c r="P34" s="485"/>
      <c r="Q34" s="485"/>
      <c r="R34" s="441"/>
      <c r="S34"/>
      <c r="T34"/>
      <c r="U34"/>
      <c r="V34"/>
      <c r="W34"/>
      <c r="X34"/>
      <c r="Y34"/>
      <c r="Z34"/>
      <c r="AA34"/>
      <c r="AB34"/>
      <c r="AC34"/>
    </row>
    <row r="35" spans="1:29" s="501" customFormat="1" ht="15.75" customHeight="1" outlineLevel="1">
      <c r="A35" s="299"/>
      <c r="B35" s="4349"/>
      <c r="C35" s="3190" t="s">
        <v>133</v>
      </c>
      <c r="D35" s="1539">
        <f>D33+D34</f>
        <v>0</v>
      </c>
      <c r="E35" s="1540">
        <f t="shared" ref="E35:R35" si="3">E33+E34</f>
        <v>0</v>
      </c>
      <c r="F35" s="1540">
        <f t="shared" si="3"/>
        <v>0</v>
      </c>
      <c r="G35" s="1540">
        <f t="shared" si="3"/>
        <v>0</v>
      </c>
      <c r="H35" s="1541">
        <f t="shared" si="3"/>
        <v>0</v>
      </c>
      <c r="I35" s="1542">
        <f t="shared" si="3"/>
        <v>0</v>
      </c>
      <c r="J35" s="1540">
        <f t="shared" si="3"/>
        <v>0</v>
      </c>
      <c r="K35" s="1540">
        <f t="shared" si="3"/>
        <v>0</v>
      </c>
      <c r="L35" s="1540">
        <f t="shared" si="3"/>
        <v>0</v>
      </c>
      <c r="M35" s="1541">
        <f t="shared" si="3"/>
        <v>0</v>
      </c>
      <c r="N35" s="1543">
        <f t="shared" si="3"/>
        <v>0</v>
      </c>
      <c r="O35" s="1540">
        <f t="shared" si="3"/>
        <v>0</v>
      </c>
      <c r="P35" s="1540">
        <f t="shared" si="3"/>
        <v>0</v>
      </c>
      <c r="Q35" s="1540">
        <f t="shared" si="3"/>
        <v>0</v>
      </c>
      <c r="R35" s="1544">
        <f t="shared" si="3"/>
        <v>0</v>
      </c>
      <c r="S35"/>
      <c r="T35"/>
      <c r="U35"/>
      <c r="V35"/>
      <c r="W35"/>
      <c r="X35"/>
      <c r="Y35"/>
      <c r="Z35"/>
      <c r="AA35"/>
      <c r="AB35"/>
      <c r="AC35"/>
    </row>
    <row r="36" spans="1:29" s="501" customFormat="1" outlineLevel="1">
      <c r="A36" s="299"/>
      <c r="B36" s="4349" t="s">
        <v>92</v>
      </c>
      <c r="C36" s="3191" t="s">
        <v>93</v>
      </c>
      <c r="D36" s="444"/>
      <c r="E36" s="485"/>
      <c r="F36" s="485"/>
      <c r="G36" s="485"/>
      <c r="H36" s="487"/>
      <c r="I36" s="486"/>
      <c r="J36" s="485"/>
      <c r="K36" s="485"/>
      <c r="L36" s="485"/>
      <c r="M36" s="487"/>
      <c r="N36" s="444"/>
      <c r="O36" s="485"/>
      <c r="P36" s="485"/>
      <c r="Q36" s="485"/>
      <c r="R36" s="441"/>
      <c r="S36"/>
      <c r="T36"/>
      <c r="U36"/>
      <c r="V36"/>
      <c r="W36"/>
      <c r="X36"/>
      <c r="Y36"/>
      <c r="Z36"/>
      <c r="AA36"/>
      <c r="AB36"/>
      <c r="AC36"/>
    </row>
    <row r="37" spans="1:29" s="501" customFormat="1" outlineLevel="1">
      <c r="A37" s="299"/>
      <c r="B37" s="4349"/>
      <c r="C37" s="3189" t="s">
        <v>188</v>
      </c>
      <c r="D37" s="444"/>
      <c r="E37" s="485"/>
      <c r="F37" s="485"/>
      <c r="G37" s="485"/>
      <c r="H37" s="487"/>
      <c r="I37" s="486"/>
      <c r="J37" s="485"/>
      <c r="K37" s="485"/>
      <c r="L37" s="485"/>
      <c r="M37" s="487"/>
      <c r="N37" s="444"/>
      <c r="O37" s="485"/>
      <c r="P37" s="485"/>
      <c r="Q37" s="485"/>
      <c r="R37" s="441"/>
      <c r="S37"/>
      <c r="T37"/>
      <c r="U37"/>
      <c r="V37"/>
      <c r="W37"/>
      <c r="X37"/>
      <c r="Y37"/>
      <c r="Z37"/>
      <c r="AA37"/>
      <c r="AB37"/>
      <c r="AC37"/>
    </row>
    <row r="38" spans="1:29" s="501" customFormat="1" ht="15.75" customHeight="1" outlineLevel="1">
      <c r="A38" s="299"/>
      <c r="B38" s="4349"/>
      <c r="C38" s="3190" t="s">
        <v>133</v>
      </c>
      <c r="D38" s="1539">
        <f>D36+D37</f>
        <v>0</v>
      </c>
      <c r="E38" s="1540">
        <f t="shared" ref="E38:R38" si="4">E36+E37</f>
        <v>0</v>
      </c>
      <c r="F38" s="1540">
        <f t="shared" si="4"/>
        <v>0</v>
      </c>
      <c r="G38" s="1540">
        <f t="shared" si="4"/>
        <v>0</v>
      </c>
      <c r="H38" s="1541">
        <f t="shared" si="4"/>
        <v>0</v>
      </c>
      <c r="I38" s="1542">
        <f t="shared" si="4"/>
        <v>0</v>
      </c>
      <c r="J38" s="1540">
        <f t="shared" si="4"/>
        <v>0</v>
      </c>
      <c r="K38" s="1540">
        <f t="shared" si="4"/>
        <v>0</v>
      </c>
      <c r="L38" s="1540">
        <f t="shared" si="4"/>
        <v>0</v>
      </c>
      <c r="M38" s="1541">
        <f t="shared" si="4"/>
        <v>0</v>
      </c>
      <c r="N38" s="1543">
        <f t="shared" si="4"/>
        <v>0</v>
      </c>
      <c r="O38" s="1540">
        <f t="shared" si="4"/>
        <v>0</v>
      </c>
      <c r="P38" s="1540">
        <f t="shared" si="4"/>
        <v>0</v>
      </c>
      <c r="Q38" s="1540">
        <f t="shared" si="4"/>
        <v>0</v>
      </c>
      <c r="R38" s="1544">
        <f t="shared" si="4"/>
        <v>0</v>
      </c>
      <c r="S38"/>
      <c r="T38"/>
      <c r="U38"/>
      <c r="V38"/>
      <c r="W38"/>
      <c r="X38"/>
      <c r="Y38"/>
      <c r="Z38"/>
      <c r="AA38"/>
      <c r="AB38"/>
      <c r="AC38"/>
    </row>
    <row r="39" spans="1:29" s="501" customFormat="1" outlineLevel="1">
      <c r="A39" s="299"/>
      <c r="B39" s="4349" t="s">
        <v>92</v>
      </c>
      <c r="C39" s="3191" t="s">
        <v>93</v>
      </c>
      <c r="D39" s="444"/>
      <c r="E39" s="485"/>
      <c r="F39" s="485"/>
      <c r="G39" s="485"/>
      <c r="H39" s="487"/>
      <c r="I39" s="486"/>
      <c r="J39" s="485"/>
      <c r="K39" s="485"/>
      <c r="L39" s="485"/>
      <c r="M39" s="487"/>
      <c r="N39" s="444"/>
      <c r="O39" s="485"/>
      <c r="P39" s="485"/>
      <c r="Q39" s="485"/>
      <c r="R39" s="441"/>
      <c r="S39"/>
      <c r="T39"/>
      <c r="U39"/>
      <c r="V39"/>
      <c r="W39"/>
      <c r="X39"/>
      <c r="Y39"/>
      <c r="Z39"/>
      <c r="AA39"/>
      <c r="AB39"/>
      <c r="AC39"/>
    </row>
    <row r="40" spans="1:29" s="501" customFormat="1" outlineLevel="1">
      <c r="A40" s="299"/>
      <c r="B40" s="4349"/>
      <c r="C40" s="3189" t="s">
        <v>188</v>
      </c>
      <c r="D40" s="444"/>
      <c r="E40" s="485"/>
      <c r="F40" s="485"/>
      <c r="G40" s="485"/>
      <c r="H40" s="487"/>
      <c r="I40" s="486"/>
      <c r="J40" s="485"/>
      <c r="K40" s="485"/>
      <c r="L40" s="485"/>
      <c r="M40" s="487"/>
      <c r="N40" s="444"/>
      <c r="O40" s="485"/>
      <c r="P40" s="485"/>
      <c r="Q40" s="485"/>
      <c r="R40" s="441"/>
      <c r="S40"/>
      <c r="T40"/>
      <c r="U40"/>
      <c r="V40"/>
      <c r="W40"/>
      <c r="X40"/>
      <c r="Y40"/>
      <c r="Z40"/>
      <c r="AA40"/>
      <c r="AB40"/>
      <c r="AC40"/>
    </row>
    <row r="41" spans="1:29" s="501" customFormat="1" ht="15.75" customHeight="1" outlineLevel="1" thickBot="1">
      <c r="A41" s="299"/>
      <c r="B41" s="4350"/>
      <c r="C41" s="3192" t="s">
        <v>133</v>
      </c>
      <c r="D41" s="539">
        <f>D39+D40</f>
        <v>0</v>
      </c>
      <c r="E41" s="534">
        <f t="shared" ref="E41:R41" si="5">E39+E40</f>
        <v>0</v>
      </c>
      <c r="F41" s="534">
        <f t="shared" si="5"/>
        <v>0</v>
      </c>
      <c r="G41" s="534">
        <f t="shared" si="5"/>
        <v>0</v>
      </c>
      <c r="H41" s="535">
        <f t="shared" si="5"/>
        <v>0</v>
      </c>
      <c r="I41" s="1607">
        <f t="shared" si="5"/>
        <v>0</v>
      </c>
      <c r="J41" s="534">
        <f t="shared" si="5"/>
        <v>0</v>
      </c>
      <c r="K41" s="534">
        <f t="shared" si="5"/>
        <v>0</v>
      </c>
      <c r="L41" s="534">
        <f t="shared" si="5"/>
        <v>0</v>
      </c>
      <c r="M41" s="535">
        <f t="shared" si="5"/>
        <v>0</v>
      </c>
      <c r="N41" s="539">
        <f t="shared" si="5"/>
        <v>0</v>
      </c>
      <c r="O41" s="534">
        <f t="shared" si="5"/>
        <v>0</v>
      </c>
      <c r="P41" s="534">
        <f t="shared" si="5"/>
        <v>0</v>
      </c>
      <c r="Q41" s="534">
        <f t="shared" si="5"/>
        <v>0</v>
      </c>
      <c r="R41" s="579">
        <f t="shared" si="5"/>
        <v>0</v>
      </c>
      <c r="S41"/>
      <c r="T41"/>
      <c r="U41"/>
      <c r="V41"/>
      <c r="W41"/>
      <c r="X41"/>
      <c r="Y41"/>
      <c r="Z41"/>
      <c r="AA41"/>
      <c r="AB41"/>
      <c r="AC41"/>
    </row>
    <row r="42" spans="1:29" s="108" customFormat="1" ht="20.25" customHeight="1" thickBot="1">
      <c r="A42" s="512"/>
      <c r="B42" s="4297" t="s">
        <v>133</v>
      </c>
      <c r="C42" s="4298"/>
      <c r="D42" s="3193">
        <f t="shared" ref="D42:R42" si="6">D41+D38+D35+D32+D29+D26</f>
        <v>74393</v>
      </c>
      <c r="E42" s="3194">
        <f t="shared" si="6"/>
        <v>43937</v>
      </c>
      <c r="F42" s="3194">
        <f t="shared" si="6"/>
        <v>46511</v>
      </c>
      <c r="G42" s="3194">
        <f t="shared" si="6"/>
        <v>43797</v>
      </c>
      <c r="H42" s="3195">
        <f t="shared" si="6"/>
        <v>78271</v>
      </c>
      <c r="I42" s="3193">
        <f t="shared" si="6"/>
        <v>26170</v>
      </c>
      <c r="J42" s="3194">
        <f t="shared" si="6"/>
        <v>24734</v>
      </c>
      <c r="K42" s="3194">
        <f t="shared" si="6"/>
        <v>27982</v>
      </c>
      <c r="L42" s="4007">
        <f t="shared" si="6"/>
        <v>31915</v>
      </c>
      <c r="M42" s="3195">
        <f t="shared" si="6"/>
        <v>20899</v>
      </c>
      <c r="N42" s="3196">
        <f t="shared" si="6"/>
        <v>67324</v>
      </c>
      <c r="O42" s="3197">
        <f t="shared" si="6"/>
        <v>6513</v>
      </c>
      <c r="P42" s="3197">
        <f t="shared" si="6"/>
        <v>33623</v>
      </c>
      <c r="Q42" s="3197">
        <f t="shared" si="6"/>
        <v>51948</v>
      </c>
      <c r="R42" s="3198">
        <f t="shared" si="6"/>
        <v>24926</v>
      </c>
      <c r="S42"/>
      <c r="T42"/>
      <c r="U42"/>
      <c r="V42"/>
      <c r="W42"/>
      <c r="X42"/>
      <c r="Y42"/>
      <c r="Z42"/>
      <c r="AA42"/>
      <c r="AB42"/>
      <c r="AC42"/>
    </row>
    <row r="43" spans="1:29" s="69" customFormat="1" ht="45" customHeight="1" thickBot="1">
      <c r="A43" s="348"/>
      <c r="B43" s="4341" t="s">
        <v>127</v>
      </c>
      <c r="C43" s="4342"/>
      <c r="D43" s="3223"/>
      <c r="E43" s="3224"/>
      <c r="F43" s="3224"/>
      <c r="G43" s="3224"/>
      <c r="H43" s="3224"/>
      <c r="I43" s="3224"/>
      <c r="J43" s="3224"/>
      <c r="K43" s="3224"/>
      <c r="L43" s="3224"/>
      <c r="M43" s="3224"/>
      <c r="N43" s="3224"/>
      <c r="O43" s="3224"/>
      <c r="P43" s="3224"/>
      <c r="Q43" s="3224"/>
      <c r="R43" s="3552"/>
      <c r="S43"/>
      <c r="T43"/>
      <c r="U43"/>
      <c r="V43"/>
      <c r="W43"/>
      <c r="X43"/>
      <c r="Y43"/>
      <c r="Z43"/>
      <c r="AA43"/>
      <c r="AB43"/>
      <c r="AC43"/>
    </row>
    <row r="44" spans="1:29" customFormat="1" ht="42" customHeight="1" thickBot="1">
      <c r="B44" s="2274"/>
      <c r="C44" s="2274"/>
      <c r="D44" s="2274"/>
      <c r="E44" s="2274"/>
      <c r="F44" s="2274"/>
      <c r="G44" s="2274"/>
      <c r="H44" s="2274"/>
      <c r="I44" s="2274"/>
      <c r="J44" s="2274"/>
      <c r="K44" s="2274"/>
      <c r="L44" s="2274"/>
      <c r="M44" s="2274"/>
      <c r="N44" s="2274"/>
      <c r="O44" s="2274"/>
      <c r="P44" s="2274"/>
      <c r="Q44" s="2274"/>
      <c r="R44" s="2274"/>
      <c r="V44" s="501"/>
      <c r="W44" s="501"/>
      <c r="X44" s="501"/>
      <c r="Y44" s="501"/>
      <c r="Z44" s="501"/>
      <c r="AA44" s="501"/>
      <c r="AB44" s="501"/>
      <c r="AC44" s="501"/>
    </row>
    <row r="45" spans="1:29" s="78" customFormat="1" ht="33" customHeight="1" thickBot="1">
      <c r="A45" s="299"/>
      <c r="B45" s="3553"/>
      <c r="C45" s="3553"/>
      <c r="D45" s="3554"/>
      <c r="E45" s="3554"/>
      <c r="F45" s="3554"/>
      <c r="G45" s="3554"/>
      <c r="H45" s="3554"/>
      <c r="I45" s="3554"/>
      <c r="J45" s="3554"/>
      <c r="K45" s="3999" t="s">
        <v>1713</v>
      </c>
      <c r="L45" s="3995" t="s">
        <v>1712</v>
      </c>
      <c r="M45" s="3554"/>
      <c r="N45" s="3554"/>
      <c r="O45" s="3555"/>
      <c r="P45" s="3555"/>
      <c r="Q45" s="3555"/>
      <c r="R45" s="3555"/>
      <c r="S45"/>
      <c r="T45"/>
      <c r="U45"/>
      <c r="V45" s="769" t="s">
        <v>674</v>
      </c>
      <c r="W45" s="769"/>
      <c r="X45" s="769"/>
      <c r="Y45" s="769"/>
      <c r="Z45" s="769"/>
      <c r="AA45" s="769"/>
      <c r="AB45" s="769"/>
      <c r="AC45" s="1303"/>
    </row>
    <row r="46" spans="1:29" s="223" customFormat="1" ht="24.75" customHeight="1" thickBot="1">
      <c r="A46" s="299"/>
      <c r="B46" s="3546" t="s">
        <v>632</v>
      </c>
      <c r="C46" s="3546"/>
      <c r="D46" s="3547"/>
      <c r="E46" s="3547"/>
      <c r="F46" s="3547"/>
      <c r="G46" s="3547"/>
      <c r="H46" s="3547"/>
      <c r="I46" s="3547"/>
      <c r="J46" s="3547"/>
      <c r="K46" s="3547"/>
      <c r="L46" s="3547"/>
      <c r="M46" s="3547"/>
      <c r="N46" s="3547"/>
      <c r="O46" s="3547"/>
      <c r="P46" s="3547"/>
      <c r="Q46" s="3547"/>
      <c r="R46" s="3548"/>
      <c r="S46" s="1266"/>
      <c r="T46" s="1266"/>
      <c r="U46" s="1266"/>
      <c r="V46" s="1372"/>
      <c r="W46" s="1373"/>
      <c r="X46" s="1373"/>
      <c r="Y46" s="1373"/>
      <c r="Z46" s="1373"/>
      <c r="AA46" s="1373"/>
      <c r="AB46" s="1373"/>
      <c r="AC46" s="1374"/>
    </row>
    <row r="47" spans="1:29" ht="15.75" customHeight="1">
      <c r="A47" s="299"/>
      <c r="B47" s="4301" t="s">
        <v>1555</v>
      </c>
      <c r="C47" s="4302"/>
      <c r="D47" s="4392" t="s">
        <v>36</v>
      </c>
      <c r="E47" s="4393"/>
      <c r="F47" s="4393"/>
      <c r="G47" s="4393"/>
      <c r="H47" s="4393"/>
      <c r="I47" s="4381" t="s">
        <v>37</v>
      </c>
      <c r="J47" s="4382"/>
      <c r="K47" s="4382"/>
      <c r="L47" s="4382"/>
      <c r="M47" s="4382"/>
      <c r="N47" s="4383" t="s">
        <v>75</v>
      </c>
      <c r="O47" s="4383"/>
      <c r="P47" s="4383"/>
      <c r="Q47" s="4383"/>
      <c r="R47" s="4384"/>
      <c r="V47" s="4436" t="s">
        <v>36</v>
      </c>
      <c r="W47" s="4437"/>
      <c r="X47" s="4437"/>
      <c r="Y47" s="4437"/>
      <c r="Z47" s="4437"/>
      <c r="AA47" s="4438" t="s">
        <v>37</v>
      </c>
      <c r="AB47" s="4439"/>
      <c r="AC47" s="4440"/>
    </row>
    <row r="48" spans="1:29" ht="12.75" customHeight="1">
      <c r="A48" s="299"/>
      <c r="B48" s="4303"/>
      <c r="C48" s="4304"/>
      <c r="D48" s="4385" t="s">
        <v>569</v>
      </c>
      <c r="E48" s="4386"/>
      <c r="F48" s="4386"/>
      <c r="G48" s="4386"/>
      <c r="H48" s="4386"/>
      <c r="I48" s="4386"/>
      <c r="J48" s="4386"/>
      <c r="K48" s="4391"/>
      <c r="L48" s="4388" t="str">
        <f>CONCATENATE("$0's, real ",dms_DollarReal)</f>
        <v>$0's, real December 2017</v>
      </c>
      <c r="M48" s="4389"/>
      <c r="N48" s="4389"/>
      <c r="O48" s="4389"/>
      <c r="P48" s="4389"/>
      <c r="Q48" s="4389"/>
      <c r="R48" s="4390"/>
      <c r="V48" s="4125" t="str">
        <f>CONCATENATE("$0's, real ",dms_DollarReal)</f>
        <v>$0's, real December 2017</v>
      </c>
      <c r="W48" s="4126"/>
      <c r="X48" s="4126"/>
      <c r="Y48" s="4126"/>
      <c r="Z48" s="4126"/>
      <c r="AA48" s="4126"/>
      <c r="AB48" s="4126"/>
      <c r="AC48" s="4169"/>
    </row>
    <row r="49" spans="1:29" ht="15" customHeight="1">
      <c r="A49" s="299"/>
      <c r="B49" s="4303"/>
      <c r="C49" s="4304"/>
      <c r="D49" s="4385" t="s">
        <v>56</v>
      </c>
      <c r="E49" s="4386"/>
      <c r="F49" s="4386"/>
      <c r="G49" s="4386"/>
      <c r="H49" s="4386"/>
      <c r="I49" s="4386"/>
      <c r="J49" s="4386"/>
      <c r="K49" s="4391"/>
      <c r="L49" s="4388" t="s">
        <v>57</v>
      </c>
      <c r="M49" s="4389"/>
      <c r="N49" s="4389"/>
      <c r="O49" s="4389"/>
      <c r="P49" s="4389"/>
      <c r="Q49" s="4389"/>
      <c r="R49" s="4390"/>
      <c r="V49" s="4125" t="s">
        <v>56</v>
      </c>
      <c r="W49" s="4126"/>
      <c r="X49" s="4126"/>
      <c r="Y49" s="4126"/>
      <c r="Z49" s="4126"/>
      <c r="AA49" s="4126"/>
      <c r="AB49" s="4126"/>
      <c r="AC49" s="4169"/>
    </row>
    <row r="50" spans="1:29" ht="15.75" customHeight="1" thickBot="1">
      <c r="A50" s="299"/>
      <c r="B50" s="4305"/>
      <c r="C50" s="4306"/>
      <c r="D50" s="1313">
        <f t="array" ref="D50:H50">PRCP</f>
        <v>2008</v>
      </c>
      <c r="E50" s="1314">
        <v>2009</v>
      </c>
      <c r="F50" s="1314">
        <v>2010</v>
      </c>
      <c r="G50" s="1314">
        <v>2011</v>
      </c>
      <c r="H50" s="1314">
        <v>2012</v>
      </c>
      <c r="I50" s="379">
        <f>CRCP_y1</f>
        <v>2013</v>
      </c>
      <c r="J50" s="379">
        <f>CRCP_y2</f>
        <v>2014</v>
      </c>
      <c r="K50" s="379">
        <f>CRCP_y3</f>
        <v>2015</v>
      </c>
      <c r="L50" s="379">
        <f>CRCP_y4</f>
        <v>2016</v>
      </c>
      <c r="M50" s="379">
        <f>CRCP_y5</f>
        <v>2017</v>
      </c>
      <c r="N50" s="3199" t="str">
        <f t="array" ref="N50:R50">FRCP</f>
        <v>2018</v>
      </c>
      <c r="O50" s="3199">
        <v>2019</v>
      </c>
      <c r="P50" s="3199">
        <v>2020</v>
      </c>
      <c r="Q50" s="3199">
        <v>2021</v>
      </c>
      <c r="R50" s="3200">
        <v>2022</v>
      </c>
      <c r="V50" s="1313">
        <f t="array" ref="V50:Z50">PRCP</f>
        <v>2008</v>
      </c>
      <c r="W50" s="1314">
        <v>2009</v>
      </c>
      <c r="X50" s="1314">
        <v>2010</v>
      </c>
      <c r="Y50" s="1314">
        <v>2011</v>
      </c>
      <c r="Z50" s="1314">
        <v>2012</v>
      </c>
      <c r="AA50" s="379">
        <f>CRCP_y1</f>
        <v>2013</v>
      </c>
      <c r="AB50" s="379">
        <f>CRCP_y2</f>
        <v>2014</v>
      </c>
      <c r="AC50" s="1772">
        <f>CRCP_y3</f>
        <v>2015</v>
      </c>
    </row>
    <row r="51" spans="1:29">
      <c r="A51" s="299"/>
      <c r="B51" s="4337" t="s">
        <v>94</v>
      </c>
      <c r="C51" s="4338"/>
      <c r="D51" s="1457">
        <f>D69+D80</f>
        <v>73559</v>
      </c>
      <c r="E51" s="440">
        <f>E69+E80</f>
        <v>29466</v>
      </c>
      <c r="F51" s="440">
        <f>F69+F80</f>
        <v>26481</v>
      </c>
      <c r="G51" s="440">
        <f>G69+G80</f>
        <v>22925</v>
      </c>
      <c r="H51" s="1259">
        <f>H69+H80</f>
        <v>65976</v>
      </c>
      <c r="I51" s="1457">
        <f>I29+I26</f>
        <v>26170</v>
      </c>
      <c r="J51" s="440">
        <f>J29+J26</f>
        <v>24734</v>
      </c>
      <c r="K51" s="440">
        <f>K29+K26</f>
        <v>27982</v>
      </c>
      <c r="L51" s="4000">
        <f>L69+L80</f>
        <v>29012</v>
      </c>
      <c r="M51" s="487">
        <f t="shared" ref="M51:R51" si="7">M29+M26</f>
        <v>20899</v>
      </c>
      <c r="N51" s="1457">
        <f t="shared" si="7"/>
        <v>67324</v>
      </c>
      <c r="O51" s="440">
        <f t="shared" si="7"/>
        <v>6513</v>
      </c>
      <c r="P51" s="440">
        <f t="shared" si="7"/>
        <v>33623</v>
      </c>
      <c r="Q51" s="440">
        <f t="shared" si="7"/>
        <v>51948</v>
      </c>
      <c r="R51" s="487">
        <f t="shared" si="7"/>
        <v>24926</v>
      </c>
      <c r="V51" s="1595"/>
      <c r="W51" s="480"/>
      <c r="X51" s="480"/>
      <c r="Y51" s="480"/>
      <c r="Z51" s="1608"/>
      <c r="AA51" s="1595"/>
      <c r="AB51" s="480"/>
      <c r="AC51" s="552"/>
    </row>
    <row r="52" spans="1:29" s="78" customFormat="1" ht="12.75" customHeight="1" outlineLevel="1">
      <c r="A52" s="299"/>
      <c r="B52" s="4317" t="s">
        <v>585</v>
      </c>
      <c r="C52" s="4318"/>
      <c r="D52" s="486"/>
      <c r="E52" s="485"/>
      <c r="F52" s="485"/>
      <c r="G52" s="485"/>
      <c r="H52" s="650"/>
      <c r="I52" s="486"/>
      <c r="J52" s="485"/>
      <c r="K52" s="485"/>
      <c r="L52" s="3996"/>
      <c r="M52" s="487"/>
      <c r="N52" s="486"/>
      <c r="O52" s="485"/>
      <c r="P52" s="485"/>
      <c r="Q52" s="485"/>
      <c r="R52" s="487"/>
      <c r="S52"/>
      <c r="T52"/>
      <c r="U52"/>
      <c r="V52" s="489"/>
      <c r="W52" s="490"/>
      <c r="X52" s="490"/>
      <c r="Y52" s="490"/>
      <c r="Z52" s="1292"/>
      <c r="AA52" s="489"/>
      <c r="AB52" s="490"/>
      <c r="AC52" s="491"/>
    </row>
    <row r="53" spans="1:29" s="78" customFormat="1" ht="12.75" customHeight="1" outlineLevel="1">
      <c r="A53" s="299"/>
      <c r="B53" s="4317" t="s">
        <v>584</v>
      </c>
      <c r="C53" s="4318"/>
      <c r="D53" s="486">
        <f>D173+D181+D216+D227</f>
        <v>1602496.9170000001</v>
      </c>
      <c r="E53" s="485">
        <f>E173+E181+E216+E227</f>
        <v>1846769.9849999999</v>
      </c>
      <c r="F53" s="485">
        <f>F173+F181+F216+F227</f>
        <v>2345677.1100000003</v>
      </c>
      <c r="G53" s="485">
        <f>G173+G181+G216+G227</f>
        <v>1762171.3357451644</v>
      </c>
      <c r="H53" s="650">
        <f>H173+H181+H216+H227</f>
        <v>1725438.761863407</v>
      </c>
      <c r="I53" s="486">
        <v>4488212.6395000108</v>
      </c>
      <c r="J53" s="485">
        <v>4637709.5393658429</v>
      </c>
      <c r="K53" s="4001">
        <v>5174293.71</v>
      </c>
      <c r="L53" s="3996">
        <v>4523235.9869395699</v>
      </c>
      <c r="M53" s="487">
        <f>'[6]Detailed Capex Inputs'!$N$23*1000000</f>
        <v>3410000</v>
      </c>
      <c r="N53" s="486">
        <f t="shared" ref="N53:R53" si="8">N173+N181</f>
        <v>2856684.4324552906</v>
      </c>
      <c r="O53" s="485">
        <f t="shared" si="8"/>
        <v>579117.99611141416</v>
      </c>
      <c r="P53" s="485">
        <f t="shared" si="8"/>
        <v>1881473.6363223013</v>
      </c>
      <c r="Q53" s="485">
        <f t="shared" si="8"/>
        <v>888419.75764464331</v>
      </c>
      <c r="R53" s="487">
        <f t="shared" si="8"/>
        <v>895911.93950796674</v>
      </c>
      <c r="S53"/>
      <c r="T53"/>
      <c r="U53"/>
      <c r="V53" s="489"/>
      <c r="W53" s="490"/>
      <c r="X53" s="490"/>
      <c r="Y53" s="490"/>
      <c r="Z53" s="1292"/>
      <c r="AA53" s="489"/>
      <c r="AB53" s="490"/>
      <c r="AC53" s="491"/>
    </row>
    <row r="54" spans="1:29" s="78" customFormat="1" ht="12.75" customHeight="1" outlineLevel="1">
      <c r="A54" s="299"/>
      <c r="B54" s="4317" t="s">
        <v>604</v>
      </c>
      <c r="C54" s="4318"/>
      <c r="D54" s="486"/>
      <c r="E54" s="485"/>
      <c r="F54" s="485"/>
      <c r="G54" s="485"/>
      <c r="H54" s="650"/>
      <c r="I54" s="486"/>
      <c r="J54" s="485"/>
      <c r="K54" s="485"/>
      <c r="L54" s="3996"/>
      <c r="M54" s="487"/>
      <c r="N54" s="486"/>
      <c r="O54" s="485"/>
      <c r="P54" s="485"/>
      <c r="Q54" s="485"/>
      <c r="R54" s="487"/>
      <c r="S54"/>
      <c r="T54"/>
      <c r="U54"/>
      <c r="V54" s="489"/>
      <c r="W54" s="490"/>
      <c r="X54" s="490"/>
      <c r="Y54" s="490"/>
      <c r="Z54" s="1292"/>
      <c r="AA54" s="489"/>
      <c r="AB54" s="490"/>
      <c r="AC54" s="491"/>
    </row>
    <row r="55" spans="1:29" s="78" customFormat="1" ht="12.75" customHeight="1" outlineLevel="1">
      <c r="A55" s="299"/>
      <c r="B55" s="4333" t="s">
        <v>605</v>
      </c>
      <c r="C55" s="4334"/>
      <c r="D55" s="489">
        <f>SUM(D52:D54)</f>
        <v>1602496.9170000001</v>
      </c>
      <c r="E55" s="490">
        <f>SUM(E52:E54)</f>
        <v>1846769.9849999999</v>
      </c>
      <c r="F55" s="490">
        <f>SUM(F52:F54)</f>
        <v>2345677.1100000003</v>
      </c>
      <c r="G55" s="490">
        <f>SUM(G52:G54)</f>
        <v>1762171.3357451644</v>
      </c>
      <c r="H55" s="1292">
        <f t="shared" ref="H55:R55" si="9">SUM(H52:H54)</f>
        <v>1725438.761863407</v>
      </c>
      <c r="I55" s="489">
        <f t="shared" si="9"/>
        <v>4488212.6395000108</v>
      </c>
      <c r="J55" s="490">
        <f t="shared" si="9"/>
        <v>4637709.5393658429</v>
      </c>
      <c r="K55" s="4001">
        <f t="shared" si="9"/>
        <v>5174293.71</v>
      </c>
      <c r="L55" s="4002">
        <f t="shared" si="9"/>
        <v>4523235.9869395699</v>
      </c>
      <c r="M55" s="1292">
        <f t="shared" si="9"/>
        <v>3410000</v>
      </c>
      <c r="N55" s="489">
        <f t="shared" si="9"/>
        <v>2856684.4324552906</v>
      </c>
      <c r="O55" s="490">
        <f t="shared" si="9"/>
        <v>579117.99611141416</v>
      </c>
      <c r="P55" s="490">
        <f t="shared" si="9"/>
        <v>1881473.6363223013</v>
      </c>
      <c r="Q55" s="490">
        <f t="shared" si="9"/>
        <v>888419.75764464331</v>
      </c>
      <c r="R55" s="491">
        <f t="shared" si="9"/>
        <v>895911.93950796674</v>
      </c>
      <c r="S55"/>
      <c r="T55"/>
      <c r="U55"/>
      <c r="V55" s="489">
        <f t="shared" ref="V55:AC55" si="10">SUM(V52:V54)</f>
        <v>0</v>
      </c>
      <c r="W55" s="490">
        <f t="shared" si="10"/>
        <v>0</v>
      </c>
      <c r="X55" s="490">
        <f t="shared" si="10"/>
        <v>0</v>
      </c>
      <c r="Y55" s="490">
        <f t="shared" si="10"/>
        <v>0</v>
      </c>
      <c r="Z55" s="1292">
        <f t="shared" si="10"/>
        <v>0</v>
      </c>
      <c r="AA55" s="489">
        <f t="shared" si="10"/>
        <v>0</v>
      </c>
      <c r="AB55" s="490">
        <f t="shared" si="10"/>
        <v>0</v>
      </c>
      <c r="AC55" s="491">
        <f t="shared" si="10"/>
        <v>0</v>
      </c>
    </row>
    <row r="56" spans="1:29" s="78" customFormat="1" ht="12.75" customHeight="1" outlineLevel="1">
      <c r="A56" s="299"/>
      <c r="B56" s="4317" t="s">
        <v>609</v>
      </c>
      <c r="C56" s="4318"/>
      <c r="D56" s="486">
        <f>D174+D182+D220+D231</f>
        <v>177095.34662264152</v>
      </c>
      <c r="E56" s="485">
        <f>E174+E182+E220+E231</f>
        <v>78795.519360000006</v>
      </c>
      <c r="F56" s="485">
        <f>F174+F182+F220+F231</f>
        <v>261339.02584239133</v>
      </c>
      <c r="G56" s="485">
        <f>G174+G182+G220+G231</f>
        <v>194263.92807663407</v>
      </c>
      <c r="H56" s="650">
        <f>H174+H182+H220+H231</f>
        <v>161160.84882995594</v>
      </c>
      <c r="I56" s="3201">
        <v>235977.37999999998</v>
      </c>
      <c r="J56" s="3202">
        <v>124131.87</v>
      </c>
      <c r="K56" s="4001">
        <f>K174+K182</f>
        <v>155794.56</v>
      </c>
      <c r="L56" s="4003">
        <f>L174+L182</f>
        <v>144693.6</v>
      </c>
      <c r="M56" s="3203">
        <f>M55*0.06</f>
        <v>204600</v>
      </c>
      <c r="N56" s="486">
        <f t="shared" ref="N56:R56" si="11">N55*0.06</f>
        <v>171401.06594731743</v>
      </c>
      <c r="O56" s="485">
        <f t="shared" si="11"/>
        <v>34747.079766684852</v>
      </c>
      <c r="P56" s="485">
        <f t="shared" si="11"/>
        <v>112888.41817933807</v>
      </c>
      <c r="Q56" s="485">
        <f t="shared" si="11"/>
        <v>53305.185458678599</v>
      </c>
      <c r="R56" s="487">
        <f t="shared" si="11"/>
        <v>53754.716370478003</v>
      </c>
      <c r="S56"/>
      <c r="T56"/>
      <c r="U56"/>
      <c r="V56" s="489"/>
      <c r="W56" s="490"/>
      <c r="X56" s="490"/>
      <c r="Y56" s="490"/>
      <c r="Z56" s="1292"/>
      <c r="AA56" s="536"/>
      <c r="AB56" s="537"/>
      <c r="AC56" s="573"/>
    </row>
    <row r="57" spans="1:29" s="78" customFormat="1" ht="12.75" customHeight="1" outlineLevel="1">
      <c r="A57" s="299"/>
      <c r="B57" s="4317" t="s">
        <v>607</v>
      </c>
      <c r="C57" s="4318"/>
      <c r="D57" s="486"/>
      <c r="E57" s="485"/>
      <c r="F57" s="485"/>
      <c r="G57" s="485"/>
      <c r="H57" s="650"/>
      <c r="I57" s="486"/>
      <c r="J57" s="485"/>
      <c r="K57" s="485"/>
      <c r="L57" s="3996"/>
      <c r="M57" s="487"/>
      <c r="N57" s="486"/>
      <c r="O57" s="485"/>
      <c r="P57" s="485"/>
      <c r="Q57" s="485"/>
      <c r="R57" s="487"/>
      <c r="S57"/>
      <c r="T57"/>
      <c r="U57"/>
      <c r="V57" s="489"/>
      <c r="W57" s="490"/>
      <c r="X57" s="490"/>
      <c r="Y57" s="490"/>
      <c r="Z57" s="1292"/>
      <c r="AA57" s="489"/>
      <c r="AB57" s="490"/>
      <c r="AC57" s="491"/>
    </row>
    <row r="58" spans="1:29" s="78" customFormat="1" ht="12.75" customHeight="1" outlineLevel="1">
      <c r="A58" s="299"/>
      <c r="B58" s="4339" t="s">
        <v>610</v>
      </c>
      <c r="C58" s="4340"/>
      <c r="D58" s="384">
        <f>SUM(D55:D57)</f>
        <v>1779592.2636226416</v>
      </c>
      <c r="E58" s="385">
        <f t="shared" ref="E58:R58" si="12">SUM(E55:E57)</f>
        <v>1925565.5043599999</v>
      </c>
      <c r="F58" s="385">
        <f t="shared" si="12"/>
        <v>2607016.1358423918</v>
      </c>
      <c r="G58" s="385">
        <f t="shared" si="12"/>
        <v>1956435.2638217984</v>
      </c>
      <c r="H58" s="651">
        <f t="shared" si="12"/>
        <v>1886599.610693363</v>
      </c>
      <c r="I58" s="384">
        <f t="shared" si="12"/>
        <v>4724190.0195000106</v>
      </c>
      <c r="J58" s="385">
        <f t="shared" si="12"/>
        <v>4761841.4093658431</v>
      </c>
      <c r="K58" s="4004">
        <f t="shared" si="12"/>
        <v>5330088.2699999996</v>
      </c>
      <c r="L58" s="4004">
        <f t="shared" si="12"/>
        <v>4667929.5869395696</v>
      </c>
      <c r="M58" s="3206">
        <f>SUM(M55:M57)</f>
        <v>3614600</v>
      </c>
      <c r="N58" s="3204">
        <f t="shared" si="12"/>
        <v>3028085.4984026081</v>
      </c>
      <c r="O58" s="3205">
        <f t="shared" si="12"/>
        <v>613865.07587809907</v>
      </c>
      <c r="P58" s="3205">
        <f t="shared" si="12"/>
        <v>1994362.0545016394</v>
      </c>
      <c r="Q58" s="3205">
        <f t="shared" si="12"/>
        <v>941724.94310332194</v>
      </c>
      <c r="R58" s="3206">
        <f t="shared" si="12"/>
        <v>949666.65587844478</v>
      </c>
      <c r="S58"/>
      <c r="T58"/>
      <c r="U58"/>
      <c r="V58" s="384">
        <f>SUM(V55:V57)</f>
        <v>0</v>
      </c>
      <c r="W58" s="385">
        <f t="shared" ref="W58:AC58" si="13">SUM(W55:W57)</f>
        <v>0</v>
      </c>
      <c r="X58" s="385">
        <f t="shared" si="13"/>
        <v>0</v>
      </c>
      <c r="Y58" s="385">
        <f t="shared" si="13"/>
        <v>0</v>
      </c>
      <c r="Z58" s="651">
        <f t="shared" si="13"/>
        <v>0</v>
      </c>
      <c r="AA58" s="384">
        <f t="shared" si="13"/>
        <v>0</v>
      </c>
      <c r="AB58" s="385">
        <f t="shared" si="13"/>
        <v>0</v>
      </c>
      <c r="AC58" s="477">
        <f t="shared" si="13"/>
        <v>0</v>
      </c>
    </row>
    <row r="59" spans="1:29" s="78" customFormat="1" ht="12.75" customHeight="1" outlineLevel="1">
      <c r="A59" s="299"/>
      <c r="B59" s="4317" t="s">
        <v>631</v>
      </c>
      <c r="C59" s="4318"/>
      <c r="D59" s="486"/>
      <c r="E59" s="485"/>
      <c r="F59" s="485"/>
      <c r="G59" s="485"/>
      <c r="H59" s="650"/>
      <c r="I59" s="486"/>
      <c r="J59" s="485"/>
      <c r="K59" s="3996"/>
      <c r="L59" s="3996"/>
      <c r="M59" s="487"/>
      <c r="N59" s="486"/>
      <c r="O59" s="485"/>
      <c r="P59" s="485"/>
      <c r="Q59" s="485"/>
      <c r="R59" s="487"/>
      <c r="S59"/>
      <c r="T59"/>
      <c r="U59"/>
      <c r="V59" s="505"/>
      <c r="W59" s="490"/>
      <c r="X59" s="490"/>
      <c r="Y59" s="490"/>
      <c r="Z59" s="1292"/>
      <c r="AA59" s="489"/>
      <c r="AB59" s="490"/>
      <c r="AC59" s="491"/>
    </row>
    <row r="60" spans="1:29" s="78" customFormat="1" ht="15.75" customHeight="1" thickBot="1">
      <c r="A60" s="299"/>
      <c r="B60" s="4319" t="s">
        <v>611</v>
      </c>
      <c r="C60" s="4320"/>
      <c r="D60" s="1458">
        <f t="shared" ref="D60:R60" si="14">D58-D59</f>
        <v>1779592.2636226416</v>
      </c>
      <c r="E60" s="387">
        <f t="shared" si="14"/>
        <v>1925565.5043599999</v>
      </c>
      <c r="F60" s="387">
        <f t="shared" si="14"/>
        <v>2607016.1358423918</v>
      </c>
      <c r="G60" s="387">
        <f t="shared" si="14"/>
        <v>1956435.2638217984</v>
      </c>
      <c r="H60" s="653">
        <f t="shared" si="14"/>
        <v>1886599.610693363</v>
      </c>
      <c r="I60" s="1458">
        <f t="shared" si="14"/>
        <v>4724190.0195000106</v>
      </c>
      <c r="J60" s="387">
        <f t="shared" si="14"/>
        <v>4761841.4093658431</v>
      </c>
      <c r="K60" s="4005">
        <f t="shared" si="14"/>
        <v>5330088.2699999996</v>
      </c>
      <c r="L60" s="4005">
        <f t="shared" si="14"/>
        <v>4667929.5869395696</v>
      </c>
      <c r="M60" s="3195">
        <f t="shared" si="14"/>
        <v>3614600</v>
      </c>
      <c r="N60" s="3193">
        <f t="shared" si="14"/>
        <v>3028085.4984026081</v>
      </c>
      <c r="O60" s="3194">
        <f t="shared" si="14"/>
        <v>613865.07587809907</v>
      </c>
      <c r="P60" s="3194">
        <f t="shared" si="14"/>
        <v>1994362.0545016394</v>
      </c>
      <c r="Q60" s="3194">
        <f t="shared" si="14"/>
        <v>941724.94310332194</v>
      </c>
      <c r="R60" s="3195">
        <f t="shared" si="14"/>
        <v>949666.65587844478</v>
      </c>
      <c r="S60"/>
      <c r="T60"/>
      <c r="U60"/>
      <c r="V60" s="1458">
        <f t="shared" ref="V60:AC60" si="15">V58-V59</f>
        <v>0</v>
      </c>
      <c r="W60" s="387">
        <f t="shared" si="15"/>
        <v>0</v>
      </c>
      <c r="X60" s="387">
        <f t="shared" si="15"/>
        <v>0</v>
      </c>
      <c r="Y60" s="387">
        <f t="shared" si="15"/>
        <v>0</v>
      </c>
      <c r="Z60" s="653">
        <f t="shared" si="15"/>
        <v>0</v>
      </c>
      <c r="AA60" s="1458">
        <f t="shared" si="15"/>
        <v>0</v>
      </c>
      <c r="AB60" s="387">
        <f t="shared" si="15"/>
        <v>0</v>
      </c>
      <c r="AC60" s="528">
        <f t="shared" si="15"/>
        <v>0</v>
      </c>
    </row>
    <row r="61" spans="1:29" s="69" customFormat="1" ht="45" customHeight="1" thickBot="1">
      <c r="A61" s="348"/>
      <c r="B61" s="4341" t="s">
        <v>127</v>
      </c>
      <c r="C61" s="4342"/>
      <c r="D61" s="3223"/>
      <c r="E61" s="3224"/>
      <c r="F61" s="3224"/>
      <c r="G61" s="3224"/>
      <c r="H61" s="3224"/>
      <c r="I61" s="3224"/>
      <c r="J61" s="3224"/>
      <c r="K61" s="3224"/>
      <c r="L61" s="3224"/>
      <c r="M61" s="3224"/>
      <c r="N61" s="3224"/>
      <c r="O61" s="3224"/>
      <c r="P61" s="3224"/>
      <c r="Q61" s="3224"/>
      <c r="R61" s="3552"/>
      <c r="S61"/>
      <c r="T61"/>
      <c r="U61"/>
      <c r="V61" s="1790"/>
      <c r="W61" s="1771"/>
      <c r="X61" s="1771"/>
      <c r="Y61" s="1771"/>
      <c r="Z61" s="1771"/>
      <c r="AA61" s="1771"/>
      <c r="AB61" s="1771"/>
      <c r="AC61" s="1774"/>
    </row>
    <row r="62" spans="1:29" s="78" customFormat="1" ht="30" customHeight="1" thickBot="1">
      <c r="A62" s="299"/>
      <c r="B62" s="3553"/>
      <c r="C62" s="3553"/>
      <c r="D62" s="3554"/>
      <c r="E62" s="3554"/>
      <c r="F62" s="3554"/>
      <c r="G62" s="3554"/>
      <c r="H62" s="3554"/>
      <c r="I62" s="3554"/>
      <c r="J62" s="3554"/>
      <c r="K62" s="3554"/>
      <c r="L62" s="3995" t="s">
        <v>1712</v>
      </c>
      <c r="M62" s="3554"/>
      <c r="N62" s="3554"/>
      <c r="O62" s="3555"/>
      <c r="P62" s="3555"/>
      <c r="Q62" s="3555"/>
      <c r="R62" s="3555"/>
      <c r="S62"/>
      <c r="T62"/>
      <c r="U62"/>
      <c r="V62" s="225"/>
      <c r="W62" s="225"/>
      <c r="X62" s="225"/>
      <c r="Y62" s="225"/>
      <c r="Z62" s="225"/>
      <c r="AA62" s="225"/>
      <c r="AB62" s="225"/>
      <c r="AC62" s="225"/>
    </row>
    <row r="63" spans="1:29" s="223" customFormat="1" ht="24.75" customHeight="1" thickBot="1">
      <c r="A63" s="299"/>
      <c r="B63" s="3546" t="s">
        <v>633</v>
      </c>
      <c r="C63" s="3546"/>
      <c r="D63" s="3547"/>
      <c r="E63" s="3547"/>
      <c r="F63" s="3547"/>
      <c r="G63" s="3547"/>
      <c r="H63" s="3547"/>
      <c r="I63" s="3547"/>
      <c r="J63" s="3547"/>
      <c r="K63" s="3547"/>
      <c r="L63" s="3547"/>
      <c r="M63" s="3547"/>
      <c r="N63" s="3547"/>
      <c r="O63" s="3547"/>
      <c r="P63" s="3547"/>
      <c r="Q63" s="3547"/>
      <c r="R63" s="3548"/>
      <c r="S63" s="1266"/>
      <c r="T63" s="1266"/>
      <c r="U63" s="1266"/>
      <c r="V63" s="1372"/>
      <c r="W63" s="1373"/>
      <c r="X63" s="1373"/>
      <c r="Y63" s="1373"/>
      <c r="Z63" s="1373"/>
      <c r="AA63" s="1373"/>
      <c r="AB63" s="1373"/>
      <c r="AC63" s="1374"/>
    </row>
    <row r="64" spans="1:29" ht="15.75" customHeight="1">
      <c r="A64" s="299"/>
      <c r="B64" s="4301" t="s">
        <v>1556</v>
      </c>
      <c r="C64" s="4376"/>
      <c r="D64" s="4410" t="s">
        <v>36</v>
      </c>
      <c r="E64" s="4411"/>
      <c r="F64" s="4411"/>
      <c r="G64" s="4411"/>
      <c r="H64" s="4412"/>
      <c r="I64" s="4413" t="s">
        <v>37</v>
      </c>
      <c r="J64" s="4414"/>
      <c r="K64" s="4414"/>
      <c r="L64" s="4414"/>
      <c r="M64" s="4415"/>
      <c r="N64" s="4416" t="s">
        <v>75</v>
      </c>
      <c r="O64" s="4411"/>
      <c r="P64" s="4411"/>
      <c r="Q64" s="4411"/>
      <c r="R64" s="4417"/>
      <c r="V64" s="4436" t="s">
        <v>36</v>
      </c>
      <c r="W64" s="4437"/>
      <c r="X64" s="4437"/>
      <c r="Y64" s="4437"/>
      <c r="Z64" s="4437"/>
      <c r="AA64" s="4438" t="s">
        <v>37</v>
      </c>
      <c r="AB64" s="4439"/>
      <c r="AC64" s="4440"/>
    </row>
    <row r="65" spans="1:29" ht="12.75" customHeight="1">
      <c r="A65" s="299"/>
      <c r="B65" s="4377"/>
      <c r="C65" s="4378"/>
      <c r="D65" s="4385" t="s">
        <v>569</v>
      </c>
      <c r="E65" s="4386"/>
      <c r="F65" s="4386"/>
      <c r="G65" s="4386"/>
      <c r="H65" s="4386"/>
      <c r="I65" s="4386"/>
      <c r="J65" s="4386"/>
      <c r="K65" s="4391"/>
      <c r="L65" s="4388" t="str">
        <f>CONCATENATE("$0's, real ",dms_DollarReal)</f>
        <v>$0's, real December 2017</v>
      </c>
      <c r="M65" s="4389"/>
      <c r="N65" s="4389"/>
      <c r="O65" s="4389"/>
      <c r="P65" s="4389"/>
      <c r="Q65" s="4389"/>
      <c r="R65" s="4390"/>
      <c r="V65" s="4125" t="str">
        <f>CONCATENATE("$0's, real ",dms_DollarReal)</f>
        <v>$0's, real December 2017</v>
      </c>
      <c r="W65" s="4126"/>
      <c r="X65" s="4126"/>
      <c r="Y65" s="4126"/>
      <c r="Z65" s="4126"/>
      <c r="AA65" s="4126"/>
      <c r="AB65" s="4126"/>
      <c r="AC65" s="4169"/>
    </row>
    <row r="66" spans="1:29" ht="15" customHeight="1">
      <c r="A66" s="299"/>
      <c r="B66" s="4377"/>
      <c r="C66" s="4378"/>
      <c r="D66" s="4385" t="s">
        <v>56</v>
      </c>
      <c r="E66" s="4386"/>
      <c r="F66" s="4386"/>
      <c r="G66" s="4386"/>
      <c r="H66" s="4386"/>
      <c r="I66" s="4386"/>
      <c r="J66" s="4386"/>
      <c r="K66" s="4391"/>
      <c r="L66" s="4388" t="s">
        <v>57</v>
      </c>
      <c r="M66" s="4389"/>
      <c r="N66" s="4389"/>
      <c r="O66" s="4389"/>
      <c r="P66" s="4389"/>
      <c r="Q66" s="4389"/>
      <c r="R66" s="4390"/>
      <c r="V66" s="4125" t="s">
        <v>56</v>
      </c>
      <c r="W66" s="4126"/>
      <c r="X66" s="4126"/>
      <c r="Y66" s="4126"/>
      <c r="Z66" s="4126"/>
      <c r="AA66" s="4126"/>
      <c r="AB66" s="4126"/>
      <c r="AC66" s="4169"/>
    </row>
    <row r="67" spans="1:29" ht="15.75" customHeight="1" thickBot="1">
      <c r="A67" s="299"/>
      <c r="B67" s="4379"/>
      <c r="C67" s="4380"/>
      <c r="D67" s="1313">
        <f t="array" ref="D67:H67">PRCP</f>
        <v>2008</v>
      </c>
      <c r="E67" s="1314">
        <v>2009</v>
      </c>
      <c r="F67" s="1314">
        <v>2010</v>
      </c>
      <c r="G67" s="1314">
        <v>2011</v>
      </c>
      <c r="H67" s="1314">
        <v>2012</v>
      </c>
      <c r="I67" s="379">
        <f>CRCP_y1</f>
        <v>2013</v>
      </c>
      <c r="J67" s="379">
        <f>CRCP_y2</f>
        <v>2014</v>
      </c>
      <c r="K67" s="379">
        <f>CRCP_y3</f>
        <v>2015</v>
      </c>
      <c r="L67" s="379">
        <f>CRCP_y4</f>
        <v>2016</v>
      </c>
      <c r="M67" s="379">
        <f>CRCP_y5</f>
        <v>2017</v>
      </c>
      <c r="N67" s="379" t="str">
        <f t="array" ref="N67:R67">FRCP</f>
        <v>2018</v>
      </c>
      <c r="O67" s="379">
        <v>2019</v>
      </c>
      <c r="P67" s="379">
        <v>2020</v>
      </c>
      <c r="Q67" s="379">
        <v>2021</v>
      </c>
      <c r="R67" s="3200">
        <v>2022</v>
      </c>
      <c r="V67" s="1521">
        <f t="array" ref="V67:Z67">PRCP</f>
        <v>2008</v>
      </c>
      <c r="W67" s="374">
        <v>2009</v>
      </c>
      <c r="X67" s="374">
        <v>2010</v>
      </c>
      <c r="Y67" s="374">
        <v>2011</v>
      </c>
      <c r="Z67" s="374">
        <v>2012</v>
      </c>
      <c r="AA67" s="376">
        <f>CRCP_y1</f>
        <v>2013</v>
      </c>
      <c r="AB67" s="376">
        <f>CRCP_y2</f>
        <v>2014</v>
      </c>
      <c r="AC67" s="568">
        <f>CRCP_y3</f>
        <v>2015</v>
      </c>
    </row>
    <row r="68" spans="1:29" ht="20.25" customHeight="1" thickBot="1">
      <c r="A68" s="299"/>
      <c r="B68" s="3207" t="s">
        <v>634</v>
      </c>
      <c r="C68" s="3208"/>
      <c r="D68" s="3209"/>
      <c r="E68" s="3209"/>
      <c r="F68" s="3209"/>
      <c r="G68" s="3209"/>
      <c r="H68" s="3209"/>
      <c r="I68" s="3209"/>
      <c r="J68" s="3209"/>
      <c r="K68" s="3209"/>
      <c r="L68" s="3209"/>
      <c r="M68" s="3209"/>
      <c r="N68" s="3209"/>
      <c r="O68" s="3209"/>
      <c r="P68" s="3209"/>
      <c r="Q68" s="3209"/>
      <c r="R68" s="3210"/>
      <c r="V68" s="1367"/>
      <c r="W68" s="1368"/>
      <c r="X68" s="1368"/>
      <c r="Y68" s="1368"/>
      <c r="Z68" s="1368"/>
      <c r="AA68" s="1368"/>
      <c r="AB68" s="1368"/>
      <c r="AC68" s="1369"/>
    </row>
    <row r="69" spans="1:29" s="78" customFormat="1" ht="12.75" customHeight="1" outlineLevel="1">
      <c r="A69" s="299"/>
      <c r="B69" s="4337" t="s">
        <v>208</v>
      </c>
      <c r="C69" s="4338"/>
      <c r="D69" s="1457">
        <f>D24</f>
        <v>73559</v>
      </c>
      <c r="E69" s="440">
        <f>E24</f>
        <v>29331</v>
      </c>
      <c r="F69" s="440">
        <f>F24</f>
        <v>26430</v>
      </c>
      <c r="G69" s="440">
        <f>G24</f>
        <v>22776</v>
      </c>
      <c r="H69" s="1259">
        <v>65854</v>
      </c>
      <c r="I69" s="1457">
        <v>23692</v>
      </c>
      <c r="J69" s="440">
        <v>21046</v>
      </c>
      <c r="K69" s="440">
        <v>24738</v>
      </c>
      <c r="L69" s="4000">
        <v>28126</v>
      </c>
      <c r="M69" s="1259">
        <v>14632</v>
      </c>
      <c r="N69" s="1457"/>
      <c r="O69" s="440"/>
      <c r="P69" s="440"/>
      <c r="Q69" s="440"/>
      <c r="R69" s="487"/>
      <c r="S69"/>
      <c r="T69"/>
      <c r="U69"/>
      <c r="V69" s="1595"/>
      <c r="W69" s="480"/>
      <c r="X69" s="480"/>
      <c r="Y69" s="480"/>
      <c r="Z69" s="552"/>
      <c r="AA69" s="1595"/>
      <c r="AB69" s="480"/>
      <c r="AC69" s="552"/>
    </row>
    <row r="70" spans="1:29" ht="12.75" customHeight="1" outlineLevel="1">
      <c r="A70" s="299"/>
      <c r="B70" s="4317" t="s">
        <v>585</v>
      </c>
      <c r="C70" s="4318"/>
      <c r="D70" s="486"/>
      <c r="E70" s="485"/>
      <c r="F70" s="485"/>
      <c r="G70" s="485"/>
      <c r="H70" s="650"/>
      <c r="I70" s="486"/>
      <c r="J70" s="485"/>
      <c r="K70" s="485"/>
      <c r="L70" s="3996"/>
      <c r="M70" s="650"/>
      <c r="N70" s="486"/>
      <c r="O70" s="485"/>
      <c r="P70" s="485"/>
      <c r="Q70" s="485"/>
      <c r="R70" s="487"/>
      <c r="V70" s="489"/>
      <c r="W70" s="490"/>
      <c r="X70" s="490"/>
      <c r="Y70" s="490"/>
      <c r="Z70" s="491"/>
      <c r="AA70" s="489"/>
      <c r="AB70" s="490"/>
      <c r="AC70" s="491"/>
    </row>
    <row r="71" spans="1:29" outlineLevel="1">
      <c r="A71" s="299"/>
      <c r="B71" s="4317" t="s">
        <v>627</v>
      </c>
      <c r="C71" s="4318"/>
      <c r="D71" s="486">
        <v>0</v>
      </c>
      <c r="E71" s="485">
        <v>784047.2300000001</v>
      </c>
      <c r="F71" s="485">
        <v>745569.71000000008</v>
      </c>
      <c r="G71" s="485">
        <v>698333.88</v>
      </c>
      <c r="H71" s="650">
        <v>1736129.41</v>
      </c>
      <c r="I71" s="486">
        <v>716928.78</v>
      </c>
      <c r="J71" s="485">
        <v>742971.52</v>
      </c>
      <c r="K71" s="485">
        <v>855590.44000000018</v>
      </c>
      <c r="L71" s="3996">
        <v>823246</v>
      </c>
      <c r="M71" s="650"/>
      <c r="N71" s="486"/>
      <c r="O71" s="485"/>
      <c r="P71" s="485"/>
      <c r="Q71" s="485"/>
      <c r="R71" s="487"/>
      <c r="V71" s="489"/>
      <c r="W71" s="490"/>
      <c r="X71" s="490"/>
      <c r="Y71" s="490"/>
      <c r="Z71" s="491"/>
      <c r="AA71" s="489"/>
      <c r="AB71" s="490"/>
      <c r="AC71" s="491"/>
    </row>
    <row r="72" spans="1:29" outlineLevel="1">
      <c r="A72" s="299"/>
      <c r="B72" s="4317" t="s">
        <v>628</v>
      </c>
      <c r="C72" s="4318"/>
      <c r="D72" s="486"/>
      <c r="E72" s="485"/>
      <c r="F72" s="485"/>
      <c r="G72" s="485"/>
      <c r="H72" s="650"/>
      <c r="I72" s="486"/>
      <c r="J72" s="485"/>
      <c r="K72" s="485"/>
      <c r="L72" s="3996"/>
      <c r="M72" s="650"/>
      <c r="N72" s="486"/>
      <c r="O72" s="485"/>
      <c r="P72" s="485"/>
      <c r="Q72" s="485"/>
      <c r="R72" s="487"/>
      <c r="V72" s="489"/>
      <c r="W72" s="490"/>
      <c r="X72" s="490"/>
      <c r="Y72" s="490"/>
      <c r="Z72" s="491"/>
      <c r="AA72" s="489"/>
      <c r="AB72" s="490"/>
      <c r="AC72" s="491"/>
    </row>
    <row r="73" spans="1:29" s="78" customFormat="1" ht="12.75" customHeight="1" outlineLevel="1">
      <c r="A73" s="299"/>
      <c r="B73" s="4333" t="s">
        <v>605</v>
      </c>
      <c r="C73" s="4334"/>
      <c r="D73" s="489">
        <f>D70+D71+D72</f>
        <v>0</v>
      </c>
      <c r="E73" s="490">
        <f t="shared" ref="E73:R73" si="16">E70+E71+E72</f>
        <v>784047.2300000001</v>
      </c>
      <c r="F73" s="490">
        <f t="shared" si="16"/>
        <v>745569.71000000008</v>
      </c>
      <c r="G73" s="490">
        <f t="shared" si="16"/>
        <v>698333.88</v>
      </c>
      <c r="H73" s="1292">
        <f t="shared" si="16"/>
        <v>1736129.41</v>
      </c>
      <c r="I73" s="489">
        <f t="shared" si="16"/>
        <v>716928.78</v>
      </c>
      <c r="J73" s="490">
        <f t="shared" si="16"/>
        <v>742971.52</v>
      </c>
      <c r="K73" s="490">
        <f t="shared" si="16"/>
        <v>855590.44000000018</v>
      </c>
      <c r="L73" s="4002">
        <f t="shared" si="16"/>
        <v>823246</v>
      </c>
      <c r="M73" s="1292">
        <f t="shared" si="16"/>
        <v>0</v>
      </c>
      <c r="N73" s="489">
        <f t="shared" si="16"/>
        <v>0</v>
      </c>
      <c r="O73" s="490">
        <f t="shared" si="16"/>
        <v>0</v>
      </c>
      <c r="P73" s="490">
        <f t="shared" si="16"/>
        <v>0</v>
      </c>
      <c r="Q73" s="490">
        <f t="shared" si="16"/>
        <v>0</v>
      </c>
      <c r="R73" s="491">
        <f t="shared" si="16"/>
        <v>0</v>
      </c>
      <c r="S73"/>
      <c r="T73"/>
      <c r="U73"/>
      <c r="V73" s="489">
        <f>V70+V71+V72</f>
        <v>0</v>
      </c>
      <c r="W73" s="490">
        <f t="shared" ref="W73:AC73" si="17">W70+W71+W72</f>
        <v>0</v>
      </c>
      <c r="X73" s="490">
        <f t="shared" si="17"/>
        <v>0</v>
      </c>
      <c r="Y73" s="490">
        <f t="shared" si="17"/>
        <v>0</v>
      </c>
      <c r="Z73" s="491">
        <f t="shared" si="17"/>
        <v>0</v>
      </c>
      <c r="AA73" s="489">
        <f t="shared" si="17"/>
        <v>0</v>
      </c>
      <c r="AB73" s="490">
        <f t="shared" si="17"/>
        <v>0</v>
      </c>
      <c r="AC73" s="491">
        <f t="shared" si="17"/>
        <v>0</v>
      </c>
    </row>
    <row r="74" spans="1:29" s="78" customFormat="1" ht="12.75" customHeight="1" outlineLevel="1">
      <c r="A74" s="299"/>
      <c r="B74" s="4317" t="s">
        <v>609</v>
      </c>
      <c r="C74" s="4318"/>
      <c r="D74" s="486">
        <v>0</v>
      </c>
      <c r="E74" s="485">
        <v>0</v>
      </c>
      <c r="F74" s="485">
        <v>0</v>
      </c>
      <c r="G74" s="485">
        <v>0</v>
      </c>
      <c r="H74" s="650">
        <v>0</v>
      </c>
      <c r="I74" s="3201">
        <v>0</v>
      </c>
      <c r="J74" s="3202"/>
      <c r="K74" s="3202"/>
      <c r="L74" s="4003"/>
      <c r="M74" s="3203"/>
      <c r="N74" s="3211"/>
      <c r="O74" s="3212"/>
      <c r="P74" s="3212"/>
      <c r="Q74" s="3212"/>
      <c r="R74" s="3213"/>
      <c r="S74"/>
      <c r="T74"/>
      <c r="U74"/>
      <c r="V74" s="489"/>
      <c r="W74" s="490"/>
      <c r="X74" s="490"/>
      <c r="Y74" s="490"/>
      <c r="Z74" s="491"/>
      <c r="AA74" s="536"/>
      <c r="AB74" s="537"/>
      <c r="AC74" s="573"/>
    </row>
    <row r="75" spans="1:29" s="78" customFormat="1" ht="12.75" customHeight="1" outlineLevel="1">
      <c r="A75" s="299"/>
      <c r="B75" s="4317" t="s">
        <v>607</v>
      </c>
      <c r="C75" s="4318"/>
      <c r="D75" s="486"/>
      <c r="E75" s="485"/>
      <c r="F75" s="485"/>
      <c r="G75" s="485"/>
      <c r="H75" s="650"/>
      <c r="I75" s="486"/>
      <c r="J75" s="485"/>
      <c r="K75" s="485"/>
      <c r="L75" s="3996"/>
      <c r="M75" s="650"/>
      <c r="N75" s="486"/>
      <c r="O75" s="485"/>
      <c r="P75" s="485"/>
      <c r="Q75" s="485"/>
      <c r="R75" s="487"/>
      <c r="S75"/>
      <c r="T75"/>
      <c r="U75"/>
      <c r="V75" s="489"/>
      <c r="W75" s="490"/>
      <c r="X75" s="490"/>
      <c r="Y75" s="490"/>
      <c r="Z75" s="491"/>
      <c r="AA75" s="489"/>
      <c r="AB75" s="490"/>
      <c r="AC75" s="491"/>
    </row>
    <row r="76" spans="1:29" s="78" customFormat="1" ht="12.75" customHeight="1" outlineLevel="1">
      <c r="A76" s="299"/>
      <c r="B76" s="4339" t="s">
        <v>610</v>
      </c>
      <c r="C76" s="4340"/>
      <c r="D76" s="3204">
        <f>D73+D74+D75</f>
        <v>0</v>
      </c>
      <c r="E76" s="3205">
        <f t="shared" ref="E76:R76" si="18">E73+E74+E75</f>
        <v>784047.2300000001</v>
      </c>
      <c r="F76" s="3205">
        <f t="shared" si="18"/>
        <v>745569.71000000008</v>
      </c>
      <c r="G76" s="3205">
        <f t="shared" si="18"/>
        <v>698333.88</v>
      </c>
      <c r="H76" s="3206">
        <f t="shared" si="18"/>
        <v>1736129.41</v>
      </c>
      <c r="I76" s="3204">
        <f t="shared" si="18"/>
        <v>716928.78</v>
      </c>
      <c r="J76" s="3205">
        <f t="shared" si="18"/>
        <v>742971.52</v>
      </c>
      <c r="K76" s="3205">
        <f t="shared" si="18"/>
        <v>855590.44000000018</v>
      </c>
      <c r="L76" s="4006">
        <f t="shared" si="18"/>
        <v>823246</v>
      </c>
      <c r="M76" s="3214">
        <f t="shared" si="18"/>
        <v>0</v>
      </c>
      <c r="N76" s="3204">
        <f t="shared" si="18"/>
        <v>0</v>
      </c>
      <c r="O76" s="3205">
        <f t="shared" si="18"/>
        <v>0</v>
      </c>
      <c r="P76" s="3205">
        <f t="shared" si="18"/>
        <v>0</v>
      </c>
      <c r="Q76" s="3205">
        <f t="shared" si="18"/>
        <v>0</v>
      </c>
      <c r="R76" s="3206">
        <f t="shared" si="18"/>
        <v>0</v>
      </c>
      <c r="S76"/>
      <c r="T76"/>
      <c r="U76"/>
      <c r="V76" s="583">
        <f>V73+V74+V75</f>
        <v>0</v>
      </c>
      <c r="W76" s="580">
        <f t="shared" ref="W76:AC76" si="19">W73+W74+W75</f>
        <v>0</v>
      </c>
      <c r="X76" s="580">
        <f t="shared" si="19"/>
        <v>0</v>
      </c>
      <c r="Y76" s="580">
        <f t="shared" si="19"/>
        <v>0</v>
      </c>
      <c r="Z76" s="584">
        <f t="shared" si="19"/>
        <v>0</v>
      </c>
      <c r="AA76" s="583">
        <f t="shared" si="19"/>
        <v>0</v>
      </c>
      <c r="AB76" s="580">
        <f t="shared" si="19"/>
        <v>0</v>
      </c>
      <c r="AC76" s="584">
        <f t="shared" si="19"/>
        <v>0</v>
      </c>
    </row>
    <row r="77" spans="1:29" s="78" customFormat="1" ht="12.75" customHeight="1" outlineLevel="1">
      <c r="A77" s="299"/>
      <c r="B77" s="4317" t="s">
        <v>631</v>
      </c>
      <c r="C77" s="4318"/>
      <c r="D77" s="486"/>
      <c r="E77" s="485"/>
      <c r="F77" s="485"/>
      <c r="G77" s="485"/>
      <c r="H77" s="650"/>
      <c r="I77" s="486"/>
      <c r="J77" s="485"/>
      <c r="K77" s="485"/>
      <c r="L77" s="3996"/>
      <c r="M77" s="650"/>
      <c r="N77" s="486"/>
      <c r="O77" s="485"/>
      <c r="P77" s="485"/>
      <c r="Q77" s="485"/>
      <c r="R77" s="487"/>
      <c r="S77"/>
      <c r="T77"/>
      <c r="U77"/>
      <c r="V77" s="489"/>
      <c r="W77" s="490"/>
      <c r="X77" s="490"/>
      <c r="Y77" s="490"/>
      <c r="Z77" s="491"/>
      <c r="AA77" s="489"/>
      <c r="AB77" s="490"/>
      <c r="AC77" s="491"/>
    </row>
    <row r="78" spans="1:29" s="78" customFormat="1" ht="12.75" customHeight="1" thickBot="1">
      <c r="A78" s="299"/>
      <c r="B78" s="4319" t="s">
        <v>611</v>
      </c>
      <c r="C78" s="4320"/>
      <c r="D78" s="3193">
        <f>D76-D77</f>
        <v>0</v>
      </c>
      <c r="E78" s="3194">
        <f t="shared" ref="E78:R78" si="20">E76-E77</f>
        <v>784047.2300000001</v>
      </c>
      <c r="F78" s="3194">
        <f t="shared" si="20"/>
        <v>745569.71000000008</v>
      </c>
      <c r="G78" s="3194">
        <f t="shared" si="20"/>
        <v>698333.88</v>
      </c>
      <c r="H78" s="3215">
        <f t="shared" si="20"/>
        <v>1736129.41</v>
      </c>
      <c r="I78" s="3193">
        <f t="shared" si="20"/>
        <v>716928.78</v>
      </c>
      <c r="J78" s="3194">
        <f t="shared" si="20"/>
        <v>742971.52</v>
      </c>
      <c r="K78" s="3194">
        <f t="shared" si="20"/>
        <v>855590.44000000018</v>
      </c>
      <c r="L78" s="4007">
        <f t="shared" si="20"/>
        <v>823246</v>
      </c>
      <c r="M78" s="3215">
        <f t="shared" si="20"/>
        <v>0</v>
      </c>
      <c r="N78" s="3193">
        <f t="shared" si="20"/>
        <v>0</v>
      </c>
      <c r="O78" s="3194">
        <f t="shared" si="20"/>
        <v>0</v>
      </c>
      <c r="P78" s="3194">
        <f t="shared" si="20"/>
        <v>0</v>
      </c>
      <c r="Q78" s="3194">
        <f t="shared" si="20"/>
        <v>0</v>
      </c>
      <c r="R78" s="3195">
        <f t="shared" si="20"/>
        <v>0</v>
      </c>
      <c r="S78"/>
      <c r="T78"/>
      <c r="U78"/>
      <c r="V78" s="1822">
        <f>V76-V77</f>
        <v>0</v>
      </c>
      <c r="W78" s="581">
        <f t="shared" ref="W78:AC78" si="21">W76-W77</f>
        <v>0</v>
      </c>
      <c r="X78" s="581">
        <f t="shared" si="21"/>
        <v>0</v>
      </c>
      <c r="Y78" s="581">
        <f t="shared" si="21"/>
        <v>0</v>
      </c>
      <c r="Z78" s="582">
        <f t="shared" si="21"/>
        <v>0</v>
      </c>
      <c r="AA78" s="1822">
        <f t="shared" si="21"/>
        <v>0</v>
      </c>
      <c r="AB78" s="581">
        <f t="shared" si="21"/>
        <v>0</v>
      </c>
      <c r="AC78" s="582">
        <f t="shared" si="21"/>
        <v>0</v>
      </c>
    </row>
    <row r="79" spans="1:29" s="501" customFormat="1" ht="20.25" customHeight="1" thickBot="1">
      <c r="A79" s="299"/>
      <c r="B79" s="3207" t="s">
        <v>635</v>
      </c>
      <c r="C79" s="3208"/>
      <c r="D79" s="3209"/>
      <c r="E79" s="3209"/>
      <c r="F79" s="3209"/>
      <c r="G79" s="3209"/>
      <c r="H79" s="3209"/>
      <c r="I79" s="3209"/>
      <c r="J79" s="3209"/>
      <c r="K79" s="3209"/>
      <c r="L79" s="4008"/>
      <c r="M79" s="3209"/>
      <c r="N79" s="3209"/>
      <c r="O79" s="3209"/>
      <c r="P79" s="3209"/>
      <c r="Q79" s="3209"/>
      <c r="R79" s="3210"/>
      <c r="S79" s="1266"/>
      <c r="T79" s="1266"/>
      <c r="U79" s="1266"/>
      <c r="V79" s="1367"/>
      <c r="W79" s="1368"/>
      <c r="X79" s="1368"/>
      <c r="Y79" s="1368"/>
      <c r="Z79" s="1368"/>
      <c r="AA79" s="1368"/>
      <c r="AB79" s="1368"/>
      <c r="AC79" s="1369"/>
    </row>
    <row r="80" spans="1:29" s="78" customFormat="1" ht="12.75" customHeight="1" outlineLevel="1">
      <c r="A80" s="299"/>
      <c r="B80" s="4337" t="s">
        <v>208</v>
      </c>
      <c r="C80" s="4338"/>
      <c r="D80" s="1457">
        <f>D27</f>
        <v>0</v>
      </c>
      <c r="E80" s="440">
        <f>E27</f>
        <v>135</v>
      </c>
      <c r="F80" s="440">
        <f>F27</f>
        <v>51</v>
      </c>
      <c r="G80" s="440">
        <f>G27</f>
        <v>149</v>
      </c>
      <c r="H80" s="1259">
        <v>122</v>
      </c>
      <c r="I80" s="1457">
        <v>1077</v>
      </c>
      <c r="J80" s="440">
        <v>1119</v>
      </c>
      <c r="K80" s="440">
        <v>616</v>
      </c>
      <c r="L80" s="4000">
        <v>886</v>
      </c>
      <c r="M80" s="1259"/>
      <c r="N80" s="1457"/>
      <c r="O80" s="440"/>
      <c r="P80" s="440"/>
      <c r="Q80" s="440"/>
      <c r="R80" s="1259"/>
      <c r="S80"/>
      <c r="T80"/>
      <c r="U80"/>
      <c r="V80" s="1595"/>
      <c r="W80" s="480"/>
      <c r="X80" s="480"/>
      <c r="Y80" s="480"/>
      <c r="Z80" s="1608"/>
      <c r="AA80" s="1595"/>
      <c r="AB80" s="480"/>
      <c r="AC80" s="552"/>
    </row>
    <row r="81" spans="1:29" ht="12.75" customHeight="1" outlineLevel="1">
      <c r="A81" s="299"/>
      <c r="B81" s="4317" t="s">
        <v>585</v>
      </c>
      <c r="C81" s="4318"/>
      <c r="D81" s="486"/>
      <c r="E81" s="485"/>
      <c r="F81" s="485"/>
      <c r="G81" s="485"/>
      <c r="H81" s="650"/>
      <c r="I81" s="486"/>
      <c r="J81" s="485"/>
      <c r="K81" s="485"/>
      <c r="L81" s="3996"/>
      <c r="M81" s="487"/>
      <c r="N81" s="486"/>
      <c r="O81" s="485"/>
      <c r="P81" s="485"/>
      <c r="Q81" s="485"/>
      <c r="R81" s="487"/>
      <c r="V81" s="489"/>
      <c r="W81" s="490"/>
      <c r="X81" s="490"/>
      <c r="Y81" s="490"/>
      <c r="Z81" s="1292"/>
      <c r="AA81" s="489"/>
      <c r="AB81" s="490"/>
      <c r="AC81" s="491"/>
    </row>
    <row r="82" spans="1:29" outlineLevel="1">
      <c r="A82" s="299"/>
      <c r="B82" s="4317" t="s">
        <v>627</v>
      </c>
      <c r="C82" s="4318"/>
      <c r="D82" s="486">
        <v>0</v>
      </c>
      <c r="E82" s="485">
        <v>57000</v>
      </c>
      <c r="F82" s="485">
        <v>62800.26</v>
      </c>
      <c r="G82" s="485">
        <v>79207.710000000006</v>
      </c>
      <c r="H82" s="650">
        <v>64033.88</v>
      </c>
      <c r="I82" s="486">
        <v>191524.25</v>
      </c>
      <c r="J82" s="485">
        <v>272493.42936584365</v>
      </c>
      <c r="K82" s="485">
        <v>150928.95000000001</v>
      </c>
      <c r="L82" s="3996">
        <v>241362</v>
      </c>
      <c r="M82" s="487"/>
      <c r="N82" s="486"/>
      <c r="O82" s="485"/>
      <c r="P82" s="485"/>
      <c r="Q82" s="485"/>
      <c r="R82" s="487"/>
      <c r="V82" s="489"/>
      <c r="W82" s="490"/>
      <c r="X82" s="490"/>
      <c r="Y82" s="490"/>
      <c r="Z82" s="1292"/>
      <c r="AA82" s="489"/>
      <c r="AB82" s="490"/>
      <c r="AC82" s="491"/>
    </row>
    <row r="83" spans="1:29" outlineLevel="1">
      <c r="A83" s="299"/>
      <c r="B83" s="4317" t="s">
        <v>628</v>
      </c>
      <c r="C83" s="4318"/>
      <c r="D83" s="486"/>
      <c r="E83" s="485"/>
      <c r="F83" s="485"/>
      <c r="G83" s="485"/>
      <c r="H83" s="650"/>
      <c r="I83" s="486"/>
      <c r="J83" s="485"/>
      <c r="K83" s="485"/>
      <c r="L83" s="3996"/>
      <c r="M83" s="487"/>
      <c r="N83" s="486"/>
      <c r="O83" s="485"/>
      <c r="P83" s="485"/>
      <c r="Q83" s="485"/>
      <c r="R83" s="487"/>
      <c r="V83" s="489"/>
      <c r="W83" s="490"/>
      <c r="X83" s="490"/>
      <c r="Y83" s="490"/>
      <c r="Z83" s="1292"/>
      <c r="AA83" s="489"/>
      <c r="AB83" s="490"/>
      <c r="AC83" s="491"/>
    </row>
    <row r="84" spans="1:29" s="78" customFormat="1" ht="12.75" customHeight="1" outlineLevel="1">
      <c r="A84" s="299"/>
      <c r="B84" s="4333" t="s">
        <v>605</v>
      </c>
      <c r="C84" s="4334"/>
      <c r="D84" s="489">
        <f>D81+D82+D83</f>
        <v>0</v>
      </c>
      <c r="E84" s="490">
        <f t="shared" ref="E84:R84" si="22">E81+E82+E83</f>
        <v>57000</v>
      </c>
      <c r="F84" s="490">
        <f t="shared" si="22"/>
        <v>62800.26</v>
      </c>
      <c r="G84" s="490">
        <f t="shared" si="22"/>
        <v>79207.710000000006</v>
      </c>
      <c r="H84" s="1292">
        <f t="shared" si="22"/>
        <v>64033.88</v>
      </c>
      <c r="I84" s="489">
        <f t="shared" si="22"/>
        <v>191524.25</v>
      </c>
      <c r="J84" s="490">
        <f t="shared" si="22"/>
        <v>272493.42936584365</v>
      </c>
      <c r="K84" s="490">
        <f t="shared" si="22"/>
        <v>150928.95000000001</v>
      </c>
      <c r="L84" s="4002">
        <f t="shared" si="22"/>
        <v>241362</v>
      </c>
      <c r="M84" s="491">
        <f t="shared" si="22"/>
        <v>0</v>
      </c>
      <c r="N84" s="489">
        <f t="shared" si="22"/>
        <v>0</v>
      </c>
      <c r="O84" s="490">
        <f t="shared" si="22"/>
        <v>0</v>
      </c>
      <c r="P84" s="490">
        <f t="shared" si="22"/>
        <v>0</v>
      </c>
      <c r="Q84" s="490">
        <f t="shared" si="22"/>
        <v>0</v>
      </c>
      <c r="R84" s="491">
        <f t="shared" si="22"/>
        <v>0</v>
      </c>
      <c r="S84"/>
      <c r="T84"/>
      <c r="U84"/>
      <c r="V84" s="489">
        <f>V81+V82+V83</f>
        <v>0</v>
      </c>
      <c r="W84" s="490">
        <f t="shared" ref="W84:AC84" si="23">W81+W82+W83</f>
        <v>0</v>
      </c>
      <c r="X84" s="490">
        <f t="shared" si="23"/>
        <v>0</v>
      </c>
      <c r="Y84" s="490">
        <f t="shared" si="23"/>
        <v>0</v>
      </c>
      <c r="Z84" s="1292">
        <f t="shared" si="23"/>
        <v>0</v>
      </c>
      <c r="AA84" s="489">
        <f t="shared" si="23"/>
        <v>0</v>
      </c>
      <c r="AB84" s="490">
        <f t="shared" si="23"/>
        <v>0</v>
      </c>
      <c r="AC84" s="491">
        <f t="shared" si="23"/>
        <v>0</v>
      </c>
    </row>
    <row r="85" spans="1:29" s="78" customFormat="1" ht="12.75" customHeight="1" outlineLevel="1">
      <c r="A85" s="299"/>
      <c r="B85" s="4317" t="s">
        <v>609</v>
      </c>
      <c r="C85" s="4318"/>
      <c r="D85" s="486">
        <v>0</v>
      </c>
      <c r="E85" s="485">
        <v>0</v>
      </c>
      <c r="F85" s="485">
        <v>0</v>
      </c>
      <c r="G85" s="485">
        <v>0</v>
      </c>
      <c r="H85" s="650">
        <v>0</v>
      </c>
      <c r="I85" s="3201">
        <v>0</v>
      </c>
      <c r="J85" s="3202"/>
      <c r="K85" s="3202"/>
      <c r="L85" s="4003"/>
      <c r="M85" s="3216"/>
      <c r="N85" s="3211"/>
      <c r="O85" s="3212"/>
      <c r="P85" s="3212"/>
      <c r="Q85" s="3212"/>
      <c r="R85" s="3213"/>
      <c r="S85"/>
      <c r="T85"/>
      <c r="U85"/>
      <c r="V85" s="489"/>
      <c r="W85" s="490"/>
      <c r="X85" s="490"/>
      <c r="Y85" s="490"/>
      <c r="Z85" s="1292"/>
      <c r="AA85" s="536"/>
      <c r="AB85" s="537"/>
      <c r="AC85" s="573"/>
    </row>
    <row r="86" spans="1:29" s="78" customFormat="1" ht="12.75" customHeight="1" outlineLevel="1">
      <c r="A86" s="299"/>
      <c r="B86" s="4317" t="s">
        <v>607</v>
      </c>
      <c r="C86" s="4318"/>
      <c r="D86" s="486"/>
      <c r="E86" s="485"/>
      <c r="F86" s="485"/>
      <c r="G86" s="485"/>
      <c r="H86" s="650"/>
      <c r="I86" s="486"/>
      <c r="J86" s="485"/>
      <c r="K86" s="485"/>
      <c r="L86" s="3996"/>
      <c r="M86" s="487"/>
      <c r="N86" s="486"/>
      <c r="O86" s="485"/>
      <c r="P86" s="485"/>
      <c r="Q86" s="485"/>
      <c r="R86" s="487"/>
      <c r="S86"/>
      <c r="T86"/>
      <c r="U86"/>
      <c r="V86" s="489"/>
      <c r="W86" s="490"/>
      <c r="X86" s="490"/>
      <c r="Y86" s="490"/>
      <c r="Z86" s="1292"/>
      <c r="AA86" s="489"/>
      <c r="AB86" s="490"/>
      <c r="AC86" s="491"/>
    </row>
    <row r="87" spans="1:29" s="223" customFormat="1" ht="12.75" customHeight="1" outlineLevel="1">
      <c r="A87" s="299"/>
      <c r="B87" s="4339" t="s">
        <v>610</v>
      </c>
      <c r="C87" s="4340"/>
      <c r="D87" s="3204">
        <f>D84+D85+D86</f>
        <v>0</v>
      </c>
      <c r="E87" s="3205">
        <f t="shared" ref="E87:R87" si="24">E84+E85+E86</f>
        <v>57000</v>
      </c>
      <c r="F87" s="3205">
        <f t="shared" si="24"/>
        <v>62800.26</v>
      </c>
      <c r="G87" s="3205">
        <f t="shared" si="24"/>
        <v>79207.710000000006</v>
      </c>
      <c r="H87" s="3206">
        <f t="shared" si="24"/>
        <v>64033.88</v>
      </c>
      <c r="I87" s="3204">
        <f t="shared" si="24"/>
        <v>191524.25</v>
      </c>
      <c r="J87" s="3205">
        <f t="shared" si="24"/>
        <v>272493.42936584365</v>
      </c>
      <c r="K87" s="3205">
        <f t="shared" si="24"/>
        <v>150928.95000000001</v>
      </c>
      <c r="L87" s="4006">
        <f t="shared" si="24"/>
        <v>241362</v>
      </c>
      <c r="M87" s="3214">
        <f t="shared" si="24"/>
        <v>0</v>
      </c>
      <c r="N87" s="3204">
        <f t="shared" si="24"/>
        <v>0</v>
      </c>
      <c r="O87" s="3205">
        <f t="shared" si="24"/>
        <v>0</v>
      </c>
      <c r="P87" s="3205">
        <f t="shared" si="24"/>
        <v>0</v>
      </c>
      <c r="Q87" s="3205">
        <f t="shared" si="24"/>
        <v>0</v>
      </c>
      <c r="R87" s="3206">
        <f t="shared" si="24"/>
        <v>0</v>
      </c>
      <c r="S87" s="1266"/>
      <c r="T87" s="1266"/>
      <c r="U87" s="1266"/>
      <c r="V87" s="583">
        <f>V84+V85+V86</f>
        <v>0</v>
      </c>
      <c r="W87" s="580">
        <f t="shared" ref="W87:AC87" si="25">W84+W85+W86</f>
        <v>0</v>
      </c>
      <c r="X87" s="580">
        <f t="shared" si="25"/>
        <v>0</v>
      </c>
      <c r="Y87" s="580">
        <f t="shared" si="25"/>
        <v>0</v>
      </c>
      <c r="Z87" s="584">
        <f t="shared" si="25"/>
        <v>0</v>
      </c>
      <c r="AA87" s="583">
        <f t="shared" si="25"/>
        <v>0</v>
      </c>
      <c r="AB87" s="580">
        <f t="shared" si="25"/>
        <v>0</v>
      </c>
      <c r="AC87" s="584">
        <f t="shared" si="25"/>
        <v>0</v>
      </c>
    </row>
    <row r="88" spans="1:29" s="78" customFormat="1" ht="12.75" customHeight="1" outlineLevel="1">
      <c r="A88" s="299"/>
      <c r="B88" s="4317" t="s">
        <v>631</v>
      </c>
      <c r="C88" s="4318"/>
      <c r="D88" s="486"/>
      <c r="E88" s="485"/>
      <c r="F88" s="485"/>
      <c r="G88" s="485"/>
      <c r="H88" s="650"/>
      <c r="I88" s="486"/>
      <c r="J88" s="485"/>
      <c r="K88" s="485"/>
      <c r="L88" s="3996"/>
      <c r="M88" s="487"/>
      <c r="N88" s="486"/>
      <c r="O88" s="485"/>
      <c r="P88" s="485"/>
      <c r="Q88" s="485"/>
      <c r="R88" s="487"/>
      <c r="S88"/>
      <c r="T88"/>
      <c r="U88"/>
      <c r="V88" s="489"/>
      <c r="W88" s="490"/>
      <c r="X88" s="490"/>
      <c r="Y88" s="490"/>
      <c r="Z88" s="1292"/>
      <c r="AA88" s="489"/>
      <c r="AB88" s="490"/>
      <c r="AC88" s="491"/>
    </row>
    <row r="89" spans="1:29" s="78" customFormat="1" ht="12.75" customHeight="1" thickBot="1">
      <c r="A89" s="299"/>
      <c r="B89" s="4319" t="s">
        <v>611</v>
      </c>
      <c r="C89" s="4320"/>
      <c r="D89" s="3193">
        <f>D87-D88</f>
        <v>0</v>
      </c>
      <c r="E89" s="3194">
        <f t="shared" ref="E89:R89" si="26">E87-E88</f>
        <v>57000</v>
      </c>
      <c r="F89" s="3194">
        <f t="shared" si="26"/>
        <v>62800.26</v>
      </c>
      <c r="G89" s="3194">
        <f t="shared" si="26"/>
        <v>79207.710000000006</v>
      </c>
      <c r="H89" s="3215">
        <f t="shared" si="26"/>
        <v>64033.88</v>
      </c>
      <c r="I89" s="3193">
        <f t="shared" si="26"/>
        <v>191524.25</v>
      </c>
      <c r="J89" s="3194">
        <f t="shared" si="26"/>
        <v>272493.42936584365</v>
      </c>
      <c r="K89" s="3194">
        <f t="shared" si="26"/>
        <v>150928.95000000001</v>
      </c>
      <c r="L89" s="4007">
        <f t="shared" si="26"/>
        <v>241362</v>
      </c>
      <c r="M89" s="3195">
        <f t="shared" si="26"/>
        <v>0</v>
      </c>
      <c r="N89" s="3193">
        <f t="shared" si="26"/>
        <v>0</v>
      </c>
      <c r="O89" s="3194">
        <f t="shared" si="26"/>
        <v>0</v>
      </c>
      <c r="P89" s="3194">
        <f t="shared" si="26"/>
        <v>0</v>
      </c>
      <c r="Q89" s="3194">
        <f t="shared" si="26"/>
        <v>0</v>
      </c>
      <c r="R89" s="3195">
        <f t="shared" si="26"/>
        <v>0</v>
      </c>
      <c r="S89"/>
      <c r="T89"/>
      <c r="U89"/>
      <c r="V89" s="1822">
        <f>V87-V88</f>
        <v>0</v>
      </c>
      <c r="W89" s="581">
        <f t="shared" ref="W89:AC89" si="27">W87-W88</f>
        <v>0</v>
      </c>
      <c r="X89" s="581">
        <f t="shared" si="27"/>
        <v>0</v>
      </c>
      <c r="Y89" s="581">
        <f t="shared" si="27"/>
        <v>0</v>
      </c>
      <c r="Z89" s="1294">
        <f t="shared" si="27"/>
        <v>0</v>
      </c>
      <c r="AA89" s="1822">
        <f t="shared" si="27"/>
        <v>0</v>
      </c>
      <c r="AB89" s="581">
        <f t="shared" si="27"/>
        <v>0</v>
      </c>
      <c r="AC89" s="582">
        <f t="shared" si="27"/>
        <v>0</v>
      </c>
    </row>
    <row r="90" spans="1:29" s="501" customFormat="1" ht="20.25" customHeight="1" thickBot="1">
      <c r="A90" s="299"/>
      <c r="B90" s="3207" t="s">
        <v>636</v>
      </c>
      <c r="C90" s="3208"/>
      <c r="D90" s="3209"/>
      <c r="E90" s="3209"/>
      <c r="F90" s="3209"/>
      <c r="G90" s="3209"/>
      <c r="H90" s="3209"/>
      <c r="I90" s="3209"/>
      <c r="J90" s="3209"/>
      <c r="K90" s="3209"/>
      <c r="L90" s="3209"/>
      <c r="M90" s="3209"/>
      <c r="N90" s="3209"/>
      <c r="O90" s="3209"/>
      <c r="P90" s="3209"/>
      <c r="Q90" s="3209"/>
      <c r="R90" s="3210"/>
      <c r="S90" s="1266"/>
      <c r="T90" s="1266"/>
      <c r="U90" s="1266"/>
      <c r="V90" s="1367"/>
      <c r="W90" s="1368"/>
      <c r="X90" s="1368"/>
      <c r="Y90" s="1368"/>
      <c r="Z90" s="1368"/>
      <c r="AA90" s="1368"/>
      <c r="AB90" s="1368"/>
      <c r="AC90" s="1369"/>
    </row>
    <row r="91" spans="1:29" s="78" customFormat="1" ht="12.75" customHeight="1" outlineLevel="1">
      <c r="A91" s="299"/>
      <c r="B91" s="4374" t="s">
        <v>208</v>
      </c>
      <c r="C91" s="4375"/>
      <c r="D91" s="1457">
        <v>0</v>
      </c>
      <c r="E91" s="440"/>
      <c r="F91" s="440"/>
      <c r="G91" s="440"/>
      <c r="H91" s="1259"/>
      <c r="I91" s="1457"/>
      <c r="J91" s="440"/>
      <c r="K91" s="440"/>
      <c r="L91" s="440"/>
      <c r="M91" s="530"/>
      <c r="N91" s="1457"/>
      <c r="O91" s="440"/>
      <c r="P91" s="440"/>
      <c r="Q91" s="440"/>
      <c r="R91" s="530"/>
      <c r="S91"/>
      <c r="T91"/>
      <c r="U91"/>
      <c r="V91" s="1595"/>
      <c r="W91" s="480"/>
      <c r="X91" s="480"/>
      <c r="Y91" s="480"/>
      <c r="Z91" s="1608"/>
      <c r="AA91" s="1595"/>
      <c r="AB91" s="480"/>
      <c r="AC91" s="552"/>
    </row>
    <row r="92" spans="1:29" ht="12.75" customHeight="1" outlineLevel="1">
      <c r="A92" s="299"/>
      <c r="B92" s="4317" t="s">
        <v>585</v>
      </c>
      <c r="C92" s="4318"/>
      <c r="D92" s="486"/>
      <c r="E92" s="485"/>
      <c r="F92" s="485"/>
      <c r="G92" s="485"/>
      <c r="H92" s="650"/>
      <c r="I92" s="486"/>
      <c r="J92" s="485"/>
      <c r="K92" s="485"/>
      <c r="L92" s="485"/>
      <c r="M92" s="487"/>
      <c r="N92" s="486"/>
      <c r="O92" s="485"/>
      <c r="P92" s="485"/>
      <c r="Q92" s="485"/>
      <c r="R92" s="487"/>
      <c r="V92" s="489"/>
      <c r="W92" s="490"/>
      <c r="X92" s="490"/>
      <c r="Y92" s="490"/>
      <c r="Z92" s="1292"/>
      <c r="AA92" s="489"/>
      <c r="AB92" s="490"/>
      <c r="AC92" s="491"/>
    </row>
    <row r="93" spans="1:29" outlineLevel="1">
      <c r="A93" s="299"/>
      <c r="B93" s="4317" t="s">
        <v>627</v>
      </c>
      <c r="C93" s="4318"/>
      <c r="D93" s="486"/>
      <c r="E93" s="485"/>
      <c r="F93" s="485"/>
      <c r="G93" s="485"/>
      <c r="H93" s="650"/>
      <c r="I93" s="486"/>
      <c r="J93" s="485"/>
      <c r="K93" s="485"/>
      <c r="L93" s="485"/>
      <c r="M93" s="487"/>
      <c r="N93" s="486"/>
      <c r="O93" s="485"/>
      <c r="P93" s="485"/>
      <c r="Q93" s="485"/>
      <c r="R93" s="487"/>
      <c r="V93" s="489"/>
      <c r="W93" s="490"/>
      <c r="X93" s="490"/>
      <c r="Y93" s="490"/>
      <c r="Z93" s="1292"/>
      <c r="AA93" s="489"/>
      <c r="AB93" s="490"/>
      <c r="AC93" s="491"/>
    </row>
    <row r="94" spans="1:29" outlineLevel="1">
      <c r="A94" s="299"/>
      <c r="B94" s="4317" t="s">
        <v>628</v>
      </c>
      <c r="C94" s="4318"/>
      <c r="D94" s="486"/>
      <c r="E94" s="485"/>
      <c r="F94" s="485"/>
      <c r="G94" s="485"/>
      <c r="H94" s="650"/>
      <c r="I94" s="486"/>
      <c r="J94" s="485"/>
      <c r="K94" s="485"/>
      <c r="L94" s="485"/>
      <c r="M94" s="487"/>
      <c r="N94" s="486"/>
      <c r="O94" s="485"/>
      <c r="P94" s="485"/>
      <c r="Q94" s="485"/>
      <c r="R94" s="487"/>
      <c r="V94" s="489"/>
      <c r="W94" s="490"/>
      <c r="X94" s="490"/>
      <c r="Y94" s="490"/>
      <c r="Z94" s="1292"/>
      <c r="AA94" s="489"/>
      <c r="AB94" s="490"/>
      <c r="AC94" s="491"/>
    </row>
    <row r="95" spans="1:29" s="78" customFormat="1" ht="12.75" customHeight="1" outlineLevel="1">
      <c r="A95" s="299"/>
      <c r="B95" s="4333" t="s">
        <v>605</v>
      </c>
      <c r="C95" s="4334"/>
      <c r="D95" s="489">
        <f>D92+D93+D94</f>
        <v>0</v>
      </c>
      <c r="E95" s="490">
        <f t="shared" ref="E95:R95" si="28">E92+E93+E94</f>
        <v>0</v>
      </c>
      <c r="F95" s="490">
        <f t="shared" si="28"/>
        <v>0</v>
      </c>
      <c r="G95" s="490">
        <f t="shared" si="28"/>
        <v>0</v>
      </c>
      <c r="H95" s="1292">
        <f t="shared" si="28"/>
        <v>0</v>
      </c>
      <c r="I95" s="489">
        <f t="shared" si="28"/>
        <v>0</v>
      </c>
      <c r="J95" s="490">
        <f t="shared" si="28"/>
        <v>0</v>
      </c>
      <c r="K95" s="490">
        <f t="shared" si="28"/>
        <v>0</v>
      </c>
      <c r="L95" s="490">
        <v>0</v>
      </c>
      <c r="M95" s="491">
        <f t="shared" si="28"/>
        <v>0</v>
      </c>
      <c r="N95" s="489">
        <f t="shared" si="28"/>
        <v>0</v>
      </c>
      <c r="O95" s="490">
        <f t="shared" si="28"/>
        <v>0</v>
      </c>
      <c r="P95" s="490">
        <f t="shared" si="28"/>
        <v>0</v>
      </c>
      <c r="Q95" s="490">
        <f t="shared" si="28"/>
        <v>0</v>
      </c>
      <c r="R95" s="491">
        <f t="shared" si="28"/>
        <v>0</v>
      </c>
      <c r="S95"/>
      <c r="T95"/>
      <c r="U95"/>
      <c r="V95" s="489">
        <f>V92+V93+V94</f>
        <v>0</v>
      </c>
      <c r="W95" s="490">
        <f t="shared" ref="W95:AC95" si="29">W92+W93+W94</f>
        <v>0</v>
      </c>
      <c r="X95" s="490">
        <f t="shared" si="29"/>
        <v>0</v>
      </c>
      <c r="Y95" s="490">
        <f t="shared" si="29"/>
        <v>0</v>
      </c>
      <c r="Z95" s="1292">
        <f t="shared" si="29"/>
        <v>0</v>
      </c>
      <c r="AA95" s="489">
        <f t="shared" si="29"/>
        <v>0</v>
      </c>
      <c r="AB95" s="490">
        <f t="shared" si="29"/>
        <v>0</v>
      </c>
      <c r="AC95" s="491">
        <f t="shared" si="29"/>
        <v>0</v>
      </c>
    </row>
    <row r="96" spans="1:29" s="78" customFormat="1" ht="12.75" customHeight="1" outlineLevel="1">
      <c r="A96" s="299"/>
      <c r="B96" s="4317" t="s">
        <v>609</v>
      </c>
      <c r="C96" s="4318"/>
      <c r="D96" s="486"/>
      <c r="E96" s="485"/>
      <c r="F96" s="485"/>
      <c r="G96" s="485"/>
      <c r="H96" s="650"/>
      <c r="I96" s="3201"/>
      <c r="J96" s="3202"/>
      <c r="K96" s="3202"/>
      <c r="L96" s="3202">
        <f>L95*0.06</f>
        <v>0</v>
      </c>
      <c r="M96" s="3216"/>
      <c r="N96" s="3211"/>
      <c r="O96" s="3212"/>
      <c r="P96" s="3212"/>
      <c r="Q96" s="3212"/>
      <c r="R96" s="3213"/>
      <c r="S96"/>
      <c r="T96"/>
      <c r="U96"/>
      <c r="V96" s="489"/>
      <c r="W96" s="490"/>
      <c r="X96" s="490"/>
      <c r="Y96" s="490"/>
      <c r="Z96" s="1292"/>
      <c r="AA96" s="536"/>
      <c r="AB96" s="537"/>
      <c r="AC96" s="573"/>
    </row>
    <row r="97" spans="1:29" s="78" customFormat="1" ht="12.75" customHeight="1" outlineLevel="1">
      <c r="A97" s="299"/>
      <c r="B97" s="4317" t="s">
        <v>607</v>
      </c>
      <c r="C97" s="4318"/>
      <c r="D97" s="486"/>
      <c r="E97" s="485"/>
      <c r="F97" s="485"/>
      <c r="G97" s="485"/>
      <c r="H97" s="650"/>
      <c r="I97" s="486"/>
      <c r="J97" s="485"/>
      <c r="K97" s="485"/>
      <c r="L97" s="485"/>
      <c r="M97" s="487"/>
      <c r="N97" s="486"/>
      <c r="O97" s="485"/>
      <c r="P97" s="485"/>
      <c r="Q97" s="485"/>
      <c r="R97" s="487"/>
      <c r="S97"/>
      <c r="T97"/>
      <c r="U97"/>
      <c r="V97" s="489"/>
      <c r="W97" s="490"/>
      <c r="X97" s="490"/>
      <c r="Y97" s="490"/>
      <c r="Z97" s="1292"/>
      <c r="AA97" s="489"/>
      <c r="AB97" s="490"/>
      <c r="AC97" s="491"/>
    </row>
    <row r="98" spans="1:29" s="223" customFormat="1" ht="12.75" customHeight="1" outlineLevel="1">
      <c r="A98" s="299"/>
      <c r="B98" s="4339" t="s">
        <v>610</v>
      </c>
      <c r="C98" s="4340"/>
      <c r="D98" s="3204">
        <f>D95+D96+D97</f>
        <v>0</v>
      </c>
      <c r="E98" s="3205">
        <f t="shared" ref="E98:R98" si="30">E95+E96+E97</f>
        <v>0</v>
      </c>
      <c r="F98" s="3205">
        <f t="shared" si="30"/>
        <v>0</v>
      </c>
      <c r="G98" s="3205">
        <f t="shared" si="30"/>
        <v>0</v>
      </c>
      <c r="H98" s="3206">
        <f t="shared" si="30"/>
        <v>0</v>
      </c>
      <c r="I98" s="3204">
        <f t="shared" si="30"/>
        <v>0</v>
      </c>
      <c r="J98" s="3205">
        <f t="shared" si="30"/>
        <v>0</v>
      </c>
      <c r="K98" s="3205">
        <f t="shared" si="30"/>
        <v>0</v>
      </c>
      <c r="L98" s="3205">
        <f t="shared" si="30"/>
        <v>0</v>
      </c>
      <c r="M98" s="3214">
        <f t="shared" si="30"/>
        <v>0</v>
      </c>
      <c r="N98" s="3204">
        <f t="shared" si="30"/>
        <v>0</v>
      </c>
      <c r="O98" s="3205">
        <f t="shared" si="30"/>
        <v>0</v>
      </c>
      <c r="P98" s="3205">
        <f t="shared" si="30"/>
        <v>0</v>
      </c>
      <c r="Q98" s="3205">
        <f t="shared" si="30"/>
        <v>0</v>
      </c>
      <c r="R98" s="3206">
        <f t="shared" si="30"/>
        <v>0</v>
      </c>
      <c r="S98" s="1266"/>
      <c r="T98" s="1266"/>
      <c r="U98" s="1266"/>
      <c r="V98" s="583">
        <f>V95+V96+V97</f>
        <v>0</v>
      </c>
      <c r="W98" s="580">
        <f t="shared" ref="W98:AC98" si="31">W95+W96+W97</f>
        <v>0</v>
      </c>
      <c r="X98" s="580">
        <f t="shared" si="31"/>
        <v>0</v>
      </c>
      <c r="Y98" s="580">
        <f t="shared" si="31"/>
        <v>0</v>
      </c>
      <c r="Z98" s="584">
        <f t="shared" si="31"/>
        <v>0</v>
      </c>
      <c r="AA98" s="583">
        <f t="shared" si="31"/>
        <v>0</v>
      </c>
      <c r="AB98" s="580">
        <f t="shared" si="31"/>
        <v>0</v>
      </c>
      <c r="AC98" s="584">
        <f t="shared" si="31"/>
        <v>0</v>
      </c>
    </row>
    <row r="99" spans="1:29" s="78" customFormat="1" ht="12.75" customHeight="1" outlineLevel="1">
      <c r="A99" s="299"/>
      <c r="B99" s="4317" t="s">
        <v>631</v>
      </c>
      <c r="C99" s="4318"/>
      <c r="D99" s="486"/>
      <c r="E99" s="485"/>
      <c r="F99" s="485"/>
      <c r="G99" s="485"/>
      <c r="H99" s="650"/>
      <c r="I99" s="486"/>
      <c r="J99" s="485"/>
      <c r="K99" s="485"/>
      <c r="L99" s="485"/>
      <c r="M99" s="487"/>
      <c r="N99" s="486"/>
      <c r="O99" s="485"/>
      <c r="P99" s="485"/>
      <c r="Q99" s="485"/>
      <c r="R99" s="487"/>
      <c r="S99"/>
      <c r="T99"/>
      <c r="U99"/>
      <c r="V99" s="489"/>
      <c r="W99" s="490"/>
      <c r="X99" s="490"/>
      <c r="Y99" s="490"/>
      <c r="Z99" s="1292"/>
      <c r="AA99" s="489"/>
      <c r="AB99" s="490"/>
      <c r="AC99" s="491"/>
    </row>
    <row r="100" spans="1:29" s="78" customFormat="1" ht="12.75" customHeight="1" thickBot="1">
      <c r="A100" s="299"/>
      <c r="B100" s="4319" t="s">
        <v>611</v>
      </c>
      <c r="C100" s="4320"/>
      <c r="D100" s="3193">
        <f>D98-D99</f>
        <v>0</v>
      </c>
      <c r="E100" s="3194">
        <f t="shared" ref="E100:R100" si="32">E98-E99</f>
        <v>0</v>
      </c>
      <c r="F100" s="3194">
        <f t="shared" si="32"/>
        <v>0</v>
      </c>
      <c r="G100" s="3194">
        <f t="shared" si="32"/>
        <v>0</v>
      </c>
      <c r="H100" s="3215">
        <f t="shared" si="32"/>
        <v>0</v>
      </c>
      <c r="I100" s="3193">
        <f t="shared" si="32"/>
        <v>0</v>
      </c>
      <c r="J100" s="3194">
        <f t="shared" si="32"/>
        <v>0</v>
      </c>
      <c r="K100" s="3194">
        <f t="shared" si="32"/>
        <v>0</v>
      </c>
      <c r="L100" s="3194">
        <f t="shared" si="32"/>
        <v>0</v>
      </c>
      <c r="M100" s="3195">
        <f t="shared" si="32"/>
        <v>0</v>
      </c>
      <c r="N100" s="3193">
        <f t="shared" si="32"/>
        <v>0</v>
      </c>
      <c r="O100" s="3194">
        <f t="shared" si="32"/>
        <v>0</v>
      </c>
      <c r="P100" s="3194">
        <f t="shared" si="32"/>
        <v>0</v>
      </c>
      <c r="Q100" s="3194">
        <f t="shared" si="32"/>
        <v>0</v>
      </c>
      <c r="R100" s="3195">
        <f t="shared" si="32"/>
        <v>0</v>
      </c>
      <c r="S100"/>
      <c r="T100"/>
      <c r="U100"/>
      <c r="V100" s="1822">
        <f>V98-V99</f>
        <v>0</v>
      </c>
      <c r="W100" s="581">
        <f t="shared" ref="W100:AC100" si="33">W98-W99</f>
        <v>0</v>
      </c>
      <c r="X100" s="581">
        <f t="shared" si="33"/>
        <v>0</v>
      </c>
      <c r="Y100" s="581">
        <f t="shared" si="33"/>
        <v>0</v>
      </c>
      <c r="Z100" s="1294">
        <f t="shared" si="33"/>
        <v>0</v>
      </c>
      <c r="AA100" s="1822">
        <f t="shared" si="33"/>
        <v>0</v>
      </c>
      <c r="AB100" s="581">
        <f t="shared" si="33"/>
        <v>0</v>
      </c>
      <c r="AC100" s="582">
        <f t="shared" si="33"/>
        <v>0</v>
      </c>
    </row>
    <row r="101" spans="1:29" s="501" customFormat="1" ht="20.25" customHeight="1" thickBot="1">
      <c r="A101" s="299"/>
      <c r="B101" s="3207" t="s">
        <v>637</v>
      </c>
      <c r="C101" s="3208"/>
      <c r="D101" s="3209"/>
      <c r="E101" s="3209"/>
      <c r="F101" s="3209"/>
      <c r="G101" s="3209"/>
      <c r="H101" s="3209"/>
      <c r="I101" s="3209"/>
      <c r="J101" s="3209"/>
      <c r="K101" s="3209"/>
      <c r="L101" s="3209"/>
      <c r="M101" s="3209"/>
      <c r="N101" s="3209"/>
      <c r="O101" s="3209"/>
      <c r="P101" s="3209"/>
      <c r="Q101" s="3209"/>
      <c r="R101" s="3210"/>
      <c r="S101" s="1266"/>
      <c r="T101" s="1266"/>
      <c r="U101" s="1266"/>
      <c r="V101" s="1367"/>
      <c r="W101" s="1368"/>
      <c r="X101" s="1368"/>
      <c r="Y101" s="1368"/>
      <c r="Z101" s="1368"/>
      <c r="AA101" s="1368"/>
      <c r="AB101" s="1368"/>
      <c r="AC101" s="1369"/>
    </row>
    <row r="102" spans="1:29" s="78" customFormat="1" ht="12.75" customHeight="1" outlineLevel="1">
      <c r="A102" s="299"/>
      <c r="B102" s="4321" t="s">
        <v>208</v>
      </c>
      <c r="C102" s="4322"/>
      <c r="D102" s="1508">
        <f t="shared" ref="D102:R111" si="34">D69+D80+D91</f>
        <v>73559</v>
      </c>
      <c r="E102" s="1509">
        <f t="shared" si="34"/>
        <v>29466</v>
      </c>
      <c r="F102" s="1509">
        <f t="shared" si="34"/>
        <v>26481</v>
      </c>
      <c r="G102" s="1509">
        <f t="shared" si="34"/>
        <v>22925</v>
      </c>
      <c r="H102" s="1510">
        <f t="shared" si="34"/>
        <v>65976</v>
      </c>
      <c r="I102" s="1508">
        <f t="shared" si="34"/>
        <v>24769</v>
      </c>
      <c r="J102" s="1509">
        <f t="shared" si="34"/>
        <v>22165</v>
      </c>
      <c r="K102" s="1509">
        <f t="shared" si="34"/>
        <v>25354</v>
      </c>
      <c r="L102" s="4019">
        <f t="shared" si="34"/>
        <v>29012</v>
      </c>
      <c r="M102" s="1510">
        <f t="shared" si="34"/>
        <v>14632</v>
      </c>
      <c r="N102" s="1508">
        <f t="shared" si="34"/>
        <v>0</v>
      </c>
      <c r="O102" s="1509">
        <f t="shared" si="34"/>
        <v>0</v>
      </c>
      <c r="P102" s="1509">
        <f t="shared" si="34"/>
        <v>0</v>
      </c>
      <c r="Q102" s="1509">
        <f t="shared" si="34"/>
        <v>0</v>
      </c>
      <c r="R102" s="1510">
        <f t="shared" si="34"/>
        <v>0</v>
      </c>
      <c r="S102"/>
      <c r="T102"/>
      <c r="U102"/>
      <c r="V102" s="1508">
        <f t="shared" ref="V102:AC102" si="35">V69+V80+V91</f>
        <v>0</v>
      </c>
      <c r="W102" s="1509">
        <f t="shared" si="35"/>
        <v>0</v>
      </c>
      <c r="X102" s="1509">
        <f t="shared" si="35"/>
        <v>0</v>
      </c>
      <c r="Y102" s="1509">
        <f t="shared" si="35"/>
        <v>0</v>
      </c>
      <c r="Z102" s="1510">
        <f t="shared" si="35"/>
        <v>0</v>
      </c>
      <c r="AA102" s="1508">
        <f t="shared" si="35"/>
        <v>0</v>
      </c>
      <c r="AB102" s="1509">
        <f t="shared" si="35"/>
        <v>0</v>
      </c>
      <c r="AC102" s="1510">
        <f t="shared" si="35"/>
        <v>0</v>
      </c>
    </row>
    <row r="103" spans="1:29" ht="12.75" customHeight="1" outlineLevel="1">
      <c r="A103" s="299"/>
      <c r="B103" s="4323" t="s">
        <v>585</v>
      </c>
      <c r="C103" s="4324"/>
      <c r="D103" s="297">
        <f t="shared" si="34"/>
        <v>0</v>
      </c>
      <c r="E103" s="493">
        <f t="shared" si="34"/>
        <v>0</v>
      </c>
      <c r="F103" s="493">
        <f t="shared" si="34"/>
        <v>0</v>
      </c>
      <c r="G103" s="493">
        <f t="shared" si="34"/>
        <v>0</v>
      </c>
      <c r="H103" s="319">
        <f t="shared" si="34"/>
        <v>0</v>
      </c>
      <c r="I103" s="297">
        <f t="shared" si="34"/>
        <v>0</v>
      </c>
      <c r="J103" s="493">
        <f t="shared" si="34"/>
        <v>0</v>
      </c>
      <c r="K103" s="493">
        <f t="shared" si="34"/>
        <v>0</v>
      </c>
      <c r="L103" s="4020">
        <f t="shared" si="34"/>
        <v>0</v>
      </c>
      <c r="M103" s="319">
        <f t="shared" si="34"/>
        <v>0</v>
      </c>
      <c r="N103" s="297">
        <f t="shared" si="34"/>
        <v>0</v>
      </c>
      <c r="O103" s="493">
        <f t="shared" si="34"/>
        <v>0</v>
      </c>
      <c r="P103" s="493">
        <f t="shared" si="34"/>
        <v>0</v>
      </c>
      <c r="Q103" s="493">
        <f t="shared" si="34"/>
        <v>0</v>
      </c>
      <c r="R103" s="319">
        <f t="shared" si="34"/>
        <v>0</v>
      </c>
      <c r="V103" s="297">
        <f t="shared" ref="V103:AC103" si="36">V70+V81+V92</f>
        <v>0</v>
      </c>
      <c r="W103" s="493">
        <f t="shared" si="36"/>
        <v>0</v>
      </c>
      <c r="X103" s="493">
        <f t="shared" si="36"/>
        <v>0</v>
      </c>
      <c r="Y103" s="493">
        <f t="shared" si="36"/>
        <v>0</v>
      </c>
      <c r="Z103" s="319">
        <f t="shared" si="36"/>
        <v>0</v>
      </c>
      <c r="AA103" s="297">
        <f t="shared" si="36"/>
        <v>0</v>
      </c>
      <c r="AB103" s="493">
        <f t="shared" si="36"/>
        <v>0</v>
      </c>
      <c r="AC103" s="319">
        <f t="shared" si="36"/>
        <v>0</v>
      </c>
    </row>
    <row r="104" spans="1:29" outlineLevel="1">
      <c r="A104" s="299"/>
      <c r="B104" s="4323" t="s">
        <v>627</v>
      </c>
      <c r="C104" s="4324"/>
      <c r="D104" s="297">
        <f t="shared" si="34"/>
        <v>0</v>
      </c>
      <c r="E104" s="493">
        <f t="shared" si="34"/>
        <v>841047.2300000001</v>
      </c>
      <c r="F104" s="493">
        <f t="shared" si="34"/>
        <v>808369.97000000009</v>
      </c>
      <c r="G104" s="493">
        <f t="shared" si="34"/>
        <v>777541.59</v>
      </c>
      <c r="H104" s="319">
        <f t="shared" si="34"/>
        <v>1800163.2899999998</v>
      </c>
      <c r="I104" s="297">
        <f t="shared" si="34"/>
        <v>908453.03</v>
      </c>
      <c r="J104" s="493">
        <f t="shared" si="34"/>
        <v>1015464.9493658437</v>
      </c>
      <c r="K104" s="493">
        <f t="shared" si="34"/>
        <v>1006519.3900000001</v>
      </c>
      <c r="L104" s="4020">
        <f t="shared" si="34"/>
        <v>1064608</v>
      </c>
      <c r="M104" s="319">
        <f t="shared" si="34"/>
        <v>0</v>
      </c>
      <c r="N104" s="297">
        <f t="shared" si="34"/>
        <v>0</v>
      </c>
      <c r="O104" s="493">
        <f t="shared" si="34"/>
        <v>0</v>
      </c>
      <c r="P104" s="493">
        <f t="shared" si="34"/>
        <v>0</v>
      </c>
      <c r="Q104" s="493">
        <f t="shared" si="34"/>
        <v>0</v>
      </c>
      <c r="R104" s="319">
        <f t="shared" si="34"/>
        <v>0</v>
      </c>
      <c r="V104" s="297">
        <f t="shared" ref="V104:AC104" si="37">V71+V82+V93</f>
        <v>0</v>
      </c>
      <c r="W104" s="493">
        <f t="shared" si="37"/>
        <v>0</v>
      </c>
      <c r="X104" s="493">
        <f t="shared" si="37"/>
        <v>0</v>
      </c>
      <c r="Y104" s="493">
        <f t="shared" si="37"/>
        <v>0</v>
      </c>
      <c r="Z104" s="319">
        <f t="shared" si="37"/>
        <v>0</v>
      </c>
      <c r="AA104" s="297">
        <f t="shared" si="37"/>
        <v>0</v>
      </c>
      <c r="AB104" s="493">
        <f t="shared" si="37"/>
        <v>0</v>
      </c>
      <c r="AC104" s="319">
        <f t="shared" si="37"/>
        <v>0</v>
      </c>
    </row>
    <row r="105" spans="1:29" outlineLevel="1">
      <c r="A105" s="299"/>
      <c r="B105" s="4323" t="s">
        <v>628</v>
      </c>
      <c r="C105" s="4324"/>
      <c r="D105" s="297">
        <f t="shared" si="34"/>
        <v>0</v>
      </c>
      <c r="E105" s="493">
        <f t="shared" si="34"/>
        <v>0</v>
      </c>
      <c r="F105" s="493">
        <f t="shared" si="34"/>
        <v>0</v>
      </c>
      <c r="G105" s="493">
        <f t="shared" si="34"/>
        <v>0</v>
      </c>
      <c r="H105" s="319">
        <f t="shared" si="34"/>
        <v>0</v>
      </c>
      <c r="I105" s="297">
        <f t="shared" si="34"/>
        <v>0</v>
      </c>
      <c r="J105" s="493">
        <f t="shared" si="34"/>
        <v>0</v>
      </c>
      <c r="K105" s="493">
        <f t="shared" si="34"/>
        <v>0</v>
      </c>
      <c r="L105" s="4020">
        <f t="shared" si="34"/>
        <v>0</v>
      </c>
      <c r="M105" s="319">
        <f t="shared" si="34"/>
        <v>0</v>
      </c>
      <c r="N105" s="297">
        <f t="shared" si="34"/>
        <v>0</v>
      </c>
      <c r="O105" s="493">
        <f t="shared" si="34"/>
        <v>0</v>
      </c>
      <c r="P105" s="493">
        <f t="shared" si="34"/>
        <v>0</v>
      </c>
      <c r="Q105" s="493">
        <f t="shared" si="34"/>
        <v>0</v>
      </c>
      <c r="R105" s="319">
        <f t="shared" si="34"/>
        <v>0</v>
      </c>
      <c r="V105" s="297">
        <f t="shared" ref="V105:AC105" si="38">V72+V83+V94</f>
        <v>0</v>
      </c>
      <c r="W105" s="493">
        <f t="shared" si="38"/>
        <v>0</v>
      </c>
      <c r="X105" s="493">
        <f t="shared" si="38"/>
        <v>0</v>
      </c>
      <c r="Y105" s="493">
        <f t="shared" si="38"/>
        <v>0</v>
      </c>
      <c r="Z105" s="319">
        <f t="shared" si="38"/>
        <v>0</v>
      </c>
      <c r="AA105" s="297">
        <f t="shared" si="38"/>
        <v>0</v>
      </c>
      <c r="AB105" s="493">
        <f t="shared" si="38"/>
        <v>0</v>
      </c>
      <c r="AC105" s="319">
        <f t="shared" si="38"/>
        <v>0</v>
      </c>
    </row>
    <row r="106" spans="1:29" s="78" customFormat="1" ht="12.75" customHeight="1" outlineLevel="1">
      <c r="A106" s="299"/>
      <c r="B106" s="4372" t="s">
        <v>605</v>
      </c>
      <c r="C106" s="4373"/>
      <c r="D106" s="297">
        <f t="shared" si="34"/>
        <v>0</v>
      </c>
      <c r="E106" s="493">
        <f t="shared" si="34"/>
        <v>841047.2300000001</v>
      </c>
      <c r="F106" s="493">
        <f t="shared" si="34"/>
        <v>808369.97000000009</v>
      </c>
      <c r="G106" s="493">
        <f t="shared" si="34"/>
        <v>777541.59</v>
      </c>
      <c r="H106" s="319">
        <f t="shared" si="34"/>
        <v>1800163.2899999998</v>
      </c>
      <c r="I106" s="297">
        <f t="shared" si="34"/>
        <v>908453.03</v>
      </c>
      <c r="J106" s="493">
        <f t="shared" si="34"/>
        <v>1015464.9493658437</v>
      </c>
      <c r="K106" s="493">
        <f t="shared" si="34"/>
        <v>1006519.3900000001</v>
      </c>
      <c r="L106" s="4020">
        <f t="shared" si="34"/>
        <v>1064608</v>
      </c>
      <c r="M106" s="319">
        <f t="shared" si="34"/>
        <v>0</v>
      </c>
      <c r="N106" s="297">
        <f t="shared" si="34"/>
        <v>0</v>
      </c>
      <c r="O106" s="493">
        <f t="shared" si="34"/>
        <v>0</v>
      </c>
      <c r="P106" s="493">
        <f t="shared" si="34"/>
        <v>0</v>
      </c>
      <c r="Q106" s="493">
        <f t="shared" si="34"/>
        <v>0</v>
      </c>
      <c r="R106" s="319">
        <f t="shared" si="34"/>
        <v>0</v>
      </c>
      <c r="S106"/>
      <c r="T106"/>
      <c r="U106"/>
      <c r="V106" s="297">
        <f t="shared" ref="V106:AC106" si="39">V73+V84+V95</f>
        <v>0</v>
      </c>
      <c r="W106" s="493">
        <f t="shared" si="39"/>
        <v>0</v>
      </c>
      <c r="X106" s="493">
        <f t="shared" si="39"/>
        <v>0</v>
      </c>
      <c r="Y106" s="493">
        <f t="shared" si="39"/>
        <v>0</v>
      </c>
      <c r="Z106" s="319">
        <f t="shared" si="39"/>
        <v>0</v>
      </c>
      <c r="AA106" s="297">
        <f t="shared" si="39"/>
        <v>0</v>
      </c>
      <c r="AB106" s="493">
        <f t="shared" si="39"/>
        <v>0</v>
      </c>
      <c r="AC106" s="319">
        <f t="shared" si="39"/>
        <v>0</v>
      </c>
    </row>
    <row r="107" spans="1:29" s="78" customFormat="1" ht="12.75" customHeight="1" outlineLevel="1">
      <c r="A107" s="299"/>
      <c r="B107" s="4323" t="s">
        <v>609</v>
      </c>
      <c r="C107" s="4324"/>
      <c r="D107" s="297">
        <f t="shared" si="34"/>
        <v>0</v>
      </c>
      <c r="E107" s="493">
        <f t="shared" si="34"/>
        <v>0</v>
      </c>
      <c r="F107" s="493">
        <f t="shared" si="34"/>
        <v>0</v>
      </c>
      <c r="G107" s="493">
        <f t="shared" si="34"/>
        <v>0</v>
      </c>
      <c r="H107" s="319">
        <f t="shared" si="34"/>
        <v>0</v>
      </c>
      <c r="I107" s="297">
        <f t="shared" si="34"/>
        <v>0</v>
      </c>
      <c r="J107" s="493">
        <f t="shared" si="34"/>
        <v>0</v>
      </c>
      <c r="K107" s="493">
        <f t="shared" si="34"/>
        <v>0</v>
      </c>
      <c r="L107" s="4020">
        <f t="shared" si="34"/>
        <v>0</v>
      </c>
      <c r="M107" s="319">
        <f t="shared" si="34"/>
        <v>0</v>
      </c>
      <c r="N107" s="297">
        <f t="shared" si="34"/>
        <v>0</v>
      </c>
      <c r="O107" s="493">
        <f t="shared" si="34"/>
        <v>0</v>
      </c>
      <c r="P107" s="493">
        <f t="shared" si="34"/>
        <v>0</v>
      </c>
      <c r="Q107" s="493">
        <f t="shared" si="34"/>
        <v>0</v>
      </c>
      <c r="R107" s="319">
        <f t="shared" si="34"/>
        <v>0</v>
      </c>
      <c r="S107"/>
      <c r="T107"/>
      <c r="U107"/>
      <c r="V107" s="297">
        <f t="shared" ref="V107:AC107" si="40">V74+V85+V96</f>
        <v>0</v>
      </c>
      <c r="W107" s="493">
        <f t="shared" si="40"/>
        <v>0</v>
      </c>
      <c r="X107" s="493">
        <f t="shared" si="40"/>
        <v>0</v>
      </c>
      <c r="Y107" s="493">
        <f t="shared" si="40"/>
        <v>0</v>
      </c>
      <c r="Z107" s="319">
        <f t="shared" si="40"/>
        <v>0</v>
      </c>
      <c r="AA107" s="297">
        <f t="shared" si="40"/>
        <v>0</v>
      </c>
      <c r="AB107" s="493">
        <f t="shared" si="40"/>
        <v>0</v>
      </c>
      <c r="AC107" s="319">
        <f t="shared" si="40"/>
        <v>0</v>
      </c>
    </row>
    <row r="108" spans="1:29" s="78" customFormat="1" ht="12.75" customHeight="1" outlineLevel="1">
      <c r="A108" s="299"/>
      <c r="B108" s="4323" t="s">
        <v>607</v>
      </c>
      <c r="C108" s="4324"/>
      <c r="D108" s="297">
        <f t="shared" si="34"/>
        <v>0</v>
      </c>
      <c r="E108" s="493">
        <f t="shared" si="34"/>
        <v>0</v>
      </c>
      <c r="F108" s="493">
        <f t="shared" si="34"/>
        <v>0</v>
      </c>
      <c r="G108" s="493">
        <f t="shared" si="34"/>
        <v>0</v>
      </c>
      <c r="H108" s="319">
        <f t="shared" si="34"/>
        <v>0</v>
      </c>
      <c r="I108" s="297">
        <f t="shared" si="34"/>
        <v>0</v>
      </c>
      <c r="J108" s="493">
        <f t="shared" si="34"/>
        <v>0</v>
      </c>
      <c r="K108" s="493">
        <f t="shared" si="34"/>
        <v>0</v>
      </c>
      <c r="L108" s="4020">
        <f t="shared" si="34"/>
        <v>0</v>
      </c>
      <c r="M108" s="319">
        <f t="shared" si="34"/>
        <v>0</v>
      </c>
      <c r="N108" s="297">
        <f t="shared" si="34"/>
        <v>0</v>
      </c>
      <c r="O108" s="493">
        <f t="shared" si="34"/>
        <v>0</v>
      </c>
      <c r="P108" s="493">
        <f t="shared" si="34"/>
        <v>0</v>
      </c>
      <c r="Q108" s="493">
        <f t="shared" si="34"/>
        <v>0</v>
      </c>
      <c r="R108" s="319">
        <f t="shared" si="34"/>
        <v>0</v>
      </c>
      <c r="S108"/>
      <c r="T108"/>
      <c r="U108"/>
      <c r="V108" s="297">
        <f t="shared" ref="V108:AC108" si="41">V75+V86+V97</f>
        <v>0</v>
      </c>
      <c r="W108" s="493">
        <f t="shared" si="41"/>
        <v>0</v>
      </c>
      <c r="X108" s="493">
        <f t="shared" si="41"/>
        <v>0</v>
      </c>
      <c r="Y108" s="493">
        <f t="shared" si="41"/>
        <v>0</v>
      </c>
      <c r="Z108" s="319">
        <f t="shared" si="41"/>
        <v>0</v>
      </c>
      <c r="AA108" s="297">
        <f t="shared" si="41"/>
        <v>0</v>
      </c>
      <c r="AB108" s="493">
        <f t="shared" si="41"/>
        <v>0</v>
      </c>
      <c r="AC108" s="319">
        <f t="shared" si="41"/>
        <v>0</v>
      </c>
    </row>
    <row r="109" spans="1:29" s="78" customFormat="1" ht="12.75" customHeight="1" outlineLevel="1">
      <c r="A109" s="299"/>
      <c r="B109" s="4331" t="s">
        <v>610</v>
      </c>
      <c r="C109" s="4332"/>
      <c r="D109" s="3217">
        <f t="shared" si="34"/>
        <v>0</v>
      </c>
      <c r="E109" s="3218">
        <f t="shared" si="34"/>
        <v>841047.2300000001</v>
      </c>
      <c r="F109" s="3218">
        <f t="shared" si="34"/>
        <v>808369.97000000009</v>
      </c>
      <c r="G109" s="3218">
        <f t="shared" si="34"/>
        <v>777541.59</v>
      </c>
      <c r="H109" s="3219">
        <f t="shared" si="34"/>
        <v>1800163.2899999998</v>
      </c>
      <c r="I109" s="3217">
        <f t="shared" si="34"/>
        <v>908453.03</v>
      </c>
      <c r="J109" s="3218">
        <f t="shared" si="34"/>
        <v>1015464.9493658437</v>
      </c>
      <c r="K109" s="3218">
        <f t="shared" si="34"/>
        <v>1006519.3900000001</v>
      </c>
      <c r="L109" s="4021">
        <f t="shared" si="34"/>
        <v>1064608</v>
      </c>
      <c r="M109" s="3219">
        <f t="shared" si="34"/>
        <v>0</v>
      </c>
      <c r="N109" s="3217">
        <f t="shared" si="34"/>
        <v>0</v>
      </c>
      <c r="O109" s="3218">
        <f t="shared" si="34"/>
        <v>0</v>
      </c>
      <c r="P109" s="3218">
        <f t="shared" si="34"/>
        <v>0</v>
      </c>
      <c r="Q109" s="3218">
        <f t="shared" si="34"/>
        <v>0</v>
      </c>
      <c r="R109" s="3219">
        <f t="shared" si="34"/>
        <v>0</v>
      </c>
      <c r="S109"/>
      <c r="T109"/>
      <c r="U109"/>
      <c r="V109" s="1296">
        <f t="shared" ref="V109:AC109" si="42">V76+V87+V98</f>
        <v>0</v>
      </c>
      <c r="W109" s="585">
        <f t="shared" si="42"/>
        <v>0</v>
      </c>
      <c r="X109" s="585">
        <f t="shared" si="42"/>
        <v>0</v>
      </c>
      <c r="Y109" s="585">
        <f t="shared" si="42"/>
        <v>0</v>
      </c>
      <c r="Z109" s="1297">
        <f t="shared" si="42"/>
        <v>0</v>
      </c>
      <c r="AA109" s="1296">
        <f t="shared" si="42"/>
        <v>0</v>
      </c>
      <c r="AB109" s="585">
        <f t="shared" si="42"/>
        <v>0</v>
      </c>
      <c r="AC109" s="1297">
        <f t="shared" si="42"/>
        <v>0</v>
      </c>
    </row>
    <row r="110" spans="1:29" s="78" customFormat="1" ht="12.75" customHeight="1" outlineLevel="1">
      <c r="A110" s="299"/>
      <c r="B110" s="4323" t="s">
        <v>631</v>
      </c>
      <c r="C110" s="4324"/>
      <c r="D110" s="297">
        <f t="shared" si="34"/>
        <v>0</v>
      </c>
      <c r="E110" s="493">
        <f t="shared" si="34"/>
        <v>0</v>
      </c>
      <c r="F110" s="493">
        <f t="shared" si="34"/>
        <v>0</v>
      </c>
      <c r="G110" s="493">
        <f t="shared" si="34"/>
        <v>0</v>
      </c>
      <c r="H110" s="319">
        <f t="shared" si="34"/>
        <v>0</v>
      </c>
      <c r="I110" s="297">
        <f t="shared" si="34"/>
        <v>0</v>
      </c>
      <c r="J110" s="493">
        <f t="shared" si="34"/>
        <v>0</v>
      </c>
      <c r="K110" s="493">
        <f t="shared" si="34"/>
        <v>0</v>
      </c>
      <c r="L110" s="4020">
        <f t="shared" si="34"/>
        <v>0</v>
      </c>
      <c r="M110" s="319">
        <f t="shared" si="34"/>
        <v>0</v>
      </c>
      <c r="N110" s="297">
        <f t="shared" si="34"/>
        <v>0</v>
      </c>
      <c r="O110" s="493">
        <f t="shared" si="34"/>
        <v>0</v>
      </c>
      <c r="P110" s="493">
        <f t="shared" si="34"/>
        <v>0</v>
      </c>
      <c r="Q110" s="493">
        <f t="shared" si="34"/>
        <v>0</v>
      </c>
      <c r="R110" s="319">
        <f t="shared" si="34"/>
        <v>0</v>
      </c>
      <c r="S110"/>
      <c r="T110"/>
      <c r="U110"/>
      <c r="V110" s="297">
        <f t="shared" ref="V110:AC110" si="43">V77+V88+V99</f>
        <v>0</v>
      </c>
      <c r="W110" s="493">
        <f t="shared" si="43"/>
        <v>0</v>
      </c>
      <c r="X110" s="493">
        <f t="shared" si="43"/>
        <v>0</v>
      </c>
      <c r="Y110" s="493">
        <f t="shared" si="43"/>
        <v>0</v>
      </c>
      <c r="Z110" s="319">
        <f t="shared" si="43"/>
        <v>0</v>
      </c>
      <c r="AA110" s="297">
        <f t="shared" si="43"/>
        <v>0</v>
      </c>
      <c r="AB110" s="493">
        <f t="shared" si="43"/>
        <v>0</v>
      </c>
      <c r="AC110" s="319">
        <f t="shared" si="43"/>
        <v>0</v>
      </c>
    </row>
    <row r="111" spans="1:29" s="78" customFormat="1" ht="12.75" customHeight="1" thickBot="1">
      <c r="A111" s="299"/>
      <c r="B111" s="4351" t="s">
        <v>611</v>
      </c>
      <c r="C111" s="4352"/>
      <c r="D111" s="3220">
        <f t="shared" si="34"/>
        <v>0</v>
      </c>
      <c r="E111" s="3221">
        <f t="shared" si="34"/>
        <v>841047.2300000001</v>
      </c>
      <c r="F111" s="3221">
        <f t="shared" si="34"/>
        <v>808369.97000000009</v>
      </c>
      <c r="G111" s="3221">
        <f t="shared" si="34"/>
        <v>777541.59</v>
      </c>
      <c r="H111" s="3222">
        <f t="shared" si="34"/>
        <v>1800163.2899999998</v>
      </c>
      <c r="I111" s="3220">
        <f t="shared" si="34"/>
        <v>908453.03</v>
      </c>
      <c r="J111" s="3221">
        <f t="shared" si="34"/>
        <v>1015464.9493658437</v>
      </c>
      <c r="K111" s="3221">
        <f t="shared" si="34"/>
        <v>1006519.3900000001</v>
      </c>
      <c r="L111" s="4022">
        <f t="shared" si="34"/>
        <v>1064608</v>
      </c>
      <c r="M111" s="3222">
        <f t="shared" si="34"/>
        <v>0</v>
      </c>
      <c r="N111" s="3220">
        <f t="shared" si="34"/>
        <v>0</v>
      </c>
      <c r="O111" s="3221">
        <f t="shared" si="34"/>
        <v>0</v>
      </c>
      <c r="P111" s="3221">
        <f t="shared" si="34"/>
        <v>0</v>
      </c>
      <c r="Q111" s="3221">
        <f t="shared" si="34"/>
        <v>0</v>
      </c>
      <c r="R111" s="3222">
        <f t="shared" si="34"/>
        <v>0</v>
      </c>
      <c r="S111"/>
      <c r="T111"/>
      <c r="U111"/>
      <c r="V111" s="1824">
        <f t="shared" ref="V111:AC111" si="44">V78+V89+V100</f>
        <v>0</v>
      </c>
      <c r="W111" s="586">
        <f t="shared" si="44"/>
        <v>0</v>
      </c>
      <c r="X111" s="586">
        <f t="shared" si="44"/>
        <v>0</v>
      </c>
      <c r="Y111" s="586">
        <f t="shared" si="44"/>
        <v>0</v>
      </c>
      <c r="Z111" s="1298">
        <f t="shared" si="44"/>
        <v>0</v>
      </c>
      <c r="AA111" s="1824">
        <f t="shared" si="44"/>
        <v>0</v>
      </c>
      <c r="AB111" s="586">
        <f t="shared" si="44"/>
        <v>0</v>
      </c>
      <c r="AC111" s="1298">
        <f t="shared" si="44"/>
        <v>0</v>
      </c>
    </row>
    <row r="112" spans="1:29" s="69" customFormat="1" ht="45" customHeight="1" thickBot="1">
      <c r="A112" s="348"/>
      <c r="B112" s="4341" t="s">
        <v>127</v>
      </c>
      <c r="C112" s="4342"/>
      <c r="D112" s="3223" t="s">
        <v>1557</v>
      </c>
      <c r="E112" s="3224"/>
      <c r="F112" s="3224"/>
      <c r="G112" s="3224"/>
      <c r="H112" s="3224" t="s">
        <v>1558</v>
      </c>
      <c r="I112" s="3224"/>
      <c r="J112" s="3224"/>
      <c r="K112" s="3224"/>
      <c r="L112" s="3224"/>
      <c r="M112" s="3224"/>
      <c r="N112" s="3224"/>
      <c r="O112" s="3224"/>
      <c r="P112" s="3224"/>
      <c r="Q112" s="3224"/>
      <c r="R112" s="3552"/>
      <c r="S112"/>
      <c r="T112"/>
      <c r="U112"/>
      <c r="V112" s="1790"/>
      <c r="W112" s="1771"/>
      <c r="X112" s="1771"/>
      <c r="Y112" s="1771"/>
      <c r="Z112" s="1771"/>
      <c r="AA112" s="1771"/>
      <c r="AB112" s="1771"/>
      <c r="AC112" s="1774"/>
    </row>
    <row r="113" spans="1:31" s="78" customFormat="1" ht="36.75" customHeight="1" thickBot="1">
      <c r="A113" s="299"/>
      <c r="B113" s="3556"/>
      <c r="C113" s="3556"/>
      <c r="D113" s="3554"/>
      <c r="E113" s="3554"/>
      <c r="F113" s="3554"/>
      <c r="G113" s="3554"/>
      <c r="H113" s="3554"/>
      <c r="I113" s="3554"/>
      <c r="J113" s="3554"/>
      <c r="K113" s="3554"/>
      <c r="L113" s="3554"/>
      <c r="M113" s="3554"/>
      <c r="N113" s="3557"/>
      <c r="O113" s="3558"/>
      <c r="P113" s="3558"/>
      <c r="Q113" s="3558"/>
      <c r="R113" s="3558"/>
      <c r="S113"/>
      <c r="T113"/>
      <c r="U113"/>
      <c r="V113"/>
      <c r="W113"/>
      <c r="X113"/>
      <c r="Y113"/>
      <c r="Z113"/>
      <c r="AA113"/>
      <c r="AB113"/>
      <c r="AC113"/>
      <c r="AD113"/>
      <c r="AE113"/>
    </row>
    <row r="114" spans="1:31" s="223" customFormat="1" ht="24.75" customHeight="1" thickBot="1">
      <c r="A114" s="299"/>
      <c r="B114" s="3546" t="s">
        <v>639</v>
      </c>
      <c r="C114" s="3546"/>
      <c r="D114" s="3547"/>
      <c r="E114" s="3547"/>
      <c r="F114" s="3547"/>
      <c r="G114" s="3547"/>
      <c r="H114" s="3547"/>
      <c r="I114" s="3547"/>
      <c r="J114" s="3547"/>
      <c r="K114" s="3547"/>
      <c r="L114" s="3547"/>
      <c r="M114" s="3548"/>
      <c r="N114" s="2274"/>
      <c r="O114" s="2274"/>
      <c r="P114" s="2274"/>
      <c r="Q114" s="2274"/>
      <c r="R114" s="2274"/>
      <c r="S114" s="1266"/>
      <c r="T114" s="1266"/>
      <c r="U114"/>
      <c r="V114"/>
      <c r="W114"/>
      <c r="X114"/>
      <c r="Y114"/>
      <c r="Z114"/>
      <c r="AA114"/>
      <c r="AB114"/>
      <c r="AC114"/>
      <c r="AD114"/>
      <c r="AE114"/>
    </row>
    <row r="115" spans="1:31" ht="15.75" customHeight="1">
      <c r="A115" s="299"/>
      <c r="B115" s="4394"/>
      <c r="C115" s="4395"/>
      <c r="D115" s="4427" t="s">
        <v>36</v>
      </c>
      <c r="E115" s="4428"/>
      <c r="F115" s="4428"/>
      <c r="G115" s="4428"/>
      <c r="H115" s="4428"/>
      <c r="I115" s="4424" t="s">
        <v>37</v>
      </c>
      <c r="J115" s="4425"/>
      <c r="K115" s="4425"/>
      <c r="L115" s="4425"/>
      <c r="M115" s="4426"/>
      <c r="N115" s="2274"/>
      <c r="O115" s="2274"/>
      <c r="P115" s="2274"/>
      <c r="Q115" s="2274"/>
      <c r="R115" s="2274"/>
      <c r="V115"/>
      <c r="W115"/>
      <c r="X115"/>
      <c r="Y115"/>
      <c r="Z115"/>
      <c r="AA115"/>
      <c r="AB115"/>
      <c r="AC115"/>
      <c r="AD115"/>
      <c r="AE115"/>
    </row>
    <row r="116" spans="1:31" ht="22.5" customHeight="1">
      <c r="A116" s="299"/>
      <c r="B116" s="4396"/>
      <c r="C116" s="4397"/>
      <c r="D116" s="4385" t="str">
        <f>CONCATENATE("$0's, real ",dms_DollarReal)</f>
        <v>$0's, real December 2017</v>
      </c>
      <c r="E116" s="4386"/>
      <c r="F116" s="4386"/>
      <c r="G116" s="4386"/>
      <c r="H116" s="4386"/>
      <c r="I116" s="4386"/>
      <c r="J116" s="4386"/>
      <c r="K116" s="4386"/>
      <c r="L116" s="4386"/>
      <c r="M116" s="4387"/>
      <c r="N116" s="2274"/>
      <c r="O116" s="2274"/>
      <c r="P116" s="2274"/>
      <c r="Q116" s="2274"/>
      <c r="R116" s="2274"/>
      <c r="V116"/>
      <c r="W116"/>
      <c r="X116"/>
      <c r="Y116"/>
      <c r="Z116"/>
      <c r="AA116"/>
      <c r="AB116"/>
      <c r="AC116"/>
      <c r="AD116"/>
      <c r="AE116"/>
    </row>
    <row r="117" spans="1:31" ht="22.5" customHeight="1">
      <c r="A117" s="299"/>
      <c r="B117" s="4396"/>
      <c r="C117" s="4397"/>
      <c r="D117" s="4385" t="s">
        <v>76</v>
      </c>
      <c r="E117" s="4386"/>
      <c r="F117" s="4386"/>
      <c r="G117" s="4386"/>
      <c r="H117" s="4386"/>
      <c r="I117" s="4386"/>
      <c r="J117" s="4386"/>
      <c r="K117" s="4386"/>
      <c r="L117" s="4386"/>
      <c r="M117" s="4387"/>
      <c r="N117" s="2274"/>
      <c r="O117" s="2274"/>
      <c r="P117" s="2274"/>
      <c r="Q117" s="2274"/>
      <c r="R117" s="2274"/>
      <c r="V117"/>
      <c r="W117"/>
      <c r="X117"/>
      <c r="Y117"/>
      <c r="Z117"/>
      <c r="AA117"/>
      <c r="AB117"/>
      <c r="AC117"/>
      <c r="AD117"/>
      <c r="AE117"/>
    </row>
    <row r="118" spans="1:31" ht="15.75" customHeight="1" thickBot="1">
      <c r="A118" s="299"/>
      <c r="B118" s="4398"/>
      <c r="C118" s="4399"/>
      <c r="D118" s="3559">
        <f t="array" ref="D118:H118">PRCP</f>
        <v>2008</v>
      </c>
      <c r="E118" s="3560">
        <v>2009</v>
      </c>
      <c r="F118" s="3560">
        <v>2010</v>
      </c>
      <c r="G118" s="3560">
        <v>2011</v>
      </c>
      <c r="H118" s="3560">
        <v>2012</v>
      </c>
      <c r="I118" s="3561">
        <f>CRCP_y1</f>
        <v>2013</v>
      </c>
      <c r="J118" s="3561">
        <f>CRCP_y2</f>
        <v>2014</v>
      </c>
      <c r="K118" s="3561">
        <f>CRCP_y3</f>
        <v>2015</v>
      </c>
      <c r="L118" s="3561">
        <f>CRCP_y4</f>
        <v>2016</v>
      </c>
      <c r="M118" s="3200">
        <f>CRCP_y5</f>
        <v>2017</v>
      </c>
      <c r="N118" s="2274"/>
      <c r="O118" s="2274"/>
      <c r="P118" s="2274"/>
      <c r="Q118" s="2274"/>
      <c r="R118" s="2274"/>
      <c r="V118"/>
      <c r="W118"/>
      <c r="X118"/>
      <c r="Y118"/>
      <c r="Z118"/>
      <c r="AA118"/>
      <c r="AB118"/>
      <c r="AC118"/>
      <c r="AD118"/>
      <c r="AE118"/>
    </row>
    <row r="119" spans="1:31" s="78" customFormat="1" ht="12.75" customHeight="1" outlineLevel="1">
      <c r="A119" s="299"/>
      <c r="B119" s="4314" t="s">
        <v>1559</v>
      </c>
      <c r="C119" s="3225" t="s">
        <v>585</v>
      </c>
      <c r="D119" s="497"/>
      <c r="E119" s="495"/>
      <c r="F119" s="495"/>
      <c r="G119" s="495"/>
      <c r="H119" s="556"/>
      <c r="I119" s="443"/>
      <c r="J119" s="519"/>
      <c r="K119" s="519"/>
      <c r="L119" s="519"/>
      <c r="M119" s="531"/>
      <c r="N119" s="577"/>
      <c r="O119" s="577"/>
      <c r="P119" s="577"/>
      <c r="Q119" s="577"/>
      <c r="R119" s="3558"/>
      <c r="S119"/>
      <c r="T119"/>
      <c r="U119"/>
      <c r="V119"/>
      <c r="W119"/>
      <c r="X119"/>
      <c r="Y119"/>
      <c r="Z119"/>
      <c r="AA119"/>
      <c r="AB119"/>
      <c r="AC119"/>
      <c r="AD119"/>
      <c r="AE119"/>
    </row>
    <row r="120" spans="1:31" s="78" customFormat="1" ht="12.75" customHeight="1" outlineLevel="1">
      <c r="A120" s="299"/>
      <c r="B120" s="4315"/>
      <c r="C120" s="3226" t="s">
        <v>584</v>
      </c>
      <c r="D120" s="497"/>
      <c r="E120" s="495"/>
      <c r="F120" s="495"/>
      <c r="G120" s="495"/>
      <c r="H120" s="556"/>
      <c r="I120" s="486">
        <v>0</v>
      </c>
      <c r="J120" s="485"/>
      <c r="K120" s="485"/>
      <c r="L120" s="485"/>
      <c r="M120" s="487"/>
      <c r="N120" s="577"/>
      <c r="O120" s="577"/>
      <c r="P120" s="577"/>
      <c r="Q120" s="577"/>
      <c r="R120" s="3558"/>
      <c r="S120"/>
      <c r="T120"/>
      <c r="U120"/>
      <c r="V120"/>
      <c r="W120"/>
      <c r="X120"/>
      <c r="Y120"/>
      <c r="Z120"/>
      <c r="AA120"/>
      <c r="AB120"/>
      <c r="AC120"/>
      <c r="AD120"/>
      <c r="AE120"/>
    </row>
    <row r="121" spans="1:31" s="78" customFormat="1" ht="12.75" customHeight="1" outlineLevel="1">
      <c r="A121" s="299"/>
      <c r="B121" s="4315"/>
      <c r="C121" s="3226" t="s">
        <v>604</v>
      </c>
      <c r="D121" s="498"/>
      <c r="E121" s="496"/>
      <c r="F121" s="496"/>
      <c r="G121" s="496"/>
      <c r="H121" s="557"/>
      <c r="I121" s="486"/>
      <c r="J121" s="485"/>
      <c r="K121" s="485"/>
      <c r="L121" s="485"/>
      <c r="M121" s="487"/>
      <c r="N121" s="577"/>
      <c r="O121" s="577"/>
      <c r="P121" s="577"/>
      <c r="Q121" s="577"/>
      <c r="R121" s="3558"/>
      <c r="S121"/>
      <c r="T121"/>
      <c r="U121"/>
      <c r="V121"/>
      <c r="W121"/>
      <c r="X121"/>
      <c r="Y121"/>
      <c r="Z121"/>
      <c r="AA121"/>
      <c r="AB121"/>
      <c r="AC121"/>
      <c r="AD121"/>
      <c r="AE121"/>
    </row>
    <row r="122" spans="1:31" s="78" customFormat="1" ht="12.75" customHeight="1" outlineLevel="1">
      <c r="A122" s="299"/>
      <c r="B122" s="4315"/>
      <c r="C122" s="3227" t="s">
        <v>605</v>
      </c>
      <c r="D122" s="486"/>
      <c r="E122" s="485"/>
      <c r="F122" s="485"/>
      <c r="G122" s="485"/>
      <c r="H122" s="487"/>
      <c r="I122" s="489">
        <f>SUM(I119:I121)</f>
        <v>0</v>
      </c>
      <c r="J122" s="490">
        <f>SUM(J119:J121)</f>
        <v>0</v>
      </c>
      <c r="K122" s="490">
        <f>SUM(K119:K121)</f>
        <v>0</v>
      </c>
      <c r="L122" s="490">
        <f>SUM(L119:L121)</f>
        <v>0</v>
      </c>
      <c r="M122" s="491">
        <f>SUM(M119:M121)</f>
        <v>0</v>
      </c>
      <c r="N122" s="577"/>
      <c r="O122" s="577"/>
      <c r="P122" s="577"/>
      <c r="Q122" s="577"/>
      <c r="R122" s="3558"/>
      <c r="S122"/>
      <c r="T122"/>
      <c r="U122"/>
      <c r="V122"/>
      <c r="W122"/>
      <c r="X122"/>
      <c r="Y122"/>
      <c r="Z122"/>
      <c r="AA122"/>
      <c r="AB122"/>
      <c r="AC122"/>
      <c r="AD122"/>
      <c r="AE122"/>
    </row>
    <row r="123" spans="1:31" s="78" customFormat="1" ht="12.75" customHeight="1" outlineLevel="1">
      <c r="A123" s="299"/>
      <c r="B123" s="4315"/>
      <c r="C123" s="3226" t="s">
        <v>609</v>
      </c>
      <c r="D123" s="486"/>
      <c r="E123" s="485"/>
      <c r="F123" s="485"/>
      <c r="G123" s="485"/>
      <c r="H123" s="487"/>
      <c r="I123" s="3201"/>
      <c r="J123" s="3202"/>
      <c r="K123" s="3202"/>
      <c r="L123" s="3202"/>
      <c r="M123" s="3216"/>
      <c r="N123" s="577"/>
      <c r="O123" s="577"/>
      <c r="P123" s="577"/>
      <c r="Q123" s="577"/>
      <c r="R123" s="3558"/>
      <c r="S123"/>
      <c r="T123"/>
      <c r="U123"/>
      <c r="V123"/>
      <c r="W123"/>
      <c r="X123"/>
      <c r="Y123"/>
      <c r="Z123"/>
      <c r="AA123"/>
      <c r="AB123"/>
      <c r="AC123"/>
      <c r="AD123"/>
      <c r="AE123"/>
    </row>
    <row r="124" spans="1:31" s="78" customFormat="1" ht="12.75" customHeight="1" outlineLevel="1">
      <c r="A124" s="299"/>
      <c r="B124" s="4315"/>
      <c r="C124" s="3226" t="s">
        <v>607</v>
      </c>
      <c r="D124" s="486"/>
      <c r="E124" s="485"/>
      <c r="F124" s="485"/>
      <c r="G124" s="485"/>
      <c r="H124" s="487"/>
      <c r="I124" s="486"/>
      <c r="J124" s="485"/>
      <c r="K124" s="485"/>
      <c r="L124" s="485"/>
      <c r="M124" s="487"/>
      <c r="N124" s="577"/>
      <c r="O124" s="577"/>
      <c r="P124" s="577"/>
      <c r="Q124" s="577"/>
      <c r="R124" s="3558"/>
      <c r="S124"/>
      <c r="T124"/>
      <c r="U124"/>
      <c r="V124"/>
      <c r="W124"/>
      <c r="X124"/>
      <c r="Y124"/>
      <c r="Z124"/>
      <c r="AA124"/>
      <c r="AB124"/>
      <c r="AC124"/>
      <c r="AD124"/>
      <c r="AE124"/>
    </row>
    <row r="125" spans="1:31" s="78" customFormat="1" ht="12.75" customHeight="1" outlineLevel="1">
      <c r="A125" s="299"/>
      <c r="B125" s="4315"/>
      <c r="C125" s="3228" t="s">
        <v>610</v>
      </c>
      <c r="D125" s="3204">
        <f>D122+D123+D124</f>
        <v>0</v>
      </c>
      <c r="E125" s="3205">
        <f t="shared" ref="E125:M125" si="45">E122+E123+E124</f>
        <v>0</v>
      </c>
      <c r="F125" s="3205">
        <f t="shared" si="45"/>
        <v>0</v>
      </c>
      <c r="G125" s="3205">
        <f t="shared" si="45"/>
        <v>0</v>
      </c>
      <c r="H125" s="3206">
        <f t="shared" si="45"/>
        <v>0</v>
      </c>
      <c r="I125" s="3229">
        <f t="shared" si="45"/>
        <v>0</v>
      </c>
      <c r="J125" s="3205">
        <f t="shared" si="45"/>
        <v>0</v>
      </c>
      <c r="K125" s="3205">
        <f t="shared" si="45"/>
        <v>0</v>
      </c>
      <c r="L125" s="3205">
        <f t="shared" si="45"/>
        <v>0</v>
      </c>
      <c r="M125" s="3206">
        <f t="shared" si="45"/>
        <v>0</v>
      </c>
      <c r="N125" s="577"/>
      <c r="O125" s="577"/>
      <c r="P125" s="577"/>
      <c r="Q125" s="577"/>
      <c r="R125" s="3558"/>
      <c r="S125"/>
      <c r="T125"/>
      <c r="U125"/>
      <c r="V125"/>
      <c r="W125"/>
      <c r="X125"/>
      <c r="Y125"/>
      <c r="Z125"/>
      <c r="AA125"/>
      <c r="AB125"/>
      <c r="AC125"/>
      <c r="AD125"/>
      <c r="AE125"/>
    </row>
    <row r="126" spans="1:31" s="78" customFormat="1" ht="12.75" customHeight="1" outlineLevel="1">
      <c r="A126" s="299"/>
      <c r="B126" s="4315"/>
      <c r="C126" s="3226" t="s">
        <v>631</v>
      </c>
      <c r="D126" s="486"/>
      <c r="E126" s="485"/>
      <c r="F126" s="485"/>
      <c r="G126" s="485"/>
      <c r="H126" s="487"/>
      <c r="I126" s="486"/>
      <c r="J126" s="485"/>
      <c r="K126" s="485"/>
      <c r="L126" s="485"/>
      <c r="M126" s="487"/>
      <c r="N126" s="577"/>
      <c r="O126" s="577"/>
      <c r="P126" s="577"/>
      <c r="Q126" s="577"/>
      <c r="R126" s="3558"/>
      <c r="S126"/>
      <c r="T126"/>
      <c r="U126"/>
      <c r="V126"/>
      <c r="W126"/>
      <c r="X126"/>
      <c r="Y126"/>
      <c r="Z126"/>
      <c r="AA126"/>
      <c r="AB126"/>
      <c r="AC126"/>
      <c r="AD126"/>
      <c r="AE126"/>
    </row>
    <row r="127" spans="1:31" s="78" customFormat="1" ht="15" customHeight="1" outlineLevel="1" thickBot="1">
      <c r="A127" s="299"/>
      <c r="B127" s="4316"/>
      <c r="C127" s="3230" t="s">
        <v>611</v>
      </c>
      <c r="D127" s="3193">
        <f t="shared" ref="D127:M127" si="46">D125-D126</f>
        <v>0</v>
      </c>
      <c r="E127" s="3194">
        <f t="shared" si="46"/>
        <v>0</v>
      </c>
      <c r="F127" s="3194">
        <f t="shared" si="46"/>
        <v>0</v>
      </c>
      <c r="G127" s="3194">
        <f t="shared" si="46"/>
        <v>0</v>
      </c>
      <c r="H127" s="3195">
        <f t="shared" si="46"/>
        <v>0</v>
      </c>
      <c r="I127" s="3231">
        <f t="shared" si="46"/>
        <v>0</v>
      </c>
      <c r="J127" s="3194">
        <f t="shared" si="46"/>
        <v>0</v>
      </c>
      <c r="K127" s="3194">
        <f t="shared" si="46"/>
        <v>0</v>
      </c>
      <c r="L127" s="3194">
        <f t="shared" si="46"/>
        <v>0</v>
      </c>
      <c r="M127" s="3195">
        <f t="shared" si="46"/>
        <v>0</v>
      </c>
      <c r="N127" s="3562"/>
      <c r="O127" s="3562"/>
      <c r="P127" s="3562"/>
      <c r="Q127" s="3562"/>
      <c r="R127" s="3558"/>
      <c r="S127"/>
      <c r="T127"/>
      <c r="U127"/>
      <c r="V127"/>
      <c r="W127"/>
      <c r="X127"/>
      <c r="Y127"/>
      <c r="Z127"/>
      <c r="AA127"/>
      <c r="AB127"/>
      <c r="AC127"/>
      <c r="AD127"/>
      <c r="AE127"/>
    </row>
    <row r="128" spans="1:31" s="78" customFormat="1" ht="12.75" customHeight="1" outlineLevel="1">
      <c r="A128" s="299"/>
      <c r="B128" s="4314" t="s">
        <v>1560</v>
      </c>
      <c r="C128" s="3225" t="s">
        <v>585</v>
      </c>
      <c r="D128" s="497"/>
      <c r="E128" s="495"/>
      <c r="F128" s="495"/>
      <c r="G128" s="495"/>
      <c r="H128" s="556"/>
      <c r="I128" s="443"/>
      <c r="J128" s="519"/>
      <c r="K128" s="519"/>
      <c r="L128" s="519"/>
      <c r="M128" s="531"/>
      <c r="N128" s="577"/>
      <c r="O128" s="577"/>
      <c r="P128" s="577"/>
      <c r="Q128" s="577"/>
      <c r="R128" s="3558"/>
      <c r="S128"/>
      <c r="T128"/>
      <c r="U128"/>
      <c r="V128"/>
      <c r="W128"/>
      <c r="X128"/>
      <c r="Y128"/>
      <c r="Z128"/>
      <c r="AA128"/>
      <c r="AB128"/>
      <c r="AC128"/>
      <c r="AD128"/>
      <c r="AE128"/>
    </row>
    <row r="129" spans="1:31" s="78" customFormat="1" ht="12.75" customHeight="1" outlineLevel="1">
      <c r="A129" s="299"/>
      <c r="B129" s="4315"/>
      <c r="C129" s="3226" t="s">
        <v>584</v>
      </c>
      <c r="D129" s="497"/>
      <c r="E129" s="495"/>
      <c r="F129" s="495"/>
      <c r="G129" s="495"/>
      <c r="H129" s="556"/>
      <c r="I129" s="486">
        <v>0</v>
      </c>
      <c r="J129" s="485"/>
      <c r="K129" s="485"/>
      <c r="L129" s="485"/>
      <c r="M129" s="487"/>
      <c r="N129" s="577"/>
      <c r="O129" s="577"/>
      <c r="P129" s="577"/>
      <c r="Q129" s="577"/>
      <c r="R129" s="3558"/>
      <c r="S129"/>
      <c r="T129"/>
      <c r="U129"/>
      <c r="V129"/>
      <c r="W129"/>
      <c r="X129"/>
      <c r="Y129"/>
      <c r="Z129"/>
      <c r="AA129"/>
      <c r="AB129"/>
      <c r="AC129"/>
      <c r="AD129"/>
      <c r="AE129"/>
    </row>
    <row r="130" spans="1:31" s="78" customFormat="1" ht="12.75" customHeight="1" outlineLevel="1">
      <c r="A130" s="299"/>
      <c r="B130" s="4315"/>
      <c r="C130" s="3226" t="s">
        <v>604</v>
      </c>
      <c r="D130" s="498"/>
      <c r="E130" s="496"/>
      <c r="F130" s="496"/>
      <c r="G130" s="496"/>
      <c r="H130" s="557"/>
      <c r="I130" s="486"/>
      <c r="J130" s="485"/>
      <c r="K130" s="485"/>
      <c r="L130" s="485"/>
      <c r="M130" s="487"/>
      <c r="N130" s="577"/>
      <c r="O130" s="577"/>
      <c r="P130" s="577"/>
      <c r="Q130" s="577"/>
      <c r="R130" s="3558"/>
      <c r="S130"/>
      <c r="T130"/>
      <c r="U130"/>
      <c r="V130"/>
      <c r="W130"/>
      <c r="X130"/>
      <c r="Y130"/>
      <c r="Z130"/>
      <c r="AA130"/>
      <c r="AB130"/>
      <c r="AC130"/>
      <c r="AD130"/>
      <c r="AE130"/>
    </row>
    <row r="131" spans="1:31" s="78" customFormat="1" ht="12.75" customHeight="1" outlineLevel="1">
      <c r="A131" s="299"/>
      <c r="B131" s="4315"/>
      <c r="C131" s="3227" t="s">
        <v>605</v>
      </c>
      <c r="D131" s="486"/>
      <c r="E131" s="485"/>
      <c r="F131" s="485"/>
      <c r="G131" s="485"/>
      <c r="H131" s="487"/>
      <c r="I131" s="489">
        <f>SUM(I128:I130)</f>
        <v>0</v>
      </c>
      <c r="J131" s="490">
        <f>SUM(J128:J130)</f>
        <v>0</v>
      </c>
      <c r="K131" s="490">
        <f>SUM(K128:K130)</f>
        <v>0</v>
      </c>
      <c r="L131" s="490">
        <f>SUM(L128:L130)</f>
        <v>0</v>
      </c>
      <c r="M131" s="491">
        <f>SUM(M128:M130)</f>
        <v>0</v>
      </c>
      <c r="N131" s="577"/>
      <c r="O131" s="577"/>
      <c r="P131" s="577"/>
      <c r="Q131" s="577"/>
      <c r="R131" s="3558"/>
      <c r="S131"/>
      <c r="T131"/>
      <c r="U131"/>
      <c r="V131"/>
      <c r="W131"/>
      <c r="X131"/>
      <c r="Y131"/>
      <c r="Z131"/>
      <c r="AA131"/>
      <c r="AB131"/>
      <c r="AC131"/>
      <c r="AD131"/>
      <c r="AE131"/>
    </row>
    <row r="132" spans="1:31" s="78" customFormat="1" ht="12.75" customHeight="1" outlineLevel="1">
      <c r="A132" s="299"/>
      <c r="B132" s="4315"/>
      <c r="C132" s="3226" t="s">
        <v>609</v>
      </c>
      <c r="D132" s="486"/>
      <c r="E132" s="485"/>
      <c r="F132" s="485"/>
      <c r="G132" s="485"/>
      <c r="H132" s="487"/>
      <c r="I132" s="3201"/>
      <c r="J132" s="3202"/>
      <c r="K132" s="3202"/>
      <c r="L132" s="3202"/>
      <c r="M132" s="3216"/>
      <c r="N132" s="577"/>
      <c r="O132" s="577"/>
      <c r="P132" s="577"/>
      <c r="Q132" s="577"/>
      <c r="R132" s="3558"/>
      <c r="S132"/>
      <c r="T132"/>
      <c r="U132"/>
      <c r="V132"/>
      <c r="W132"/>
      <c r="X132"/>
      <c r="Y132"/>
      <c r="Z132"/>
      <c r="AA132"/>
      <c r="AB132"/>
      <c r="AC132"/>
      <c r="AD132"/>
      <c r="AE132"/>
    </row>
    <row r="133" spans="1:31" s="78" customFormat="1" ht="12.75" customHeight="1" outlineLevel="1">
      <c r="A133" s="299"/>
      <c r="B133" s="4315"/>
      <c r="C133" s="3226" t="s">
        <v>607</v>
      </c>
      <c r="D133" s="486"/>
      <c r="E133" s="485"/>
      <c r="F133" s="485"/>
      <c r="G133" s="485"/>
      <c r="H133" s="487"/>
      <c r="I133" s="486"/>
      <c r="J133" s="485"/>
      <c r="K133" s="485"/>
      <c r="L133" s="485"/>
      <c r="M133" s="487"/>
      <c r="N133" s="577"/>
      <c r="O133" s="577"/>
      <c r="P133" s="577"/>
      <c r="Q133" s="577"/>
      <c r="R133" s="3558"/>
      <c r="S133"/>
      <c r="T133"/>
      <c r="U133"/>
      <c r="V133"/>
      <c r="W133"/>
      <c r="X133"/>
      <c r="Y133"/>
      <c r="Z133"/>
      <c r="AA133"/>
      <c r="AB133"/>
      <c r="AC133"/>
      <c r="AD133"/>
      <c r="AE133"/>
    </row>
    <row r="134" spans="1:31" s="223" customFormat="1" ht="12.75" customHeight="1" outlineLevel="1">
      <c r="A134" s="299"/>
      <c r="B134" s="4315"/>
      <c r="C134" s="3228" t="s">
        <v>610</v>
      </c>
      <c r="D134" s="3204">
        <f>D131+D132+D133</f>
        <v>0</v>
      </c>
      <c r="E134" s="3205">
        <f t="shared" ref="E134:M134" si="47">E131+E132+E133</f>
        <v>0</v>
      </c>
      <c r="F134" s="3205">
        <f t="shared" si="47"/>
        <v>0</v>
      </c>
      <c r="G134" s="3205">
        <f t="shared" si="47"/>
        <v>0</v>
      </c>
      <c r="H134" s="3206">
        <f t="shared" si="47"/>
        <v>0</v>
      </c>
      <c r="I134" s="3229">
        <f t="shared" si="47"/>
        <v>0</v>
      </c>
      <c r="J134" s="3205">
        <f t="shared" si="47"/>
        <v>0</v>
      </c>
      <c r="K134" s="3205">
        <f t="shared" si="47"/>
        <v>0</v>
      </c>
      <c r="L134" s="3205">
        <f t="shared" si="47"/>
        <v>0</v>
      </c>
      <c r="M134" s="3206">
        <f t="shared" si="47"/>
        <v>0</v>
      </c>
      <c r="N134" s="577"/>
      <c r="O134" s="577"/>
      <c r="P134" s="577"/>
      <c r="Q134" s="577"/>
      <c r="R134" s="3558"/>
      <c r="S134" s="1266"/>
      <c r="T134" s="1266"/>
      <c r="U134"/>
      <c r="V134"/>
      <c r="W134"/>
      <c r="X134"/>
      <c r="Y134"/>
      <c r="Z134"/>
      <c r="AA134"/>
      <c r="AB134"/>
      <c r="AC134"/>
      <c r="AD134"/>
      <c r="AE134"/>
    </row>
    <row r="135" spans="1:31" s="78" customFormat="1" ht="12.75" customHeight="1" outlineLevel="1">
      <c r="A135" s="299"/>
      <c r="B135" s="4315"/>
      <c r="C135" s="3226" t="s">
        <v>631</v>
      </c>
      <c r="D135" s="486"/>
      <c r="E135" s="485"/>
      <c r="F135" s="485"/>
      <c r="G135" s="485"/>
      <c r="H135" s="487"/>
      <c r="I135" s="486"/>
      <c r="J135" s="485"/>
      <c r="K135" s="485"/>
      <c r="L135" s="485"/>
      <c r="M135" s="487"/>
      <c r="N135" s="577"/>
      <c r="O135" s="577"/>
      <c r="P135" s="577"/>
      <c r="Q135" s="577"/>
      <c r="R135" s="3558"/>
      <c r="S135"/>
      <c r="T135"/>
      <c r="U135"/>
      <c r="V135"/>
      <c r="W135"/>
      <c r="X135"/>
      <c r="Y135"/>
      <c r="Z135"/>
      <c r="AA135"/>
      <c r="AB135"/>
      <c r="AC135"/>
      <c r="AD135"/>
      <c r="AE135"/>
    </row>
    <row r="136" spans="1:31" s="78" customFormat="1" ht="15" customHeight="1" outlineLevel="1" thickBot="1">
      <c r="A136" s="299"/>
      <c r="B136" s="4316"/>
      <c r="C136" s="3230" t="s">
        <v>611</v>
      </c>
      <c r="D136" s="3193">
        <f>D134-D135</f>
        <v>0</v>
      </c>
      <c r="E136" s="3194">
        <f t="shared" ref="E136:M136" si="48">E134-E135</f>
        <v>0</v>
      </c>
      <c r="F136" s="3194">
        <f t="shared" si="48"/>
        <v>0</v>
      </c>
      <c r="G136" s="3194">
        <f t="shared" si="48"/>
        <v>0</v>
      </c>
      <c r="H136" s="3195">
        <f t="shared" si="48"/>
        <v>0</v>
      </c>
      <c r="I136" s="3231">
        <f t="shared" si="48"/>
        <v>0</v>
      </c>
      <c r="J136" s="3194">
        <f t="shared" si="48"/>
        <v>0</v>
      </c>
      <c r="K136" s="3194">
        <f t="shared" si="48"/>
        <v>0</v>
      </c>
      <c r="L136" s="3194">
        <f t="shared" si="48"/>
        <v>0</v>
      </c>
      <c r="M136" s="3195">
        <f t="shared" si="48"/>
        <v>0</v>
      </c>
      <c r="N136" s="3562"/>
      <c r="O136" s="3562"/>
      <c r="P136" s="3562"/>
      <c r="Q136" s="3562"/>
      <c r="R136" s="3558"/>
      <c r="S136"/>
      <c r="T136"/>
      <c r="U136"/>
      <c r="V136"/>
      <c r="W136"/>
      <c r="X136"/>
      <c r="Y136"/>
      <c r="Z136"/>
      <c r="AA136"/>
      <c r="AB136"/>
      <c r="AC136"/>
      <c r="AD136"/>
      <c r="AE136"/>
    </row>
    <row r="137" spans="1:31" s="78" customFormat="1" ht="12.75" customHeight="1" outlineLevel="1">
      <c r="A137" s="299"/>
      <c r="B137" s="4314" t="s">
        <v>1561</v>
      </c>
      <c r="C137" s="3225" t="s">
        <v>585</v>
      </c>
      <c r="D137" s="497"/>
      <c r="E137" s="495"/>
      <c r="F137" s="495"/>
      <c r="G137" s="495"/>
      <c r="H137" s="556"/>
      <c r="I137" s="443"/>
      <c r="J137" s="519"/>
      <c r="K137" s="519"/>
      <c r="L137" s="519"/>
      <c r="M137" s="531"/>
      <c r="N137" s="577"/>
      <c r="O137" s="577"/>
      <c r="P137" s="577"/>
      <c r="Q137" s="577"/>
      <c r="R137" s="3558"/>
      <c r="S137"/>
      <c r="T137"/>
      <c r="U137"/>
      <c r="V137"/>
      <c r="W137"/>
      <c r="X137"/>
      <c r="Y137"/>
      <c r="Z137"/>
      <c r="AA137"/>
      <c r="AB137"/>
      <c r="AC137"/>
      <c r="AD137"/>
      <c r="AE137"/>
    </row>
    <row r="138" spans="1:31" s="78" customFormat="1" ht="12.75" customHeight="1" outlineLevel="1">
      <c r="A138" s="299"/>
      <c r="B138" s="4315"/>
      <c r="C138" s="3226" t="s">
        <v>584</v>
      </c>
      <c r="D138" s="497"/>
      <c r="E138" s="495"/>
      <c r="F138" s="495"/>
      <c r="G138" s="495"/>
      <c r="H138" s="556"/>
      <c r="I138" s="486">
        <v>0</v>
      </c>
      <c r="J138" s="485"/>
      <c r="K138" s="485"/>
      <c r="L138" s="485"/>
      <c r="M138" s="487"/>
      <c r="N138" s="577"/>
      <c r="O138" s="577"/>
      <c r="P138" s="577"/>
      <c r="Q138" s="577"/>
      <c r="R138" s="3558"/>
      <c r="S138"/>
      <c r="T138"/>
      <c r="U138"/>
      <c r="V138"/>
      <c r="W138"/>
      <c r="X138"/>
      <c r="Y138"/>
      <c r="Z138"/>
      <c r="AA138"/>
      <c r="AB138"/>
      <c r="AC138"/>
      <c r="AD138"/>
      <c r="AE138"/>
    </row>
    <row r="139" spans="1:31" s="78" customFormat="1" ht="12.75" customHeight="1" outlineLevel="1">
      <c r="A139" s="299"/>
      <c r="B139" s="4315"/>
      <c r="C139" s="3226" t="s">
        <v>604</v>
      </c>
      <c r="D139" s="498"/>
      <c r="E139" s="496"/>
      <c r="F139" s="496"/>
      <c r="G139" s="496"/>
      <c r="H139" s="557"/>
      <c r="I139" s="486"/>
      <c r="J139" s="485"/>
      <c r="K139" s="485"/>
      <c r="L139" s="485"/>
      <c r="M139" s="487"/>
      <c r="N139" s="577"/>
      <c r="O139" s="577"/>
      <c r="P139" s="577"/>
      <c r="Q139" s="577"/>
      <c r="R139" s="3558"/>
      <c r="S139"/>
      <c r="T139"/>
      <c r="U139"/>
      <c r="V139"/>
      <c r="W139"/>
      <c r="X139"/>
      <c r="Y139"/>
      <c r="Z139"/>
      <c r="AA139"/>
      <c r="AB139"/>
      <c r="AC139"/>
      <c r="AD139"/>
      <c r="AE139"/>
    </row>
    <row r="140" spans="1:31" s="78" customFormat="1" ht="12.75" customHeight="1" outlineLevel="1">
      <c r="A140" s="299"/>
      <c r="B140" s="4315"/>
      <c r="C140" s="3227" t="s">
        <v>605</v>
      </c>
      <c r="D140" s="486"/>
      <c r="E140" s="485"/>
      <c r="F140" s="485"/>
      <c r="G140" s="485"/>
      <c r="H140" s="487"/>
      <c r="I140" s="489">
        <f>SUM(I137:I139)</f>
        <v>0</v>
      </c>
      <c r="J140" s="490">
        <f>SUM(J137:J139)</f>
        <v>0</v>
      </c>
      <c r="K140" s="490">
        <f>SUM(K137:K139)</f>
        <v>0</v>
      </c>
      <c r="L140" s="490">
        <f>SUM(L137:L139)</f>
        <v>0</v>
      </c>
      <c r="M140" s="491">
        <f>SUM(M137:M139)</f>
        <v>0</v>
      </c>
      <c r="N140" s="577"/>
      <c r="O140" s="577"/>
      <c r="P140" s="577"/>
      <c r="Q140" s="577"/>
      <c r="R140" s="3558"/>
      <c r="S140"/>
      <c r="T140"/>
      <c r="U140"/>
      <c r="V140"/>
      <c r="W140"/>
      <c r="X140"/>
      <c r="Y140"/>
      <c r="Z140"/>
      <c r="AA140"/>
      <c r="AB140"/>
      <c r="AC140"/>
      <c r="AD140"/>
      <c r="AE140"/>
    </row>
    <row r="141" spans="1:31" s="78" customFormat="1" ht="12.75" customHeight="1" outlineLevel="1">
      <c r="A141" s="299"/>
      <c r="B141" s="4315"/>
      <c r="C141" s="3226" t="s">
        <v>609</v>
      </c>
      <c r="D141" s="486"/>
      <c r="E141" s="485"/>
      <c r="F141" s="485"/>
      <c r="G141" s="485"/>
      <c r="H141" s="487"/>
      <c r="I141" s="3201"/>
      <c r="J141" s="3202"/>
      <c r="K141" s="3202"/>
      <c r="L141" s="3202"/>
      <c r="M141" s="3216"/>
      <c r="N141" s="577"/>
      <c r="O141" s="577"/>
      <c r="P141" s="577"/>
      <c r="Q141" s="577"/>
      <c r="R141" s="3558"/>
      <c r="S141"/>
      <c r="T141"/>
      <c r="U141"/>
      <c r="V141"/>
      <c r="W141"/>
      <c r="X141"/>
      <c r="Y141"/>
      <c r="Z141"/>
      <c r="AA141"/>
      <c r="AB141"/>
      <c r="AC141"/>
      <c r="AD141"/>
      <c r="AE141"/>
    </row>
    <row r="142" spans="1:31" s="78" customFormat="1" ht="12.75" customHeight="1" outlineLevel="1">
      <c r="A142" s="299"/>
      <c r="B142" s="4315"/>
      <c r="C142" s="3226" t="s">
        <v>607</v>
      </c>
      <c r="D142" s="486"/>
      <c r="E142" s="485"/>
      <c r="F142" s="485"/>
      <c r="G142" s="485"/>
      <c r="H142" s="487"/>
      <c r="I142" s="486"/>
      <c r="J142" s="485"/>
      <c r="K142" s="485"/>
      <c r="L142" s="485"/>
      <c r="M142" s="487"/>
      <c r="N142" s="577"/>
      <c r="O142" s="577"/>
      <c r="P142" s="577"/>
      <c r="Q142" s="577"/>
      <c r="R142" s="3558"/>
      <c r="S142"/>
      <c r="T142"/>
      <c r="U142"/>
      <c r="V142"/>
      <c r="W142"/>
      <c r="X142"/>
      <c r="Y142"/>
      <c r="Z142"/>
      <c r="AA142"/>
      <c r="AB142"/>
      <c r="AC142"/>
      <c r="AD142"/>
      <c r="AE142"/>
    </row>
    <row r="143" spans="1:31" s="223" customFormat="1" ht="12.75" customHeight="1" outlineLevel="1">
      <c r="A143" s="299"/>
      <c r="B143" s="4315"/>
      <c r="C143" s="3228" t="s">
        <v>610</v>
      </c>
      <c r="D143" s="3204">
        <f>D140+D141+D142</f>
        <v>0</v>
      </c>
      <c r="E143" s="3205">
        <f t="shared" ref="E143:M143" si="49">E140+E141+E142</f>
        <v>0</v>
      </c>
      <c r="F143" s="3205">
        <f t="shared" si="49"/>
        <v>0</v>
      </c>
      <c r="G143" s="3205">
        <f>G140+G141+G142</f>
        <v>0</v>
      </c>
      <c r="H143" s="3206">
        <f t="shared" si="49"/>
        <v>0</v>
      </c>
      <c r="I143" s="3204">
        <f t="shared" si="49"/>
        <v>0</v>
      </c>
      <c r="J143" s="3205">
        <f t="shared" si="49"/>
        <v>0</v>
      </c>
      <c r="K143" s="3205">
        <f t="shared" si="49"/>
        <v>0</v>
      </c>
      <c r="L143" s="3205">
        <f t="shared" si="49"/>
        <v>0</v>
      </c>
      <c r="M143" s="3206">
        <f t="shared" si="49"/>
        <v>0</v>
      </c>
      <c r="N143" s="577"/>
      <c r="O143" s="577"/>
      <c r="P143" s="577"/>
      <c r="Q143" s="577"/>
      <c r="R143" s="3558"/>
      <c r="S143" s="1266"/>
      <c r="T143" s="1266"/>
      <c r="U143"/>
      <c r="V143"/>
      <c r="W143"/>
      <c r="X143"/>
      <c r="Y143"/>
      <c r="Z143"/>
      <c r="AA143"/>
      <c r="AB143"/>
      <c r="AC143"/>
      <c r="AD143"/>
      <c r="AE143"/>
    </row>
    <row r="144" spans="1:31" s="78" customFormat="1" ht="12.75" customHeight="1" outlineLevel="1">
      <c r="A144" s="299"/>
      <c r="B144" s="4315"/>
      <c r="C144" s="3226" t="s">
        <v>631</v>
      </c>
      <c r="D144" s="486"/>
      <c r="E144" s="485"/>
      <c r="F144" s="485"/>
      <c r="G144" s="485"/>
      <c r="H144" s="487"/>
      <c r="I144" s="486"/>
      <c r="J144" s="485"/>
      <c r="K144" s="485"/>
      <c r="L144" s="485"/>
      <c r="M144" s="487"/>
      <c r="N144" s="577"/>
      <c r="O144" s="577"/>
      <c r="P144" s="577"/>
      <c r="Q144" s="577"/>
      <c r="R144" s="3558"/>
      <c r="S144"/>
      <c r="T144"/>
      <c r="U144"/>
      <c r="V144"/>
      <c r="W144"/>
      <c r="X144"/>
      <c r="Y144"/>
      <c r="Z144"/>
      <c r="AA144"/>
      <c r="AB144"/>
      <c r="AC144"/>
      <c r="AD144"/>
      <c r="AE144"/>
    </row>
    <row r="145" spans="1:31" s="78" customFormat="1" ht="15" customHeight="1" outlineLevel="1" thickBot="1">
      <c r="A145" s="299"/>
      <c r="B145" s="4316"/>
      <c r="C145" s="3230" t="s">
        <v>611</v>
      </c>
      <c r="D145" s="3193">
        <f>D143-D144</f>
        <v>0</v>
      </c>
      <c r="E145" s="3194">
        <f t="shared" ref="E145:M145" si="50">E143-E144</f>
        <v>0</v>
      </c>
      <c r="F145" s="3194">
        <f t="shared" si="50"/>
        <v>0</v>
      </c>
      <c r="G145" s="3194">
        <f t="shared" si="50"/>
        <v>0</v>
      </c>
      <c r="H145" s="3195">
        <f t="shared" si="50"/>
        <v>0</v>
      </c>
      <c r="I145" s="3193">
        <f t="shared" si="50"/>
        <v>0</v>
      </c>
      <c r="J145" s="3194">
        <f t="shared" si="50"/>
        <v>0</v>
      </c>
      <c r="K145" s="3194">
        <f t="shared" si="50"/>
        <v>0</v>
      </c>
      <c r="L145" s="3194">
        <f t="shared" si="50"/>
        <v>0</v>
      </c>
      <c r="M145" s="3195">
        <f t="shared" si="50"/>
        <v>0</v>
      </c>
      <c r="N145" s="3562"/>
      <c r="O145" s="3562"/>
      <c r="P145" s="3562"/>
      <c r="Q145" s="3562"/>
      <c r="R145" s="3558"/>
      <c r="S145"/>
      <c r="T145"/>
      <c r="U145"/>
      <c r="V145"/>
      <c r="W145"/>
      <c r="X145"/>
      <c r="Y145"/>
      <c r="Z145"/>
      <c r="AA145"/>
      <c r="AB145"/>
      <c r="AC145"/>
      <c r="AD145"/>
      <c r="AE145"/>
    </row>
    <row r="146" spans="1:31" s="78" customFormat="1" ht="12.75" customHeight="1" outlineLevel="1">
      <c r="A146" s="299"/>
      <c r="B146" s="4314" t="s">
        <v>1562</v>
      </c>
      <c r="C146" s="3225" t="s">
        <v>585</v>
      </c>
      <c r="D146" s="497"/>
      <c r="E146" s="495"/>
      <c r="F146" s="495"/>
      <c r="G146" s="495"/>
      <c r="H146" s="556"/>
      <c r="I146" s="443"/>
      <c r="J146" s="519"/>
      <c r="K146" s="519"/>
      <c r="L146" s="519"/>
      <c r="M146" s="531"/>
      <c r="N146" s="577"/>
      <c r="O146" s="577"/>
      <c r="P146" s="577"/>
      <c r="Q146" s="577"/>
      <c r="R146" s="3558"/>
      <c r="S146"/>
      <c r="T146"/>
      <c r="U146"/>
      <c r="V146"/>
      <c r="W146"/>
      <c r="X146"/>
      <c r="Y146"/>
      <c r="Z146"/>
      <c r="AA146"/>
      <c r="AB146"/>
      <c r="AC146"/>
      <c r="AD146"/>
      <c r="AE146"/>
    </row>
    <row r="147" spans="1:31" s="78" customFormat="1" ht="12.75" customHeight="1" outlineLevel="1">
      <c r="A147" s="299"/>
      <c r="B147" s="4315"/>
      <c r="C147" s="3226" t="s">
        <v>584</v>
      </c>
      <c r="D147" s="497"/>
      <c r="E147" s="495"/>
      <c r="F147" s="495"/>
      <c r="G147" s="495"/>
      <c r="H147" s="556"/>
      <c r="I147" s="486"/>
      <c r="J147" s="485"/>
      <c r="K147" s="485"/>
      <c r="L147" s="485"/>
      <c r="M147" s="487"/>
      <c r="N147" s="577"/>
      <c r="O147" s="577"/>
      <c r="P147" s="577"/>
      <c r="Q147" s="577"/>
      <c r="R147" s="3558"/>
      <c r="S147"/>
      <c r="T147"/>
      <c r="U147"/>
      <c r="V147"/>
      <c r="W147"/>
      <c r="X147"/>
      <c r="Y147"/>
      <c r="Z147"/>
      <c r="AA147"/>
      <c r="AB147"/>
      <c r="AC147"/>
      <c r="AD147"/>
      <c r="AE147"/>
    </row>
    <row r="148" spans="1:31" s="78" customFormat="1" ht="12.75" customHeight="1" outlineLevel="1">
      <c r="A148" s="299"/>
      <c r="B148" s="4315"/>
      <c r="C148" s="3226" t="s">
        <v>604</v>
      </c>
      <c r="D148" s="498"/>
      <c r="E148" s="496"/>
      <c r="F148" s="496"/>
      <c r="G148" s="496"/>
      <c r="H148" s="557"/>
      <c r="I148" s="486"/>
      <c r="J148" s="485"/>
      <c r="K148" s="485"/>
      <c r="L148" s="485"/>
      <c r="M148" s="487"/>
      <c r="N148" s="577"/>
      <c r="O148" s="577"/>
      <c r="P148" s="577"/>
      <c r="Q148" s="577"/>
      <c r="R148" s="3558"/>
      <c r="S148"/>
      <c r="T148"/>
      <c r="U148"/>
      <c r="V148"/>
      <c r="W148"/>
      <c r="X148"/>
      <c r="Y148"/>
      <c r="Z148"/>
      <c r="AA148"/>
      <c r="AB148"/>
      <c r="AC148"/>
      <c r="AD148"/>
      <c r="AE148"/>
    </row>
    <row r="149" spans="1:31" s="78" customFormat="1" ht="12.75" customHeight="1" outlineLevel="1">
      <c r="A149" s="299"/>
      <c r="B149" s="4315"/>
      <c r="C149" s="3227" t="s">
        <v>605</v>
      </c>
      <c r="D149" s="486"/>
      <c r="E149" s="485"/>
      <c r="F149" s="485"/>
      <c r="G149" s="485"/>
      <c r="H149" s="487"/>
      <c r="I149" s="489">
        <f>SUM(I146:I148)</f>
        <v>0</v>
      </c>
      <c r="J149" s="490">
        <f>SUM(J146:J148)</f>
        <v>0</v>
      </c>
      <c r="K149" s="490">
        <f>SUM(K146:K148)</f>
        <v>0</v>
      </c>
      <c r="L149" s="490">
        <f>SUM(L146:L148)</f>
        <v>0</v>
      </c>
      <c r="M149" s="491">
        <f>SUM(M146:M148)</f>
        <v>0</v>
      </c>
      <c r="N149" s="577"/>
      <c r="O149" s="577"/>
      <c r="P149" s="577"/>
      <c r="Q149" s="577"/>
      <c r="R149" s="3558"/>
      <c r="S149"/>
      <c r="T149"/>
      <c r="U149"/>
      <c r="V149"/>
      <c r="W149"/>
      <c r="X149"/>
      <c r="Y149"/>
      <c r="Z149"/>
      <c r="AA149"/>
      <c r="AB149"/>
      <c r="AC149"/>
      <c r="AD149"/>
      <c r="AE149"/>
    </row>
    <row r="150" spans="1:31" s="78" customFormat="1" ht="12.75" customHeight="1" outlineLevel="1">
      <c r="A150" s="299"/>
      <c r="B150" s="4315"/>
      <c r="C150" s="3226" t="s">
        <v>609</v>
      </c>
      <c r="D150" s="486"/>
      <c r="E150" s="485"/>
      <c r="F150" s="485"/>
      <c r="G150" s="485"/>
      <c r="H150" s="487"/>
      <c r="I150" s="3201"/>
      <c r="J150" s="3202"/>
      <c r="K150" s="3202"/>
      <c r="L150" s="3202"/>
      <c r="M150" s="3216"/>
      <c r="N150" s="577"/>
      <c r="O150" s="577"/>
      <c r="P150" s="577"/>
      <c r="Q150" s="577"/>
      <c r="R150" s="3558"/>
      <c r="S150"/>
      <c r="T150"/>
      <c r="U150"/>
      <c r="V150"/>
      <c r="W150"/>
      <c r="X150"/>
      <c r="Y150"/>
      <c r="Z150"/>
      <c r="AA150"/>
      <c r="AB150"/>
      <c r="AC150"/>
      <c r="AD150"/>
      <c r="AE150"/>
    </row>
    <row r="151" spans="1:31" s="78" customFormat="1" ht="12.75" customHeight="1" outlineLevel="1">
      <c r="A151" s="299"/>
      <c r="B151" s="4315"/>
      <c r="C151" s="3226" t="s">
        <v>607</v>
      </c>
      <c r="D151" s="486"/>
      <c r="E151" s="485"/>
      <c r="F151" s="485"/>
      <c r="G151" s="485"/>
      <c r="H151" s="487"/>
      <c r="I151" s="486"/>
      <c r="J151" s="485"/>
      <c r="K151" s="485"/>
      <c r="L151" s="485"/>
      <c r="M151" s="487"/>
      <c r="N151" s="577"/>
      <c r="O151" s="577"/>
      <c r="P151" s="577"/>
      <c r="Q151" s="577"/>
      <c r="R151" s="3558"/>
      <c r="S151"/>
      <c r="T151"/>
      <c r="U151"/>
      <c r="V151"/>
      <c r="W151"/>
      <c r="X151"/>
      <c r="Y151"/>
      <c r="Z151"/>
      <c r="AA151"/>
      <c r="AB151"/>
      <c r="AC151"/>
      <c r="AD151"/>
      <c r="AE151"/>
    </row>
    <row r="152" spans="1:31" s="223" customFormat="1" ht="12.75" customHeight="1" outlineLevel="1">
      <c r="A152" s="299"/>
      <c r="B152" s="4315"/>
      <c r="C152" s="3228" t="s">
        <v>610</v>
      </c>
      <c r="D152" s="3204">
        <f>D149+D150+D151</f>
        <v>0</v>
      </c>
      <c r="E152" s="3205">
        <f t="shared" ref="E152:M152" si="51">E149+E150+E151</f>
        <v>0</v>
      </c>
      <c r="F152" s="3205">
        <f t="shared" si="51"/>
        <v>0</v>
      </c>
      <c r="G152" s="3205">
        <f t="shared" si="51"/>
        <v>0</v>
      </c>
      <c r="H152" s="3206">
        <f t="shared" si="51"/>
        <v>0</v>
      </c>
      <c r="I152" s="3229">
        <f t="shared" si="51"/>
        <v>0</v>
      </c>
      <c r="J152" s="3205">
        <f t="shared" si="51"/>
        <v>0</v>
      </c>
      <c r="K152" s="3205">
        <f t="shared" si="51"/>
        <v>0</v>
      </c>
      <c r="L152" s="3205">
        <f t="shared" si="51"/>
        <v>0</v>
      </c>
      <c r="M152" s="3206">
        <f t="shared" si="51"/>
        <v>0</v>
      </c>
      <c r="N152" s="577"/>
      <c r="O152" s="577"/>
      <c r="P152" s="577"/>
      <c r="Q152" s="577"/>
      <c r="R152" s="3558"/>
      <c r="S152" s="1266"/>
      <c r="T152" s="1266"/>
      <c r="U152"/>
      <c r="V152"/>
      <c r="W152"/>
      <c r="X152"/>
      <c r="Y152"/>
      <c r="Z152"/>
      <c r="AA152"/>
      <c r="AB152"/>
      <c r="AC152"/>
      <c r="AD152"/>
      <c r="AE152"/>
    </row>
    <row r="153" spans="1:31" s="78" customFormat="1" ht="12.75" customHeight="1" outlineLevel="1">
      <c r="A153" s="299"/>
      <c r="B153" s="4315"/>
      <c r="C153" s="3226" t="s">
        <v>631</v>
      </c>
      <c r="D153" s="486"/>
      <c r="E153" s="485"/>
      <c r="F153" s="485"/>
      <c r="G153" s="485"/>
      <c r="H153" s="487"/>
      <c r="I153" s="486"/>
      <c r="J153" s="485"/>
      <c r="K153" s="485"/>
      <c r="L153" s="485"/>
      <c r="M153" s="487"/>
      <c r="N153" s="577"/>
      <c r="O153" s="577"/>
      <c r="P153" s="577"/>
      <c r="Q153" s="577"/>
      <c r="R153" s="3558"/>
      <c r="S153"/>
      <c r="T153"/>
      <c r="U153"/>
      <c r="V153"/>
      <c r="W153"/>
      <c r="X153"/>
      <c r="Y153"/>
      <c r="Z153"/>
      <c r="AA153"/>
      <c r="AB153"/>
      <c r="AC153"/>
      <c r="AD153"/>
      <c r="AE153"/>
    </row>
    <row r="154" spans="1:31" s="78" customFormat="1" ht="15" customHeight="1" outlineLevel="1" thickBot="1">
      <c r="A154" s="299"/>
      <c r="B154" s="4316"/>
      <c r="C154" s="3230" t="s">
        <v>611</v>
      </c>
      <c r="D154" s="3193">
        <f>D152-D153</f>
        <v>0</v>
      </c>
      <c r="E154" s="3194">
        <f t="shared" ref="E154:M154" si="52">E152-E153</f>
        <v>0</v>
      </c>
      <c r="F154" s="3194">
        <f t="shared" si="52"/>
        <v>0</v>
      </c>
      <c r="G154" s="3194">
        <f t="shared" si="52"/>
        <v>0</v>
      </c>
      <c r="H154" s="3195">
        <f t="shared" si="52"/>
        <v>0</v>
      </c>
      <c r="I154" s="3231">
        <f t="shared" si="52"/>
        <v>0</v>
      </c>
      <c r="J154" s="3194">
        <f t="shared" si="52"/>
        <v>0</v>
      </c>
      <c r="K154" s="3194">
        <f t="shared" si="52"/>
        <v>0</v>
      </c>
      <c r="L154" s="3194">
        <f t="shared" si="52"/>
        <v>0</v>
      </c>
      <c r="M154" s="3195">
        <f t="shared" si="52"/>
        <v>0</v>
      </c>
      <c r="N154" s="3562"/>
      <c r="O154" s="3562"/>
      <c r="P154" s="3562"/>
      <c r="Q154" s="3562"/>
      <c r="R154" s="3558"/>
      <c r="S154"/>
      <c r="T154"/>
      <c r="U154"/>
      <c r="V154"/>
      <c r="W154"/>
      <c r="X154"/>
      <c r="Y154"/>
      <c r="Z154"/>
      <c r="AA154"/>
      <c r="AB154"/>
      <c r="AC154"/>
      <c r="AD154"/>
      <c r="AE154"/>
    </row>
    <row r="155" spans="1:31" s="78" customFormat="1" ht="12.75" customHeight="1">
      <c r="A155" s="299"/>
      <c r="B155" s="4369" t="s">
        <v>360</v>
      </c>
      <c r="C155" s="3232" t="s">
        <v>585</v>
      </c>
      <c r="D155" s="3233">
        <f ca="1">SUMIF($D$119:$M$154,"Direct internal labour expenditure",D$119:D$154)</f>
        <v>0</v>
      </c>
      <c r="E155" s="3234">
        <f ca="1">SUMIF($D$119:$M$154,"Direct internal labour expenditure",E$119:E$154)</f>
        <v>0</v>
      </c>
      <c r="F155" s="3234">
        <f ca="1">SUMIF($D$119:$M$154,"Direct internal labour expenditure",F$119:F$154)</f>
        <v>0</v>
      </c>
      <c r="G155" s="3234">
        <f ca="1">SUMIF($D$119:$M$154,"Direct internal labour expenditure",G$119:G$154)</f>
        <v>0</v>
      </c>
      <c r="H155" s="3235">
        <f ca="1">SUMIF($D$119:$M$154,"Direct internal labour expenditure",H$119:H$154)</f>
        <v>0</v>
      </c>
      <c r="I155" s="3233">
        <f ca="1">SUMIF($C$119:$M$154,"Direct internal labour expenditure",I$119:I$154)</f>
        <v>0</v>
      </c>
      <c r="J155" s="3234">
        <f ca="1">SUMIF($D$119:$M$154,"Direct internal labour expenditure",J$119:J$154)</f>
        <v>0</v>
      </c>
      <c r="K155" s="3234">
        <f ca="1">SUMIF($D$119:$M$154,"Direct internal labour expenditure",K$119:K$154)</f>
        <v>0</v>
      </c>
      <c r="L155" s="3234">
        <f ca="1">SUMIF($D$119:$M$154,"Direct internal labour expenditure",L$119:L$154)</f>
        <v>0</v>
      </c>
      <c r="M155" s="3235">
        <f ca="1">SUMIF($D$119:$M$154,"Direct internal labour expenditure",M$119:M$154)</f>
        <v>0</v>
      </c>
      <c r="N155" s="577"/>
      <c r="O155" s="577"/>
      <c r="P155" s="577"/>
      <c r="Q155" s="577"/>
      <c r="R155" s="3558"/>
      <c r="S155"/>
      <c r="T155"/>
      <c r="U155"/>
      <c r="V155"/>
      <c r="W155"/>
      <c r="X155"/>
      <c r="Y155"/>
      <c r="Z155"/>
      <c r="AA155"/>
      <c r="AB155"/>
      <c r="AC155"/>
      <c r="AD155"/>
      <c r="AE155"/>
    </row>
    <row r="156" spans="1:31" s="78" customFormat="1" ht="12.75" customHeight="1">
      <c r="A156" s="299"/>
      <c r="B156" s="4370"/>
      <c r="C156" s="3236" t="s">
        <v>584</v>
      </c>
      <c r="D156" s="3237">
        <f ca="1">SUMIF($D$119:$M$154,"Direct contractor expenditure",D$119:D$154)</f>
        <v>0</v>
      </c>
      <c r="E156" s="3238">
        <f ca="1">SUMIF($D$119:$M$154,"Direct contractor expenditure",E$119:E$154)</f>
        <v>0</v>
      </c>
      <c r="F156" s="3238">
        <f ca="1">SUMIF($D$119:$M$154,"Direct contractor expenditure",F$119:F$154)</f>
        <v>0</v>
      </c>
      <c r="G156" s="3238">
        <f ca="1">SUMIF($D$119:$M$154,"Direct contractor expenditure",G$119:G$154)</f>
        <v>0</v>
      </c>
      <c r="H156" s="3239">
        <f ca="1">SUMIF($D$119:$M$154,"Direct contractor expenditure",H$119:H$154)</f>
        <v>0</v>
      </c>
      <c r="I156" s="3237">
        <f ca="1">SUMIF($C$119:$M$154,"Direct contractor expenditure",I$119:I$154)</f>
        <v>0</v>
      </c>
      <c r="J156" s="3238">
        <f ca="1">SUMIF($D$119:$M$154,"Direct contractor expenditure",J$119:J$154)</f>
        <v>0</v>
      </c>
      <c r="K156" s="3238">
        <f ca="1">SUMIF($D$119:$M$154,"Direct contractor expenditure",K$119:K$154)</f>
        <v>0</v>
      </c>
      <c r="L156" s="3238">
        <f ca="1">SUMIF($D$119:$M$154,"Direct contractor expenditure",L$119:L$154)</f>
        <v>0</v>
      </c>
      <c r="M156" s="3239">
        <f ca="1">SUMIF($D$119:$M$154,"Direct contractor expenditure",M$119:M$154)</f>
        <v>0</v>
      </c>
      <c r="N156" s="577"/>
      <c r="O156" s="577"/>
      <c r="P156" s="577"/>
      <c r="Q156" s="577"/>
      <c r="R156" s="3558"/>
      <c r="S156"/>
      <c r="T156"/>
      <c r="U156"/>
      <c r="V156"/>
      <c r="W156"/>
      <c r="X156"/>
      <c r="Y156"/>
      <c r="Z156"/>
      <c r="AA156"/>
      <c r="AB156"/>
      <c r="AC156"/>
      <c r="AD156"/>
      <c r="AE156"/>
    </row>
    <row r="157" spans="1:31" s="78" customFormat="1" ht="12.75" customHeight="1">
      <c r="A157" s="299"/>
      <c r="B157" s="4370"/>
      <c r="C157" s="3236" t="s">
        <v>604</v>
      </c>
      <c r="D157" s="3237">
        <f ca="1">SUMIF($D$119:$M$154,"Other internal direct expenditure",D$119:D$154)</f>
        <v>0</v>
      </c>
      <c r="E157" s="3238">
        <f ca="1">SUMIF($D$119:$M$154,"Other internal direct expenditure",E$119:E$154)</f>
        <v>0</v>
      </c>
      <c r="F157" s="3238">
        <f ca="1">SUMIF($D$119:$M$154,"Other internal direct expenditure",F$119:F$154)</f>
        <v>0</v>
      </c>
      <c r="G157" s="3238">
        <f ca="1">SUMIF($D$119:$M$154,"Other internal direct expenditure",G$119:G$154)</f>
        <v>0</v>
      </c>
      <c r="H157" s="3239">
        <f ca="1">SUMIF($D$119:$M$154,"Other internal direct expenditure",H$119:H$154)</f>
        <v>0</v>
      </c>
      <c r="I157" s="3237">
        <f ca="1">SUMIF($C$119:$M$154,"Other internal direct expenditure",I$119:I$154)</f>
        <v>0</v>
      </c>
      <c r="J157" s="3238">
        <f ca="1">SUMIF($D$119:$M$154,"Other internal direct expenditure",J$119:J$154)</f>
        <v>0</v>
      </c>
      <c r="K157" s="3238">
        <f ca="1">SUMIF($D$119:$M$154,"Other internal direct expenditure",K$119:K$154)</f>
        <v>0</v>
      </c>
      <c r="L157" s="3238">
        <f ca="1">SUMIF($D$119:$M$154,"Other internal direct expenditure",L$119:L$154)</f>
        <v>0</v>
      </c>
      <c r="M157" s="3239">
        <f ca="1">SUMIF($D$119:$M$154,"Other internal direct expenditure",M$119:M$154)</f>
        <v>0</v>
      </c>
      <c r="N157" s="577"/>
      <c r="O157" s="577"/>
      <c r="P157" s="577"/>
      <c r="Q157" s="577"/>
      <c r="R157" s="3558"/>
      <c r="S157"/>
      <c r="T157"/>
      <c r="U157"/>
      <c r="V157"/>
      <c r="W157"/>
      <c r="X157"/>
      <c r="Y157"/>
      <c r="Z157"/>
      <c r="AA157"/>
      <c r="AB157"/>
      <c r="AC157"/>
      <c r="AD157"/>
      <c r="AE157"/>
    </row>
    <row r="158" spans="1:31" s="78" customFormat="1" ht="12.75" customHeight="1">
      <c r="A158" s="299"/>
      <c r="B158" s="4370"/>
      <c r="C158" s="3240" t="s">
        <v>605</v>
      </c>
      <c r="D158" s="3237">
        <v>2809376.0448980574</v>
      </c>
      <c r="E158" s="3238">
        <v>2323642.8034904492</v>
      </c>
      <c r="F158" s="3238">
        <v>2166107.6981690624</v>
      </c>
      <c r="G158" s="3238">
        <v>2271131.1017166534</v>
      </c>
      <c r="H158" s="3239">
        <v>2336770.7289338983</v>
      </c>
      <c r="I158" s="3237">
        <v>3720463.480942368</v>
      </c>
      <c r="J158" s="3238">
        <v>2739914.9193960098</v>
      </c>
      <c r="K158" s="3238">
        <v>2616688.9808197892</v>
      </c>
      <c r="L158" s="3238">
        <v>2017654.3147471403</v>
      </c>
      <c r="M158" s="3239">
        <v>2302096.0141068469</v>
      </c>
      <c r="N158" s="577"/>
      <c r="O158" s="577"/>
      <c r="P158" s="577"/>
      <c r="Q158" s="577"/>
      <c r="R158" s="3558"/>
      <c r="S158"/>
      <c r="T158"/>
      <c r="U158"/>
      <c r="V158"/>
      <c r="W158"/>
      <c r="X158"/>
      <c r="Y158"/>
      <c r="Z158"/>
      <c r="AA158"/>
      <c r="AB158"/>
      <c r="AC158"/>
      <c r="AD158"/>
      <c r="AE158"/>
    </row>
    <row r="159" spans="1:31" s="78" customFormat="1" ht="12.75" customHeight="1">
      <c r="A159" s="299"/>
      <c r="B159" s="4370"/>
      <c r="C159" s="3236" t="s">
        <v>609</v>
      </c>
      <c r="D159" s="3237">
        <f ca="1">SUMIF($D$119:$M$154,"Total overhead expenditure",D$119:D$154)</f>
        <v>0</v>
      </c>
      <c r="E159" s="3238">
        <f ca="1">SUMIF($D$119:$M$154,"Total overhead expenditure",E$119:E$154)</f>
        <v>0</v>
      </c>
      <c r="F159" s="3238">
        <f ca="1">SUMIF($D$119:$M$154,"Total overhead expenditure",F$119:F$154)</f>
        <v>0</v>
      </c>
      <c r="G159" s="3238">
        <f ca="1">SUMIF($D$119:$M$154,"Total overhead expenditure",G$119:G$154)</f>
        <v>0</v>
      </c>
      <c r="H159" s="3239">
        <f ca="1">SUMIF($D$119:$M$154,"Total overhead expenditure",H$119:H$154)</f>
        <v>0</v>
      </c>
      <c r="I159" s="3237">
        <f>I158*0.04194</f>
        <v>156036.23839072289</v>
      </c>
      <c r="J159" s="3237">
        <f>J158*0.04194</f>
        <v>114912.03171946865</v>
      </c>
      <c r="K159" s="3237">
        <f>K158*0.04194</f>
        <v>109743.93585558195</v>
      </c>
      <c r="L159" s="3237">
        <f>L158*0.04194</f>
        <v>84620.421960495063</v>
      </c>
      <c r="M159" s="3237">
        <f>M158*0.04194</f>
        <v>96549.906831641158</v>
      </c>
      <c r="N159" s="577"/>
      <c r="O159" s="577"/>
      <c r="P159" s="577"/>
      <c r="Q159" s="577"/>
      <c r="R159" s="3558"/>
      <c r="S159"/>
      <c r="T159"/>
      <c r="U159"/>
      <c r="V159"/>
      <c r="W159"/>
      <c r="X159"/>
      <c r="Y159"/>
      <c r="Z159"/>
      <c r="AA159"/>
      <c r="AB159"/>
      <c r="AC159"/>
      <c r="AD159"/>
      <c r="AE159"/>
    </row>
    <row r="160" spans="1:31" s="78" customFormat="1" ht="12.75" customHeight="1">
      <c r="A160" s="299"/>
      <c r="B160" s="4370"/>
      <c r="C160" s="3236" t="s">
        <v>607</v>
      </c>
      <c r="D160" s="3237">
        <f t="shared" ref="D160:M160" ca="1" si="53">SUMIF($D$119:$M$154,"Related party margin expenditure",D$119:D$154)</f>
        <v>0</v>
      </c>
      <c r="E160" s="3238">
        <f t="shared" ca="1" si="53"/>
        <v>0</v>
      </c>
      <c r="F160" s="3238">
        <f t="shared" ca="1" si="53"/>
        <v>0</v>
      </c>
      <c r="G160" s="3238">
        <f t="shared" ca="1" si="53"/>
        <v>0</v>
      </c>
      <c r="H160" s="3239">
        <f t="shared" ca="1" si="53"/>
        <v>0</v>
      </c>
      <c r="I160" s="3237">
        <f t="shared" ca="1" si="53"/>
        <v>0</v>
      </c>
      <c r="J160" s="3238">
        <f t="shared" ca="1" si="53"/>
        <v>0</v>
      </c>
      <c r="K160" s="3238">
        <f t="shared" ca="1" si="53"/>
        <v>0</v>
      </c>
      <c r="L160" s="3238">
        <f t="shared" ca="1" si="53"/>
        <v>0</v>
      </c>
      <c r="M160" s="3239">
        <f t="shared" ca="1" si="53"/>
        <v>0</v>
      </c>
      <c r="N160" s="577"/>
      <c r="O160" s="577"/>
      <c r="P160" s="577"/>
      <c r="Q160" s="577"/>
      <c r="R160" s="3558"/>
      <c r="S160"/>
      <c r="T160"/>
      <c r="U160"/>
      <c r="V160"/>
      <c r="W160"/>
      <c r="X160"/>
      <c r="Y160"/>
      <c r="Z160"/>
      <c r="AA160"/>
      <c r="AB160"/>
      <c r="AC160"/>
      <c r="AD160"/>
      <c r="AE160"/>
    </row>
    <row r="161" spans="1:31" s="78" customFormat="1" ht="12.75" customHeight="1">
      <c r="A161" s="299"/>
      <c r="B161" s="4370"/>
      <c r="C161" s="3241" t="s">
        <v>610</v>
      </c>
      <c r="D161" s="3242">
        <f ca="1">SUM(D158:D160)</f>
        <v>2809376.0448980574</v>
      </c>
      <c r="E161" s="3242">
        <f t="shared" ref="E161:M161" ca="1" si="54">SUM(E158:E160)</f>
        <v>2323642.8034904492</v>
      </c>
      <c r="F161" s="3242">
        <f t="shared" ca="1" si="54"/>
        <v>2166107.6981690624</v>
      </c>
      <c r="G161" s="3242">
        <f t="shared" ca="1" si="54"/>
        <v>2271131.1017166534</v>
      </c>
      <c r="H161" s="3242">
        <f t="shared" ca="1" si="54"/>
        <v>2336770.7289338983</v>
      </c>
      <c r="I161" s="3242">
        <f t="shared" ca="1" si="54"/>
        <v>3876499.7193330908</v>
      </c>
      <c r="J161" s="3242">
        <f t="shared" ca="1" si="54"/>
        <v>2854826.9511154783</v>
      </c>
      <c r="K161" s="3242">
        <f t="shared" ca="1" si="54"/>
        <v>2726432.9166753711</v>
      </c>
      <c r="L161" s="3242">
        <f t="shared" ca="1" si="54"/>
        <v>2102274.7367076352</v>
      </c>
      <c r="M161" s="3242">
        <f t="shared" ca="1" si="54"/>
        <v>2398645.9209384881</v>
      </c>
      <c r="N161" s="577"/>
      <c r="O161" s="577"/>
      <c r="P161" s="577"/>
      <c r="Q161" s="577"/>
      <c r="R161" s="3558"/>
      <c r="S161"/>
      <c r="T161"/>
      <c r="U161"/>
      <c r="V161"/>
      <c r="W161"/>
      <c r="X161"/>
      <c r="Y161"/>
      <c r="Z161"/>
      <c r="AA161"/>
      <c r="AB161"/>
      <c r="AC161"/>
      <c r="AD161"/>
      <c r="AE161"/>
    </row>
    <row r="162" spans="1:31" s="78" customFormat="1" ht="12.75" customHeight="1">
      <c r="A162" s="299"/>
      <c r="B162" s="4370"/>
      <c r="C162" s="3236" t="s">
        <v>631</v>
      </c>
      <c r="D162" s="3237">
        <f t="shared" ref="D162:M162" ca="1" si="55">SUMIF($D$119:$M$154,"Less contributions",D$119:D$154)</f>
        <v>0</v>
      </c>
      <c r="E162" s="3237">
        <f t="shared" ca="1" si="55"/>
        <v>0</v>
      </c>
      <c r="F162" s="3237">
        <f t="shared" ca="1" si="55"/>
        <v>0</v>
      </c>
      <c r="G162" s="3237">
        <f t="shared" ca="1" si="55"/>
        <v>0</v>
      </c>
      <c r="H162" s="3237">
        <f t="shared" ca="1" si="55"/>
        <v>0</v>
      </c>
      <c r="I162" s="3237">
        <f t="shared" ca="1" si="55"/>
        <v>0</v>
      </c>
      <c r="J162" s="3237">
        <f t="shared" ca="1" si="55"/>
        <v>0</v>
      </c>
      <c r="K162" s="3237">
        <f t="shared" ca="1" si="55"/>
        <v>0</v>
      </c>
      <c r="L162" s="3237">
        <f t="shared" ca="1" si="55"/>
        <v>0</v>
      </c>
      <c r="M162" s="3237">
        <f t="shared" ca="1" si="55"/>
        <v>0</v>
      </c>
      <c r="N162" s="577"/>
      <c r="O162" s="577"/>
      <c r="P162" s="577"/>
      <c r="Q162" s="577"/>
      <c r="R162" s="3558"/>
      <c r="S162"/>
      <c r="T162"/>
      <c r="U162"/>
      <c r="V162"/>
      <c r="W162"/>
      <c r="X162"/>
      <c r="Y162"/>
      <c r="Z162"/>
      <c r="AA162"/>
      <c r="AB162"/>
      <c r="AC162"/>
      <c r="AD162"/>
      <c r="AE162"/>
    </row>
    <row r="163" spans="1:31" s="78" customFormat="1" ht="15" customHeight="1" thickBot="1">
      <c r="A163" s="299"/>
      <c r="B163" s="4371"/>
      <c r="C163" s="3243" t="s">
        <v>611</v>
      </c>
      <c r="D163" s="3244">
        <f ca="1">D161-D162</f>
        <v>2809376.0448980574</v>
      </c>
      <c r="E163" s="3244">
        <f t="shared" ref="E163:M163" ca="1" si="56">E161-E162</f>
        <v>2323642.8034904492</v>
      </c>
      <c r="F163" s="3244">
        <f t="shared" ca="1" si="56"/>
        <v>2166107.6981690624</v>
      </c>
      <c r="G163" s="3244">
        <f t="shared" ca="1" si="56"/>
        <v>2271131.1017166534</v>
      </c>
      <c r="H163" s="3244">
        <f t="shared" ca="1" si="56"/>
        <v>2336770.7289338983</v>
      </c>
      <c r="I163" s="3244">
        <f t="shared" ca="1" si="56"/>
        <v>3876499.7193330908</v>
      </c>
      <c r="J163" s="3244">
        <f t="shared" ca="1" si="56"/>
        <v>2854826.9511154783</v>
      </c>
      <c r="K163" s="3244">
        <f t="shared" ca="1" si="56"/>
        <v>2726432.9166753711</v>
      </c>
      <c r="L163" s="3244">
        <f t="shared" ca="1" si="56"/>
        <v>2102274.7367076352</v>
      </c>
      <c r="M163" s="3244">
        <f t="shared" ca="1" si="56"/>
        <v>2398645.9209384881</v>
      </c>
      <c r="N163" s="3562"/>
      <c r="O163" s="4013"/>
      <c r="P163" s="3562"/>
      <c r="Q163" s="3562"/>
      <c r="R163" s="3558"/>
      <c r="S163"/>
      <c r="T163"/>
      <c r="U163"/>
      <c r="V163"/>
      <c r="W163"/>
      <c r="X163"/>
      <c r="Y163"/>
      <c r="Z163"/>
      <c r="AA163"/>
      <c r="AB163"/>
      <c r="AC163"/>
      <c r="AD163"/>
      <c r="AE163"/>
    </row>
    <row r="164" spans="1:31" s="69" customFormat="1" ht="45" customHeight="1" thickBot="1">
      <c r="A164" s="348"/>
      <c r="B164" s="4341" t="s">
        <v>127</v>
      </c>
      <c r="C164" s="4342"/>
      <c r="D164" s="3223"/>
      <c r="E164" s="3224"/>
      <c r="F164" s="3224"/>
      <c r="G164" s="3224"/>
      <c r="H164" s="3224"/>
      <c r="I164" s="3224"/>
      <c r="J164" s="3224"/>
      <c r="K164" s="3224"/>
      <c r="L164" s="3224"/>
      <c r="M164" s="3552"/>
      <c r="N164" s="2274"/>
      <c r="O164" s="4014"/>
      <c r="P164" s="2274"/>
      <c r="Q164" s="2274"/>
      <c r="R164" s="2274"/>
      <c r="S164"/>
      <c r="T164"/>
      <c r="U164"/>
      <c r="V164"/>
      <c r="W164"/>
      <c r="X164"/>
      <c r="Y164"/>
      <c r="Z164"/>
      <c r="AA164"/>
      <c r="AB164"/>
      <c r="AC164"/>
      <c r="AD164"/>
      <c r="AE164"/>
    </row>
    <row r="165" spans="1:31" s="78" customFormat="1" ht="43.5" customHeight="1" thickBot="1">
      <c r="A165" s="299"/>
      <c r="B165" s="3556"/>
      <c r="C165" s="3556"/>
      <c r="D165" s="3554"/>
      <c r="E165" s="3554"/>
      <c r="F165" s="3554"/>
      <c r="G165" s="3554"/>
      <c r="H165" s="3554"/>
      <c r="I165" s="3563"/>
      <c r="J165" s="3563"/>
      <c r="K165" s="3999" t="s">
        <v>1713</v>
      </c>
      <c r="L165" s="3995" t="s">
        <v>1712</v>
      </c>
      <c r="M165" s="3563"/>
      <c r="N165" s="3557"/>
      <c r="O165" s="3558"/>
      <c r="P165" s="3558"/>
      <c r="Q165" s="3558"/>
      <c r="R165" s="3558"/>
      <c r="S165"/>
      <c r="T165"/>
      <c r="U165"/>
      <c r="V165" s="225"/>
      <c r="W165" s="225"/>
      <c r="X165" s="225"/>
      <c r="Y165" s="225"/>
      <c r="Z165" s="225"/>
      <c r="AA165" s="144"/>
      <c r="AB165" s="144"/>
      <c r="AC165" s="144"/>
    </row>
    <row r="166" spans="1:31" s="223" customFormat="1" ht="24.75" customHeight="1" thickBot="1">
      <c r="A166" s="299"/>
      <c r="B166" s="3546" t="s">
        <v>638</v>
      </c>
      <c r="C166" s="3546"/>
      <c r="D166" s="3547"/>
      <c r="E166" s="3547"/>
      <c r="F166" s="3547"/>
      <c r="G166" s="3547"/>
      <c r="H166" s="3547"/>
      <c r="I166" s="3547"/>
      <c r="J166" s="3547"/>
      <c r="K166" s="3547"/>
      <c r="L166" s="3547"/>
      <c r="M166" s="3547"/>
      <c r="N166" s="3547"/>
      <c r="O166" s="3547"/>
      <c r="P166" s="3547"/>
      <c r="Q166" s="3547"/>
      <c r="R166" s="3548"/>
      <c r="S166" s="1266"/>
      <c r="T166" s="1266"/>
      <c r="U166" s="1266"/>
      <c r="V166" s="1372"/>
      <c r="W166" s="1373"/>
      <c r="X166" s="1373"/>
      <c r="Y166" s="1373"/>
      <c r="Z166" s="1373"/>
      <c r="AA166" s="1373"/>
      <c r="AB166" s="1373"/>
      <c r="AC166" s="1374"/>
    </row>
    <row r="167" spans="1:31" ht="15.75" customHeight="1">
      <c r="A167" s="299"/>
      <c r="B167" s="4301" t="s">
        <v>1555</v>
      </c>
      <c r="C167" s="4302"/>
      <c r="D167" s="4392" t="s">
        <v>36</v>
      </c>
      <c r="E167" s="4393"/>
      <c r="F167" s="4393"/>
      <c r="G167" s="4393"/>
      <c r="H167" s="4393"/>
      <c r="I167" s="4381" t="s">
        <v>37</v>
      </c>
      <c r="J167" s="4382"/>
      <c r="K167" s="4382"/>
      <c r="L167" s="4382"/>
      <c r="M167" s="4382"/>
      <c r="N167" s="4383" t="s">
        <v>75</v>
      </c>
      <c r="O167" s="4383"/>
      <c r="P167" s="4383"/>
      <c r="Q167" s="4383"/>
      <c r="R167" s="4384"/>
      <c r="V167" s="4436" t="s">
        <v>36</v>
      </c>
      <c r="W167" s="4437"/>
      <c r="X167" s="4437"/>
      <c r="Y167" s="4437"/>
      <c r="Z167" s="4437"/>
      <c r="AA167" s="4438" t="s">
        <v>37</v>
      </c>
      <c r="AB167" s="4439"/>
      <c r="AC167" s="4440"/>
    </row>
    <row r="168" spans="1:31" ht="15.75" customHeight="1">
      <c r="A168" s="299"/>
      <c r="B168" s="4303"/>
      <c r="C168" s="4304"/>
      <c r="D168" s="4385" t="s">
        <v>569</v>
      </c>
      <c r="E168" s="4386"/>
      <c r="F168" s="4386"/>
      <c r="G168" s="4386"/>
      <c r="H168" s="4386"/>
      <c r="I168" s="4386"/>
      <c r="J168" s="4386"/>
      <c r="K168" s="4391"/>
      <c r="L168" s="4388" t="str">
        <f>CONCATENATE("$0's, real ",dms_DollarReal)</f>
        <v>$0's, real December 2017</v>
      </c>
      <c r="M168" s="4389"/>
      <c r="N168" s="4389"/>
      <c r="O168" s="4389"/>
      <c r="P168" s="4389"/>
      <c r="Q168" s="4389"/>
      <c r="R168" s="4390"/>
      <c r="V168" s="4125" t="str">
        <f>CONCATENATE("$0's, real ",dms_DollarReal)</f>
        <v>$0's, real December 2017</v>
      </c>
      <c r="W168" s="4126"/>
      <c r="X168" s="4126"/>
      <c r="Y168" s="4126"/>
      <c r="Z168" s="4126"/>
      <c r="AA168" s="4126"/>
      <c r="AB168" s="4126"/>
      <c r="AC168" s="4169"/>
    </row>
    <row r="169" spans="1:31" ht="15" customHeight="1">
      <c r="A169" s="299"/>
      <c r="B169" s="4303"/>
      <c r="C169" s="4304"/>
      <c r="D169" s="4385" t="s">
        <v>56</v>
      </c>
      <c r="E169" s="4386"/>
      <c r="F169" s="4386"/>
      <c r="G169" s="4386"/>
      <c r="H169" s="4386"/>
      <c r="I169" s="4386"/>
      <c r="J169" s="4386"/>
      <c r="K169" s="4391"/>
      <c r="L169" s="4388" t="s">
        <v>57</v>
      </c>
      <c r="M169" s="4389"/>
      <c r="N169" s="4389"/>
      <c r="O169" s="4389"/>
      <c r="P169" s="4389"/>
      <c r="Q169" s="4389"/>
      <c r="R169" s="4390"/>
      <c r="V169" s="4125" t="s">
        <v>56</v>
      </c>
      <c r="W169" s="4126"/>
      <c r="X169" s="4126"/>
      <c r="Y169" s="4126"/>
      <c r="Z169" s="4126"/>
      <c r="AA169" s="4126"/>
      <c r="AB169" s="4126"/>
      <c r="AC169" s="4169"/>
    </row>
    <row r="170" spans="1:31" ht="15.75" customHeight="1" thickBot="1">
      <c r="A170" s="299"/>
      <c r="B170" s="4305"/>
      <c r="C170" s="4306"/>
      <c r="D170" s="1313">
        <f t="array" ref="D170:H170">PRCP</f>
        <v>2008</v>
      </c>
      <c r="E170" s="1314">
        <v>2009</v>
      </c>
      <c r="F170" s="1314">
        <v>2010</v>
      </c>
      <c r="G170" s="1314">
        <v>2011</v>
      </c>
      <c r="H170" s="1314">
        <v>2012</v>
      </c>
      <c r="I170" s="379">
        <f>CRCP_y1</f>
        <v>2013</v>
      </c>
      <c r="J170" s="379">
        <f>CRCP_y2</f>
        <v>2014</v>
      </c>
      <c r="K170" s="379">
        <f>CRCP_y3</f>
        <v>2015</v>
      </c>
      <c r="L170" s="379">
        <f>CRCP_y4</f>
        <v>2016</v>
      </c>
      <c r="M170" s="379">
        <f>CRCP_y5</f>
        <v>2017</v>
      </c>
      <c r="N170" s="379" t="str">
        <f t="array" ref="N170:R170">FRCP</f>
        <v>2018</v>
      </c>
      <c r="O170" s="379">
        <v>2019</v>
      </c>
      <c r="P170" s="379">
        <v>2020</v>
      </c>
      <c r="Q170" s="379">
        <v>2021</v>
      </c>
      <c r="R170" s="3200">
        <v>2022</v>
      </c>
      <c r="V170" s="1521">
        <f t="array" ref="V170:Z170">PRCP</f>
        <v>2008</v>
      </c>
      <c r="W170" s="374">
        <v>2009</v>
      </c>
      <c r="X170" s="374">
        <v>2010</v>
      </c>
      <c r="Y170" s="374">
        <v>2011</v>
      </c>
      <c r="Z170" s="374">
        <v>2012</v>
      </c>
      <c r="AA170" s="376">
        <f>CRCP_y1</f>
        <v>2013</v>
      </c>
      <c r="AB170" s="376">
        <f>CRCP_y2</f>
        <v>2014</v>
      </c>
      <c r="AC170" s="568">
        <f>CRCP_y3</f>
        <v>2015</v>
      </c>
    </row>
    <row r="171" spans="1:31" s="501" customFormat="1" ht="20.25" customHeight="1" thickBot="1">
      <c r="A171" s="299"/>
      <c r="B171" s="3207" t="s">
        <v>460</v>
      </c>
      <c r="C171" s="3208"/>
      <c r="D171" s="3209"/>
      <c r="E171" s="3209"/>
      <c r="F171" s="3209"/>
      <c r="G171" s="3209"/>
      <c r="H171" s="3209"/>
      <c r="I171" s="3209"/>
      <c r="J171" s="3209"/>
      <c r="K171" s="3209"/>
      <c r="L171" s="3209"/>
      <c r="M171" s="3209"/>
      <c r="N171" s="3209"/>
      <c r="O171" s="3209"/>
      <c r="P171" s="3209"/>
      <c r="Q171" s="3209"/>
      <c r="R171" s="3210"/>
      <c r="S171" s="1266"/>
      <c r="T171" s="1266"/>
      <c r="U171" s="1266"/>
      <c r="V171" s="1367"/>
      <c r="W171" s="1368"/>
      <c r="X171" s="1368"/>
      <c r="Y171" s="1368"/>
      <c r="Z171" s="1368"/>
      <c r="AA171" s="1368"/>
      <c r="AB171" s="1368"/>
      <c r="AC171" s="1369"/>
    </row>
    <row r="172" spans="1:31" outlineLevel="2">
      <c r="A172" s="299"/>
      <c r="B172" s="4307" t="s">
        <v>1563</v>
      </c>
      <c r="C172" s="3245" t="s">
        <v>94</v>
      </c>
      <c r="D172" s="443">
        <f>D25</f>
        <v>0</v>
      </c>
      <c r="E172" s="519">
        <f>E25</f>
        <v>14471</v>
      </c>
      <c r="F172" s="519">
        <f>F25</f>
        <v>20030</v>
      </c>
      <c r="G172" s="519">
        <f>G25</f>
        <v>19280</v>
      </c>
      <c r="H172" s="1301">
        <f>H25</f>
        <v>12095</v>
      </c>
      <c r="I172" s="443">
        <v>17754</v>
      </c>
      <c r="J172" s="519">
        <v>21485</v>
      </c>
      <c r="K172" s="519">
        <v>20863</v>
      </c>
      <c r="L172" s="3998">
        <v>17869</v>
      </c>
      <c r="M172" s="531">
        <f t="shared" ref="M172:R172" si="57">M25</f>
        <v>2782</v>
      </c>
      <c r="N172" s="443">
        <f t="shared" si="57"/>
        <v>27614</v>
      </c>
      <c r="O172" s="519">
        <f t="shared" si="57"/>
        <v>2692</v>
      </c>
      <c r="P172" s="519">
        <f t="shared" si="57"/>
        <v>16671</v>
      </c>
      <c r="Q172" s="519">
        <f t="shared" si="57"/>
        <v>7550</v>
      </c>
      <c r="R172" s="531">
        <f t="shared" si="57"/>
        <v>6447</v>
      </c>
      <c r="V172" s="1825"/>
      <c r="W172" s="1826"/>
      <c r="X172" s="1826"/>
      <c r="Y172" s="1826"/>
      <c r="Z172" s="1828"/>
      <c r="AA172" s="1825"/>
      <c r="AB172" s="1826"/>
      <c r="AC172" s="1827"/>
    </row>
    <row r="173" spans="1:31" outlineLevel="2">
      <c r="A173" s="299"/>
      <c r="B173" s="4307"/>
      <c r="C173" s="3246" t="s">
        <v>605</v>
      </c>
      <c r="D173" s="499">
        <v>1602496.9170000001</v>
      </c>
      <c r="E173" s="494">
        <v>1846769.9849999999</v>
      </c>
      <c r="F173" s="494">
        <v>2345677.1100000003</v>
      </c>
      <c r="G173" s="494">
        <v>1336356.2069999997</v>
      </c>
      <c r="H173" s="652">
        <v>1347502.5449999999</v>
      </c>
      <c r="I173" s="499">
        <v>1559541.4059638383</v>
      </c>
      <c r="J173" s="494">
        <v>1767241.89</v>
      </c>
      <c r="K173" s="4001">
        <v>2047886</v>
      </c>
      <c r="L173" s="4009">
        <v>1367386.65</v>
      </c>
      <c r="M173" s="507">
        <v>254913.81</v>
      </c>
      <c r="N173" s="499">
        <v>2505981.5928830998</v>
      </c>
      <c r="O173" s="494">
        <v>248153.43278040003</v>
      </c>
      <c r="P173" s="494">
        <v>1517028.6603807998</v>
      </c>
      <c r="Q173" s="494">
        <v>691837.99150200002</v>
      </c>
      <c r="R173" s="507">
        <v>592351.18027599994</v>
      </c>
      <c r="V173" s="489"/>
      <c r="W173" s="490"/>
      <c r="X173" s="490"/>
      <c r="Y173" s="490"/>
      <c r="Z173" s="1292"/>
      <c r="AA173" s="489"/>
      <c r="AB173" s="490"/>
      <c r="AC173" s="491"/>
    </row>
    <row r="174" spans="1:31" ht="25.5" outlineLevel="2">
      <c r="A174" s="299"/>
      <c r="B174" s="4307"/>
      <c r="C174" s="3641" t="s">
        <v>609</v>
      </c>
      <c r="D174" s="486">
        <v>177095.34662264152</v>
      </c>
      <c r="E174" s="485">
        <v>78795.519360000006</v>
      </c>
      <c r="F174" s="485">
        <v>261339.02584239133</v>
      </c>
      <c r="G174" s="485">
        <v>147206.19147676413</v>
      </c>
      <c r="H174" s="650">
        <v>145035.57024378391</v>
      </c>
      <c r="I174" s="3201">
        <v>173990.28614266848</v>
      </c>
      <c r="J174" s="3202">
        <v>80806.709999999992</v>
      </c>
      <c r="K174" s="4010">
        <v>94797.28</v>
      </c>
      <c r="L174" s="4003">
        <v>81061.350000000006</v>
      </c>
      <c r="M174" s="3216">
        <v>15294.828599999999</v>
      </c>
      <c r="N174" s="499">
        <f>N173*0.06</f>
        <v>150358.89557298599</v>
      </c>
      <c r="O174" s="494">
        <f>O173*0.06</f>
        <v>14889.205966824002</v>
      </c>
      <c r="P174" s="494">
        <f>P173*0.06</f>
        <v>91021.719622847988</v>
      </c>
      <c r="Q174" s="494">
        <f>Q173*0.06</f>
        <v>41510.279490120003</v>
      </c>
      <c r="R174" s="507">
        <f>R173*0.06</f>
        <v>35541.070816559994</v>
      </c>
      <c r="V174" s="489"/>
      <c r="W174" s="490"/>
      <c r="X174" s="490"/>
      <c r="Y174" s="490"/>
      <c r="Z174" s="1292"/>
      <c r="AA174" s="536"/>
      <c r="AB174" s="537"/>
      <c r="AC174" s="573"/>
    </row>
    <row r="175" spans="1:31" ht="25.5" outlineLevel="2">
      <c r="A175" s="299"/>
      <c r="B175" s="4307"/>
      <c r="C175" s="3641" t="s">
        <v>607</v>
      </c>
      <c r="D175" s="486"/>
      <c r="E175" s="485"/>
      <c r="F175" s="485"/>
      <c r="G175" s="485"/>
      <c r="H175" s="650"/>
      <c r="I175" s="486"/>
      <c r="J175" s="485"/>
      <c r="K175" s="485"/>
      <c r="L175" s="3996"/>
      <c r="M175" s="487"/>
      <c r="N175" s="486"/>
      <c r="O175" s="485"/>
      <c r="P175" s="485"/>
      <c r="Q175" s="485"/>
      <c r="R175" s="487"/>
      <c r="V175" s="489"/>
      <c r="W175" s="490"/>
      <c r="X175" s="490"/>
      <c r="Y175" s="490"/>
      <c r="Z175" s="1292"/>
      <c r="AA175" s="489"/>
      <c r="AB175" s="490"/>
      <c r="AC175" s="491"/>
    </row>
    <row r="176" spans="1:31" outlineLevel="2">
      <c r="A176" s="299"/>
      <c r="B176" s="4307"/>
      <c r="C176" s="3247" t="s">
        <v>610</v>
      </c>
      <c r="D176" s="3204">
        <f>D173+D174+D175</f>
        <v>1779592.2636226416</v>
      </c>
      <c r="E176" s="3205">
        <f t="shared" ref="E176:R176" si="58">E173+E174+E175</f>
        <v>1925565.5043599999</v>
      </c>
      <c r="F176" s="3205">
        <f t="shared" si="58"/>
        <v>2607016.1358423918</v>
      </c>
      <c r="G176" s="3205">
        <f t="shared" si="58"/>
        <v>1483562.3984767639</v>
      </c>
      <c r="H176" s="3214">
        <f t="shared" si="58"/>
        <v>1492538.1152437839</v>
      </c>
      <c r="I176" s="3204">
        <f t="shared" si="58"/>
        <v>1733531.6921065068</v>
      </c>
      <c r="J176" s="3205">
        <f t="shared" si="58"/>
        <v>1848048.5999999999</v>
      </c>
      <c r="K176" s="3205">
        <f t="shared" si="58"/>
        <v>2142683.2799999998</v>
      </c>
      <c r="L176" s="4006">
        <f t="shared" si="58"/>
        <v>1448448</v>
      </c>
      <c r="M176" s="3206">
        <f t="shared" si="58"/>
        <v>270208.63860000001</v>
      </c>
      <c r="N176" s="3204">
        <f t="shared" si="58"/>
        <v>2656340.4884560858</v>
      </c>
      <c r="O176" s="3205">
        <f t="shared" si="58"/>
        <v>263042.63874722406</v>
      </c>
      <c r="P176" s="3205">
        <f t="shared" si="58"/>
        <v>1608050.3800036479</v>
      </c>
      <c r="Q176" s="3205">
        <f t="shared" si="58"/>
        <v>733348.27099212003</v>
      </c>
      <c r="R176" s="3206">
        <f t="shared" si="58"/>
        <v>627892.25109255989</v>
      </c>
      <c r="V176" s="583">
        <f>V173+V174+V175</f>
        <v>0</v>
      </c>
      <c r="W176" s="580">
        <f t="shared" ref="W176:AC176" si="59">W173+W174+W175</f>
        <v>0</v>
      </c>
      <c r="X176" s="580">
        <f t="shared" si="59"/>
        <v>0</v>
      </c>
      <c r="Y176" s="580">
        <f t="shared" si="59"/>
        <v>0</v>
      </c>
      <c r="Z176" s="1293">
        <f t="shared" si="59"/>
        <v>0</v>
      </c>
      <c r="AA176" s="583">
        <f t="shared" si="59"/>
        <v>0</v>
      </c>
      <c r="AB176" s="580">
        <f t="shared" si="59"/>
        <v>0</v>
      </c>
      <c r="AC176" s="584">
        <f t="shared" si="59"/>
        <v>0</v>
      </c>
    </row>
    <row r="177" spans="1:29" outlineLevel="2">
      <c r="A177" s="299"/>
      <c r="B177" s="4307"/>
      <c r="C177" s="3641" t="s">
        <v>631</v>
      </c>
      <c r="D177" s="486"/>
      <c r="E177" s="485"/>
      <c r="F177" s="485"/>
      <c r="G177" s="485"/>
      <c r="H177" s="650"/>
      <c r="I177" s="486"/>
      <c r="J177" s="485"/>
      <c r="K177" s="485"/>
      <c r="L177" s="3996"/>
      <c r="M177" s="487"/>
      <c r="N177" s="486"/>
      <c r="O177" s="485"/>
      <c r="P177" s="485"/>
      <c r="Q177" s="485"/>
      <c r="R177" s="487"/>
      <c r="V177" s="489"/>
      <c r="W177" s="490"/>
      <c r="X177" s="490"/>
      <c r="Y177" s="490"/>
      <c r="Z177" s="1292"/>
      <c r="AA177" s="489"/>
      <c r="AB177" s="490"/>
      <c r="AC177" s="491"/>
    </row>
    <row r="178" spans="1:29" outlineLevel="2">
      <c r="A178" s="299"/>
      <c r="B178" s="4307"/>
      <c r="C178" s="3247" t="s">
        <v>611</v>
      </c>
      <c r="D178" s="3204">
        <f>D176-D177</f>
        <v>1779592.2636226416</v>
      </c>
      <c r="E178" s="3205">
        <f t="shared" ref="E178:R178" si="60">E176-E177</f>
        <v>1925565.5043599999</v>
      </c>
      <c r="F178" s="3205">
        <f t="shared" si="60"/>
        <v>2607016.1358423918</v>
      </c>
      <c r="G178" s="3205">
        <f t="shared" si="60"/>
        <v>1483562.3984767639</v>
      </c>
      <c r="H178" s="3214">
        <f t="shared" si="60"/>
        <v>1492538.1152437839</v>
      </c>
      <c r="I178" s="3204">
        <f t="shared" si="60"/>
        <v>1733531.6921065068</v>
      </c>
      <c r="J178" s="3205">
        <f t="shared" si="60"/>
        <v>1848048.5999999999</v>
      </c>
      <c r="K178" s="3205">
        <f t="shared" si="60"/>
        <v>2142683.2799999998</v>
      </c>
      <c r="L178" s="4006">
        <f t="shared" si="60"/>
        <v>1448448</v>
      </c>
      <c r="M178" s="3206">
        <f t="shared" si="60"/>
        <v>270208.63860000001</v>
      </c>
      <c r="N178" s="3204">
        <f t="shared" si="60"/>
        <v>2656340.4884560858</v>
      </c>
      <c r="O178" s="3205">
        <f t="shared" si="60"/>
        <v>263042.63874722406</v>
      </c>
      <c r="P178" s="3205">
        <f t="shared" si="60"/>
        <v>1608050.3800036479</v>
      </c>
      <c r="Q178" s="3205">
        <f t="shared" si="60"/>
        <v>733348.27099212003</v>
      </c>
      <c r="R178" s="3206">
        <f t="shared" si="60"/>
        <v>627892.25109255989</v>
      </c>
      <c r="V178" s="583">
        <f>V176-V177</f>
        <v>0</v>
      </c>
      <c r="W178" s="580">
        <f t="shared" ref="W178:AC178" si="61">W176-W177</f>
        <v>0</v>
      </c>
      <c r="X178" s="580">
        <f t="shared" si="61"/>
        <v>0</v>
      </c>
      <c r="Y178" s="580">
        <f t="shared" si="61"/>
        <v>0</v>
      </c>
      <c r="Z178" s="1293">
        <f t="shared" si="61"/>
        <v>0</v>
      </c>
      <c r="AA178" s="583">
        <f t="shared" si="61"/>
        <v>0</v>
      </c>
      <c r="AB178" s="580">
        <f t="shared" si="61"/>
        <v>0</v>
      </c>
      <c r="AC178" s="584">
        <f t="shared" si="61"/>
        <v>0</v>
      </c>
    </row>
    <row r="179" spans="1:29" ht="13.5" outlineLevel="2" thickBot="1">
      <c r="A179" s="299"/>
      <c r="B179" s="4308"/>
      <c r="C179" s="3248" t="s">
        <v>97</v>
      </c>
      <c r="D179" s="1607" t="e">
        <f t="shared" ref="D179:R179" si="62">D173/D172</f>
        <v>#DIV/0!</v>
      </c>
      <c r="E179" s="534">
        <f t="shared" si="62"/>
        <v>127.6186846106005</v>
      </c>
      <c r="F179" s="534">
        <f t="shared" si="62"/>
        <v>117.10819321018474</v>
      </c>
      <c r="G179" s="534">
        <f t="shared" si="62"/>
        <v>69.313081275933598</v>
      </c>
      <c r="H179" s="1299">
        <f t="shared" si="62"/>
        <v>111.40988383629599</v>
      </c>
      <c r="I179" s="1607">
        <f t="shared" si="62"/>
        <v>87.841692348982676</v>
      </c>
      <c r="J179" s="534">
        <f t="shared" si="62"/>
        <v>82.254684198277857</v>
      </c>
      <c r="K179" s="534">
        <f t="shared" si="62"/>
        <v>98.158749940085315</v>
      </c>
      <c r="L179" s="4011">
        <f t="shared" si="62"/>
        <v>76.522841233421005</v>
      </c>
      <c r="M179" s="535">
        <f t="shared" si="62"/>
        <v>91.629694464414086</v>
      </c>
      <c r="N179" s="1607">
        <f t="shared" si="62"/>
        <v>90.750401712287243</v>
      </c>
      <c r="O179" s="534">
        <f t="shared" si="62"/>
        <v>92.18181009673107</v>
      </c>
      <c r="P179" s="534">
        <f t="shared" si="62"/>
        <v>90.998060127214913</v>
      </c>
      <c r="Q179" s="534">
        <f t="shared" si="62"/>
        <v>91.634171059867555</v>
      </c>
      <c r="R179" s="535">
        <f t="shared" si="62"/>
        <v>91.88012723375212</v>
      </c>
      <c r="V179" s="1607" t="e">
        <f t="shared" ref="V179:AC179" si="63">V173/V172</f>
        <v>#DIV/0!</v>
      </c>
      <c r="W179" s="534" t="e">
        <f t="shared" si="63"/>
        <v>#DIV/0!</v>
      </c>
      <c r="X179" s="534" t="e">
        <f t="shared" si="63"/>
        <v>#DIV/0!</v>
      </c>
      <c r="Y179" s="534" t="e">
        <f t="shared" si="63"/>
        <v>#DIV/0!</v>
      </c>
      <c r="Z179" s="1299" t="e">
        <f t="shared" si="63"/>
        <v>#DIV/0!</v>
      </c>
      <c r="AA179" s="1607" t="e">
        <f t="shared" si="63"/>
        <v>#DIV/0!</v>
      </c>
      <c r="AB179" s="534" t="e">
        <f t="shared" si="63"/>
        <v>#DIV/0!</v>
      </c>
      <c r="AC179" s="535" t="e">
        <f t="shared" si="63"/>
        <v>#DIV/0!</v>
      </c>
    </row>
    <row r="180" spans="1:29" s="501" customFormat="1" outlineLevel="2">
      <c r="A180" s="299"/>
      <c r="B180" s="4307" t="s">
        <v>1564</v>
      </c>
      <c r="C180" s="3245" t="s">
        <v>94</v>
      </c>
      <c r="D180" s="443">
        <f>D28</f>
        <v>834</v>
      </c>
      <c r="E180" s="519">
        <f>E28</f>
        <v>0</v>
      </c>
      <c r="F180" s="519">
        <f>F28</f>
        <v>0</v>
      </c>
      <c r="G180" s="519">
        <f>G28</f>
        <v>1592</v>
      </c>
      <c r="H180" s="1301">
        <f>H28</f>
        <v>200</v>
      </c>
      <c r="I180" s="443">
        <v>234</v>
      </c>
      <c r="J180" s="519">
        <v>933</v>
      </c>
      <c r="K180" s="519">
        <v>1125</v>
      </c>
      <c r="L180" s="3998">
        <v>970</v>
      </c>
      <c r="M180" s="531">
        <f t="shared" ref="M180:R180" si="64">M28</f>
        <v>97</v>
      </c>
      <c r="N180" s="443">
        <f t="shared" si="64"/>
        <v>192</v>
      </c>
      <c r="O180" s="519">
        <f t="shared" si="64"/>
        <v>211</v>
      </c>
      <c r="P180" s="519">
        <f t="shared" si="64"/>
        <v>203</v>
      </c>
      <c r="Q180" s="519">
        <f t="shared" si="64"/>
        <v>137</v>
      </c>
      <c r="R180" s="531">
        <f t="shared" si="64"/>
        <v>258</v>
      </c>
      <c r="S180" s="3109">
        <f>SUM(I180:L180)</f>
        <v>3262</v>
      </c>
      <c r="T180" s="1266"/>
      <c r="U180" s="1266"/>
      <c r="V180" s="1825"/>
      <c r="W180" s="1826"/>
      <c r="X180" s="1826"/>
      <c r="Y180" s="1826"/>
      <c r="Z180" s="1828"/>
      <c r="AA180" s="1825"/>
      <c r="AB180" s="1826"/>
      <c r="AC180" s="1827"/>
    </row>
    <row r="181" spans="1:29" s="501" customFormat="1" outlineLevel="2">
      <c r="A181" s="299"/>
      <c r="B181" s="4307"/>
      <c r="C181" s="3246" t="s">
        <v>605</v>
      </c>
      <c r="D181" s="499">
        <v>0</v>
      </c>
      <c r="E181" s="494">
        <v>0</v>
      </c>
      <c r="F181" s="494">
        <v>0</v>
      </c>
      <c r="G181" s="494">
        <v>425815.12874516472</v>
      </c>
      <c r="H181" s="652">
        <v>377936.216863407</v>
      </c>
      <c r="I181" s="499">
        <v>596704.2035361724</v>
      </c>
      <c r="J181" s="494">
        <v>1044491.6299999999</v>
      </c>
      <c r="K181" s="4001">
        <v>1310805</v>
      </c>
      <c r="L181" s="4009">
        <v>1122992.75</v>
      </c>
      <c r="M181" s="507">
        <v>139378.27248956295</v>
      </c>
      <c r="N181" s="499">
        <v>350702.83957219095</v>
      </c>
      <c r="O181" s="494">
        <v>330964.56333101419</v>
      </c>
      <c r="P181" s="494">
        <v>364444.97594150167</v>
      </c>
      <c r="Q181" s="494">
        <v>196581.76614264326</v>
      </c>
      <c r="R181" s="507">
        <v>303560.7592319668</v>
      </c>
      <c r="S181" s="1266"/>
      <c r="T181" s="1266"/>
      <c r="U181" s="1266"/>
      <c r="V181" s="489"/>
      <c r="W181" s="490"/>
      <c r="X181" s="490"/>
      <c r="Y181" s="490"/>
      <c r="Z181" s="1292"/>
      <c r="AA181" s="489"/>
      <c r="AB181" s="490"/>
      <c r="AC181" s="491"/>
    </row>
    <row r="182" spans="1:29" s="501" customFormat="1" ht="25.5" outlineLevel="2">
      <c r="A182" s="299"/>
      <c r="B182" s="4307"/>
      <c r="C182" s="3641" t="s">
        <v>609</v>
      </c>
      <c r="D182" s="486">
        <v>0</v>
      </c>
      <c r="E182" s="485">
        <v>0</v>
      </c>
      <c r="F182" s="485">
        <v>0</v>
      </c>
      <c r="G182" s="485">
        <v>47057.736599869953</v>
      </c>
      <c r="H182" s="650">
        <v>16125.278586172033</v>
      </c>
      <c r="I182" s="3201">
        <v>61987.093857331492</v>
      </c>
      <c r="J182" s="3202">
        <v>43325.159999999996</v>
      </c>
      <c r="K182" s="4010">
        <v>60997.279999999999</v>
      </c>
      <c r="L182" s="4003">
        <v>63632.25</v>
      </c>
      <c r="M182" s="3216">
        <f t="shared" ref="M182:R182" si="65">M181*0.06</f>
        <v>8362.6963493737767</v>
      </c>
      <c r="N182" s="499">
        <f t="shared" si="65"/>
        <v>21042.170374331457</v>
      </c>
      <c r="O182" s="494">
        <f t="shared" si="65"/>
        <v>19857.873799860852</v>
      </c>
      <c r="P182" s="494">
        <f t="shared" si="65"/>
        <v>21866.698556490101</v>
      </c>
      <c r="Q182" s="494">
        <f t="shared" si="65"/>
        <v>11794.905968558594</v>
      </c>
      <c r="R182" s="507">
        <f t="shared" si="65"/>
        <v>18213.645553918006</v>
      </c>
      <c r="S182" s="1266"/>
      <c r="T182" s="1266"/>
      <c r="U182" s="1266"/>
      <c r="V182" s="489"/>
      <c r="W182" s="490"/>
      <c r="X182" s="490"/>
      <c r="Y182" s="490"/>
      <c r="Z182" s="1292"/>
      <c r="AA182" s="536"/>
      <c r="AB182" s="537"/>
      <c r="AC182" s="573"/>
    </row>
    <row r="183" spans="1:29" s="501" customFormat="1" ht="25.5" outlineLevel="2">
      <c r="A183" s="299"/>
      <c r="B183" s="4307"/>
      <c r="C183" s="3641" t="s">
        <v>607</v>
      </c>
      <c r="D183" s="486"/>
      <c r="E183" s="485"/>
      <c r="F183" s="485"/>
      <c r="G183" s="485"/>
      <c r="H183" s="650"/>
      <c r="I183" s="486"/>
      <c r="J183" s="485"/>
      <c r="K183" s="485"/>
      <c r="L183" s="3996"/>
      <c r="M183" s="487"/>
      <c r="N183" s="486"/>
      <c r="O183" s="485"/>
      <c r="P183" s="485"/>
      <c r="Q183" s="485"/>
      <c r="R183" s="487"/>
      <c r="S183" s="1266"/>
      <c r="T183" s="1266"/>
      <c r="U183" s="1266"/>
      <c r="V183" s="489"/>
      <c r="W183" s="490"/>
      <c r="X183" s="490"/>
      <c r="Y183" s="490"/>
      <c r="Z183" s="1292"/>
      <c r="AA183" s="489"/>
      <c r="AB183" s="490"/>
      <c r="AC183" s="491"/>
    </row>
    <row r="184" spans="1:29" s="501" customFormat="1" outlineLevel="2">
      <c r="A184" s="299"/>
      <c r="B184" s="4307"/>
      <c r="C184" s="3247" t="s">
        <v>610</v>
      </c>
      <c r="D184" s="3204">
        <f>D181+D182+D183</f>
        <v>0</v>
      </c>
      <c r="E184" s="3205">
        <f t="shared" ref="E184:R184" si="66">E181+E182+E183</f>
        <v>0</v>
      </c>
      <c r="F184" s="3205">
        <f t="shared" si="66"/>
        <v>0</v>
      </c>
      <c r="G184" s="3205">
        <f t="shared" si="66"/>
        <v>472872.86534503469</v>
      </c>
      <c r="H184" s="3214">
        <f t="shared" si="66"/>
        <v>394061.49544957903</v>
      </c>
      <c r="I184" s="3204">
        <f t="shared" si="66"/>
        <v>658691.29739350383</v>
      </c>
      <c r="J184" s="3205">
        <f t="shared" si="66"/>
        <v>1087816.7899999998</v>
      </c>
      <c r="K184" s="3205">
        <f t="shared" si="66"/>
        <v>1371802.28</v>
      </c>
      <c r="L184" s="4006">
        <f t="shared" si="66"/>
        <v>1186625</v>
      </c>
      <c r="M184" s="3206">
        <f t="shared" si="66"/>
        <v>147740.96883893674</v>
      </c>
      <c r="N184" s="3204">
        <f t="shared" si="66"/>
        <v>371745.00994652242</v>
      </c>
      <c r="O184" s="3205">
        <f t="shared" si="66"/>
        <v>350822.43713087501</v>
      </c>
      <c r="P184" s="3205">
        <f t="shared" si="66"/>
        <v>386311.6744979918</v>
      </c>
      <c r="Q184" s="3205">
        <f t="shared" si="66"/>
        <v>208376.67211120186</v>
      </c>
      <c r="R184" s="3206">
        <f t="shared" si="66"/>
        <v>321774.40478588484</v>
      </c>
      <c r="S184" s="1266"/>
      <c r="T184" s="1266"/>
      <c r="U184" s="1266"/>
      <c r="V184" s="583">
        <f>V181+V182+V183</f>
        <v>0</v>
      </c>
      <c r="W184" s="580">
        <f t="shared" ref="W184:AC184" si="67">W181+W182+W183</f>
        <v>0</v>
      </c>
      <c r="X184" s="580">
        <f t="shared" si="67"/>
        <v>0</v>
      </c>
      <c r="Y184" s="580">
        <f t="shared" si="67"/>
        <v>0</v>
      </c>
      <c r="Z184" s="1293">
        <f t="shared" si="67"/>
        <v>0</v>
      </c>
      <c r="AA184" s="583">
        <f t="shared" si="67"/>
        <v>0</v>
      </c>
      <c r="AB184" s="580">
        <f t="shared" si="67"/>
        <v>0</v>
      </c>
      <c r="AC184" s="584">
        <f t="shared" si="67"/>
        <v>0</v>
      </c>
    </row>
    <row r="185" spans="1:29" s="501" customFormat="1" outlineLevel="2">
      <c r="A185" s="299"/>
      <c r="B185" s="4307"/>
      <c r="C185" s="3641" t="s">
        <v>631</v>
      </c>
      <c r="D185" s="486"/>
      <c r="E185" s="485"/>
      <c r="F185" s="485"/>
      <c r="G185" s="485"/>
      <c r="H185" s="650"/>
      <c r="I185" s="486"/>
      <c r="J185" s="485"/>
      <c r="K185" s="485"/>
      <c r="L185" s="3996"/>
      <c r="M185" s="487"/>
      <c r="N185" s="486"/>
      <c r="O185" s="485"/>
      <c r="P185" s="485"/>
      <c r="Q185" s="485"/>
      <c r="R185" s="487"/>
      <c r="S185" s="1266"/>
      <c r="T185" s="1266"/>
      <c r="U185" s="1266"/>
      <c r="V185" s="489"/>
      <c r="W185" s="490"/>
      <c r="X185" s="490"/>
      <c r="Y185" s="490"/>
      <c r="Z185" s="1292"/>
      <c r="AA185" s="489"/>
      <c r="AB185" s="490"/>
      <c r="AC185" s="491"/>
    </row>
    <row r="186" spans="1:29" s="501" customFormat="1" outlineLevel="2">
      <c r="A186" s="299"/>
      <c r="B186" s="4307"/>
      <c r="C186" s="3247" t="s">
        <v>611</v>
      </c>
      <c r="D186" s="3204">
        <f>D184-D185</f>
        <v>0</v>
      </c>
      <c r="E186" s="3205">
        <f t="shared" ref="E186:R186" si="68">E184-E185</f>
        <v>0</v>
      </c>
      <c r="F186" s="3205">
        <f t="shared" si="68"/>
        <v>0</v>
      </c>
      <c r="G186" s="3205">
        <f t="shared" si="68"/>
        <v>472872.86534503469</v>
      </c>
      <c r="H186" s="3214">
        <f t="shared" si="68"/>
        <v>394061.49544957903</v>
      </c>
      <c r="I186" s="3204">
        <f>I184-I185</f>
        <v>658691.29739350383</v>
      </c>
      <c r="J186" s="3205">
        <f>J184-J185</f>
        <v>1087816.7899999998</v>
      </c>
      <c r="K186" s="3205">
        <f t="shared" ref="K186:L186" si="69">K184-K185</f>
        <v>1371802.28</v>
      </c>
      <c r="L186" s="4006">
        <f t="shared" si="69"/>
        <v>1186625</v>
      </c>
      <c r="M186" s="3206">
        <f t="shared" si="68"/>
        <v>147740.96883893674</v>
      </c>
      <c r="N186" s="3204">
        <f t="shared" si="68"/>
        <v>371745.00994652242</v>
      </c>
      <c r="O186" s="3205">
        <f t="shared" si="68"/>
        <v>350822.43713087501</v>
      </c>
      <c r="P186" s="3205">
        <f t="shared" si="68"/>
        <v>386311.6744979918</v>
      </c>
      <c r="Q186" s="3205">
        <f t="shared" si="68"/>
        <v>208376.67211120186</v>
      </c>
      <c r="R186" s="3206">
        <f t="shared" si="68"/>
        <v>321774.40478588484</v>
      </c>
      <c r="S186" s="1266"/>
      <c r="T186" s="1266"/>
      <c r="U186" s="1266"/>
      <c r="V186" s="583">
        <f>V184-V185</f>
        <v>0</v>
      </c>
      <c r="W186" s="580">
        <f t="shared" ref="W186:AC186" si="70">W184-W185</f>
        <v>0</v>
      </c>
      <c r="X186" s="580">
        <f t="shared" si="70"/>
        <v>0</v>
      </c>
      <c r="Y186" s="580">
        <f t="shared" si="70"/>
        <v>0</v>
      </c>
      <c r="Z186" s="1293">
        <f t="shared" si="70"/>
        <v>0</v>
      </c>
      <c r="AA186" s="583">
        <f t="shared" si="70"/>
        <v>0</v>
      </c>
      <c r="AB186" s="580">
        <f t="shared" si="70"/>
        <v>0</v>
      </c>
      <c r="AC186" s="584">
        <f t="shared" si="70"/>
        <v>0</v>
      </c>
    </row>
    <row r="187" spans="1:29" s="501" customFormat="1" ht="13.5" outlineLevel="2" thickBot="1">
      <c r="A187" s="299"/>
      <c r="B187" s="4308"/>
      <c r="C187" s="3248" t="s">
        <v>97</v>
      </c>
      <c r="D187" s="1607">
        <f t="shared" ref="D187:R187" si="71">D181/D180</f>
        <v>0</v>
      </c>
      <c r="E187" s="534" t="e">
        <f t="shared" si="71"/>
        <v>#DIV/0!</v>
      </c>
      <c r="F187" s="534" t="e">
        <f t="shared" si="71"/>
        <v>#DIV/0!</v>
      </c>
      <c r="G187" s="534">
        <f t="shared" si="71"/>
        <v>267.47181453842006</v>
      </c>
      <c r="H187" s="1299">
        <f t="shared" si="71"/>
        <v>1889.6810843170349</v>
      </c>
      <c r="I187" s="1607">
        <f t="shared" si="71"/>
        <v>2550.0179638297964</v>
      </c>
      <c r="J187" s="534">
        <f t="shared" si="71"/>
        <v>1119.4979957127543</v>
      </c>
      <c r="K187" s="534">
        <f t="shared" si="71"/>
        <v>1165.1600000000001</v>
      </c>
      <c r="L187" s="4011">
        <f t="shared" si="71"/>
        <v>1157.7244845360824</v>
      </c>
      <c r="M187" s="535">
        <f t="shared" si="71"/>
        <v>1436.8894071088964</v>
      </c>
      <c r="N187" s="1607">
        <f t="shared" si="71"/>
        <v>1826.5772894384945</v>
      </c>
      <c r="O187" s="534">
        <f t="shared" si="71"/>
        <v>1568.5524328484084</v>
      </c>
      <c r="P187" s="534">
        <f t="shared" si="71"/>
        <v>1795.295447987693</v>
      </c>
      <c r="Q187" s="534">
        <f t="shared" si="71"/>
        <v>1434.9034025010458</v>
      </c>
      <c r="R187" s="535">
        <f t="shared" si="71"/>
        <v>1176.592090046383</v>
      </c>
      <c r="S187" s="1266"/>
      <c r="T187" s="1266"/>
      <c r="U187" s="1266"/>
      <c r="V187" s="1607" t="e">
        <f t="shared" ref="V187:AC187" si="72">V181/V180</f>
        <v>#DIV/0!</v>
      </c>
      <c r="W187" s="534" t="e">
        <f t="shared" si="72"/>
        <v>#DIV/0!</v>
      </c>
      <c r="X187" s="534" t="e">
        <f t="shared" si="72"/>
        <v>#DIV/0!</v>
      </c>
      <c r="Y187" s="534" t="e">
        <f t="shared" si="72"/>
        <v>#DIV/0!</v>
      </c>
      <c r="Z187" s="1299" t="e">
        <f t="shared" si="72"/>
        <v>#DIV/0!</v>
      </c>
      <c r="AA187" s="1607" t="e">
        <f t="shared" si="72"/>
        <v>#DIV/0!</v>
      </c>
      <c r="AB187" s="534" t="e">
        <f t="shared" si="72"/>
        <v>#DIV/0!</v>
      </c>
      <c r="AC187" s="535" t="e">
        <f t="shared" si="72"/>
        <v>#DIV/0!</v>
      </c>
    </row>
    <row r="188" spans="1:29" s="501" customFormat="1" outlineLevel="2">
      <c r="A188" s="299"/>
      <c r="B188" s="4402" t="s">
        <v>1680</v>
      </c>
      <c r="C188" s="3245" t="s">
        <v>94</v>
      </c>
      <c r="D188" s="443"/>
      <c r="E188" s="519"/>
      <c r="F188" s="519"/>
      <c r="G188" s="519"/>
      <c r="H188" s="1301"/>
      <c r="I188" s="443"/>
      <c r="J188" s="519"/>
      <c r="K188" s="519"/>
      <c r="L188" s="519"/>
      <c r="M188" s="531">
        <f t="shared" ref="M188:R188" si="73">M36</f>
        <v>0</v>
      </c>
      <c r="N188" s="443">
        <f t="shared" si="73"/>
        <v>0</v>
      </c>
      <c r="O188" s="519">
        <f t="shared" si="73"/>
        <v>0</v>
      </c>
      <c r="P188" s="519">
        <f t="shared" si="73"/>
        <v>0</v>
      </c>
      <c r="Q188" s="519">
        <f t="shared" si="73"/>
        <v>0</v>
      </c>
      <c r="R188" s="531">
        <f t="shared" si="73"/>
        <v>0</v>
      </c>
      <c r="S188" s="1266"/>
      <c r="T188" s="1266"/>
      <c r="U188" s="1266"/>
      <c r="V188" s="1825"/>
      <c r="W188" s="1826"/>
      <c r="X188" s="1826"/>
      <c r="Y188" s="1826"/>
      <c r="Z188" s="1828"/>
      <c r="AA188" s="1825"/>
      <c r="AB188" s="1826"/>
      <c r="AC188" s="1827"/>
    </row>
    <row r="189" spans="1:29" s="501" customFormat="1" outlineLevel="2">
      <c r="A189" s="299"/>
      <c r="B189" s="4402"/>
      <c r="C189" s="3246" t="s">
        <v>605</v>
      </c>
      <c r="D189" s="499"/>
      <c r="E189" s="494"/>
      <c r="F189" s="494"/>
      <c r="G189" s="494"/>
      <c r="H189" s="652"/>
      <c r="I189" s="499"/>
      <c r="J189" s="494"/>
      <c r="K189" s="494"/>
      <c r="L189" s="494"/>
      <c r="M189" s="507">
        <v>70000</v>
      </c>
      <c r="N189" s="499">
        <v>70412.3</v>
      </c>
      <c r="O189" s="494">
        <v>70368.900000000009</v>
      </c>
      <c r="P189" s="494">
        <v>70520.799999999988</v>
      </c>
      <c r="Q189" s="494">
        <v>70759.5</v>
      </c>
      <c r="R189" s="507">
        <v>70868</v>
      </c>
      <c r="S189" s="1266"/>
      <c r="T189" s="1266"/>
      <c r="U189" s="1266"/>
      <c r="V189" s="489"/>
      <c r="W189" s="490"/>
      <c r="X189" s="490"/>
      <c r="Y189" s="490"/>
      <c r="Z189" s="1292"/>
      <c r="AA189" s="489"/>
      <c r="AB189" s="490"/>
      <c r="AC189" s="491"/>
    </row>
    <row r="190" spans="1:29" s="501" customFormat="1" ht="25.5" outlineLevel="2">
      <c r="A190" s="299"/>
      <c r="B190" s="4402"/>
      <c r="C190" s="3641" t="s">
        <v>609</v>
      </c>
      <c r="D190" s="486"/>
      <c r="E190" s="485"/>
      <c r="F190" s="485"/>
      <c r="G190" s="485"/>
      <c r="H190" s="650"/>
      <c r="I190" s="3201"/>
      <c r="J190" s="3202"/>
      <c r="K190" s="3202"/>
      <c r="L190" s="3202"/>
      <c r="M190" s="3216">
        <f t="shared" ref="M190:R190" si="74">M189*0.06</f>
        <v>4200</v>
      </c>
      <c r="N190" s="499">
        <f t="shared" si="74"/>
        <v>4224.7380000000003</v>
      </c>
      <c r="O190" s="494">
        <f t="shared" si="74"/>
        <v>4222.134</v>
      </c>
      <c r="P190" s="494">
        <f t="shared" si="74"/>
        <v>4231.2479999999996</v>
      </c>
      <c r="Q190" s="494">
        <f t="shared" si="74"/>
        <v>4245.57</v>
      </c>
      <c r="R190" s="507">
        <f t="shared" si="74"/>
        <v>4252.08</v>
      </c>
      <c r="S190" s="1266"/>
      <c r="T190" s="1266"/>
      <c r="U190" s="1266"/>
      <c r="V190" s="489"/>
      <c r="W190" s="490"/>
      <c r="X190" s="490"/>
      <c r="Y190" s="490"/>
      <c r="Z190" s="1292"/>
      <c r="AA190" s="489"/>
      <c r="AB190" s="490"/>
      <c r="AC190" s="491"/>
    </row>
    <row r="191" spans="1:29" s="501" customFormat="1" ht="25.5" outlineLevel="2">
      <c r="A191" s="299"/>
      <c r="B191" s="4402"/>
      <c r="C191" s="3641" t="s">
        <v>607</v>
      </c>
      <c r="D191" s="486"/>
      <c r="E191" s="485"/>
      <c r="F191" s="485"/>
      <c r="G191" s="485"/>
      <c r="H191" s="650"/>
      <c r="I191" s="486"/>
      <c r="J191" s="485"/>
      <c r="K191" s="485"/>
      <c r="L191" s="485"/>
      <c r="M191" s="487"/>
      <c r="N191" s="486"/>
      <c r="O191" s="485"/>
      <c r="P191" s="485"/>
      <c r="Q191" s="485"/>
      <c r="R191" s="487"/>
      <c r="S191" s="1266"/>
      <c r="T191" s="1266"/>
      <c r="U191" s="1266"/>
      <c r="V191" s="489"/>
      <c r="W191" s="490"/>
      <c r="X191" s="490"/>
      <c r="Y191" s="490"/>
      <c r="Z191" s="1292"/>
      <c r="AA191" s="489"/>
      <c r="AB191" s="490"/>
      <c r="AC191" s="491"/>
    </row>
    <row r="192" spans="1:29" s="501" customFormat="1" outlineLevel="2">
      <c r="A192" s="299"/>
      <c r="B192" s="4402"/>
      <c r="C192" s="3247" t="s">
        <v>610</v>
      </c>
      <c r="D192" s="3204"/>
      <c r="E192" s="3205"/>
      <c r="F192" s="3205"/>
      <c r="G192" s="3205"/>
      <c r="H192" s="3214"/>
      <c r="I192" s="3204"/>
      <c r="J192" s="3205"/>
      <c r="K192" s="3205"/>
      <c r="L192" s="3205">
        <f t="shared" ref="L192:R192" si="75">L189+L190+L191</f>
        <v>0</v>
      </c>
      <c r="M192" s="3206">
        <f t="shared" si="75"/>
        <v>74200</v>
      </c>
      <c r="N192" s="3204">
        <f t="shared" si="75"/>
        <v>74637.038</v>
      </c>
      <c r="O192" s="3205">
        <f t="shared" si="75"/>
        <v>74591.034000000014</v>
      </c>
      <c r="P192" s="3205">
        <f t="shared" si="75"/>
        <v>74752.047999999981</v>
      </c>
      <c r="Q192" s="3205">
        <f t="shared" si="75"/>
        <v>75005.070000000007</v>
      </c>
      <c r="R192" s="3206">
        <f t="shared" si="75"/>
        <v>75120.08</v>
      </c>
      <c r="S192" s="1266"/>
      <c r="T192" s="1266"/>
      <c r="U192" s="1266"/>
      <c r="V192" s="489"/>
      <c r="W192" s="490"/>
      <c r="X192" s="490"/>
      <c r="Y192" s="490"/>
      <c r="Z192" s="1292"/>
      <c r="AA192" s="489"/>
      <c r="AB192" s="490"/>
      <c r="AC192" s="491"/>
    </row>
    <row r="193" spans="1:29" s="501" customFormat="1" outlineLevel="2">
      <c r="A193" s="299"/>
      <c r="B193" s="4402"/>
      <c r="C193" s="3641" t="s">
        <v>631</v>
      </c>
      <c r="D193" s="486"/>
      <c r="E193" s="485"/>
      <c r="F193" s="485"/>
      <c r="G193" s="485"/>
      <c r="H193" s="650"/>
      <c r="I193" s="486"/>
      <c r="J193" s="485"/>
      <c r="K193" s="485"/>
      <c r="L193" s="485"/>
      <c r="M193" s="487"/>
      <c r="N193" s="486"/>
      <c r="O193" s="485"/>
      <c r="P193" s="485"/>
      <c r="Q193" s="485"/>
      <c r="R193" s="487"/>
      <c r="S193" s="1266"/>
      <c r="T193" s="1266"/>
      <c r="U193" s="1266"/>
      <c r="V193" s="489"/>
      <c r="W193" s="490"/>
      <c r="X193" s="490"/>
      <c r="Y193" s="490"/>
      <c r="Z193" s="1292"/>
      <c r="AA193" s="489"/>
      <c r="AB193" s="490"/>
      <c r="AC193" s="491"/>
    </row>
    <row r="194" spans="1:29" s="501" customFormat="1" outlineLevel="2">
      <c r="A194" s="299"/>
      <c r="B194" s="4402"/>
      <c r="C194" s="3247" t="s">
        <v>611</v>
      </c>
      <c r="D194" s="3204"/>
      <c r="E194" s="3205"/>
      <c r="F194" s="3205"/>
      <c r="G194" s="3205"/>
      <c r="H194" s="3214"/>
      <c r="I194" s="3204"/>
      <c r="J194" s="3205"/>
      <c r="K194" s="3205"/>
      <c r="L194" s="3205">
        <f t="shared" ref="L194:R194" si="76">L192-L193</f>
        <v>0</v>
      </c>
      <c r="M194" s="3206">
        <f t="shared" si="76"/>
        <v>74200</v>
      </c>
      <c r="N194" s="3204">
        <f t="shared" si="76"/>
        <v>74637.038</v>
      </c>
      <c r="O194" s="3205">
        <f t="shared" si="76"/>
        <v>74591.034000000014</v>
      </c>
      <c r="P194" s="3205">
        <f t="shared" si="76"/>
        <v>74752.047999999981</v>
      </c>
      <c r="Q194" s="3205">
        <f t="shared" si="76"/>
        <v>75005.070000000007</v>
      </c>
      <c r="R194" s="3206">
        <f t="shared" si="76"/>
        <v>75120.08</v>
      </c>
      <c r="S194" s="1266"/>
      <c r="T194" s="1266"/>
      <c r="U194" s="1266"/>
      <c r="V194" s="489"/>
      <c r="W194" s="490"/>
      <c r="X194" s="490"/>
      <c r="Y194" s="490"/>
      <c r="Z194" s="1292"/>
      <c r="AA194" s="489"/>
      <c r="AB194" s="490"/>
      <c r="AC194" s="491"/>
    </row>
    <row r="195" spans="1:29" s="501" customFormat="1" ht="13.5" outlineLevel="2" thickBot="1">
      <c r="A195" s="299"/>
      <c r="B195" s="4403"/>
      <c r="C195" s="3248" t="s">
        <v>97</v>
      </c>
      <c r="D195" s="1607"/>
      <c r="E195" s="534"/>
      <c r="F195" s="534"/>
      <c r="G195" s="534"/>
      <c r="H195" s="1299"/>
      <c r="I195" s="1607"/>
      <c r="J195" s="534"/>
      <c r="K195" s="534"/>
      <c r="L195" s="534" t="e">
        <f t="shared" ref="L195:R195" si="77">L189/L188</f>
        <v>#DIV/0!</v>
      </c>
      <c r="M195" s="535" t="e">
        <f t="shared" si="77"/>
        <v>#DIV/0!</v>
      </c>
      <c r="N195" s="1607" t="e">
        <f t="shared" si="77"/>
        <v>#DIV/0!</v>
      </c>
      <c r="O195" s="534" t="e">
        <f t="shared" si="77"/>
        <v>#DIV/0!</v>
      </c>
      <c r="P195" s="534" t="e">
        <f t="shared" si="77"/>
        <v>#DIV/0!</v>
      </c>
      <c r="Q195" s="534" t="e">
        <f t="shared" si="77"/>
        <v>#DIV/0!</v>
      </c>
      <c r="R195" s="535" t="e">
        <f t="shared" si="77"/>
        <v>#DIV/0!</v>
      </c>
      <c r="S195" s="1266"/>
      <c r="T195" s="1266"/>
      <c r="U195" s="1266"/>
      <c r="V195" s="489"/>
      <c r="W195" s="490"/>
      <c r="X195" s="490"/>
      <c r="Y195" s="490"/>
      <c r="Z195" s="1292"/>
      <c r="AA195" s="489"/>
      <c r="AB195" s="490"/>
      <c r="AC195" s="491"/>
    </row>
    <row r="196" spans="1:29" s="501" customFormat="1" outlineLevel="2">
      <c r="A196" s="299"/>
      <c r="B196" s="4402" t="s">
        <v>1681</v>
      </c>
      <c r="C196" s="3245" t="s">
        <v>94</v>
      </c>
      <c r="D196" s="443"/>
      <c r="E196" s="519"/>
      <c r="F196" s="519"/>
      <c r="G196" s="519"/>
      <c r="H196" s="1301"/>
      <c r="I196" s="443"/>
      <c r="J196" s="519"/>
      <c r="K196" s="519"/>
      <c r="L196" s="519"/>
      <c r="M196" s="531">
        <f t="shared" ref="M196:R196" si="78">M44</f>
        <v>0</v>
      </c>
      <c r="N196" s="443">
        <f t="shared" si="78"/>
        <v>0</v>
      </c>
      <c r="O196" s="519">
        <f t="shared" si="78"/>
        <v>0</v>
      </c>
      <c r="P196" s="519">
        <f t="shared" si="78"/>
        <v>0</v>
      </c>
      <c r="Q196" s="519">
        <f t="shared" si="78"/>
        <v>0</v>
      </c>
      <c r="R196" s="531">
        <f t="shared" si="78"/>
        <v>0</v>
      </c>
      <c r="S196" s="1266"/>
      <c r="T196" s="1266"/>
      <c r="U196" s="1266"/>
      <c r="V196" s="489"/>
      <c r="W196" s="490"/>
      <c r="X196" s="490"/>
      <c r="Y196" s="490"/>
      <c r="Z196" s="1292"/>
      <c r="AA196" s="489"/>
      <c r="AB196" s="490"/>
      <c r="AC196" s="491"/>
    </row>
    <row r="197" spans="1:29" s="501" customFormat="1" outlineLevel="2">
      <c r="A197" s="299"/>
      <c r="B197" s="4402"/>
      <c r="C197" s="3246" t="s">
        <v>605</v>
      </c>
      <c r="D197" s="499"/>
      <c r="E197" s="494"/>
      <c r="F197" s="494"/>
      <c r="G197" s="494"/>
      <c r="H197" s="652"/>
      <c r="I197" s="499"/>
      <c r="J197" s="494"/>
      <c r="K197" s="494"/>
      <c r="L197" s="494"/>
      <c r="M197" s="507">
        <v>250000</v>
      </c>
      <c r="N197" s="499">
        <v>626166.52500000002</v>
      </c>
      <c r="O197" s="494">
        <v>625780.57500000007</v>
      </c>
      <c r="P197" s="494">
        <v>627131.39999999991</v>
      </c>
      <c r="Q197" s="494">
        <v>209751.37500000003</v>
      </c>
      <c r="R197" s="507">
        <v>0</v>
      </c>
      <c r="S197" s="1266"/>
      <c r="T197" s="1266"/>
      <c r="U197" s="1266"/>
      <c r="V197" s="489"/>
      <c r="W197" s="490"/>
      <c r="X197" s="490"/>
      <c r="Y197" s="490"/>
      <c r="Z197" s="1292"/>
      <c r="AA197" s="489"/>
      <c r="AB197" s="490"/>
      <c r="AC197" s="491"/>
    </row>
    <row r="198" spans="1:29" s="501" customFormat="1" ht="25.5" outlineLevel="2">
      <c r="A198" s="299"/>
      <c r="B198" s="4402"/>
      <c r="C198" s="3641" t="s">
        <v>609</v>
      </c>
      <c r="D198" s="486"/>
      <c r="E198" s="485"/>
      <c r="F198" s="485"/>
      <c r="G198" s="485"/>
      <c r="H198" s="650"/>
      <c r="I198" s="3201"/>
      <c r="J198" s="3202"/>
      <c r="K198" s="3202"/>
      <c r="L198" s="3202"/>
      <c r="M198" s="3216">
        <f t="shared" ref="M198:R198" si="79">M197*0.06</f>
        <v>15000</v>
      </c>
      <c r="N198" s="499">
        <f t="shared" si="79"/>
        <v>37569.991499999996</v>
      </c>
      <c r="O198" s="494">
        <f t="shared" si="79"/>
        <v>37546.834500000004</v>
      </c>
      <c r="P198" s="494">
        <f t="shared" si="79"/>
        <v>37627.883999999991</v>
      </c>
      <c r="Q198" s="494">
        <f t="shared" si="79"/>
        <v>12585.0825</v>
      </c>
      <c r="R198" s="507">
        <f t="shared" si="79"/>
        <v>0</v>
      </c>
      <c r="S198" s="1266"/>
      <c r="T198" s="1266"/>
      <c r="U198" s="1266"/>
      <c r="V198" s="489"/>
      <c r="W198" s="490"/>
      <c r="X198" s="490"/>
      <c r="Y198" s="490"/>
      <c r="Z198" s="1292"/>
      <c r="AA198" s="489"/>
      <c r="AB198" s="490"/>
      <c r="AC198" s="491"/>
    </row>
    <row r="199" spans="1:29" s="501" customFormat="1" ht="25.5" outlineLevel="2">
      <c r="A199" s="299"/>
      <c r="B199" s="4402"/>
      <c r="C199" s="3641" t="s">
        <v>607</v>
      </c>
      <c r="D199" s="486"/>
      <c r="E199" s="485"/>
      <c r="F199" s="485"/>
      <c r="G199" s="485"/>
      <c r="H199" s="650"/>
      <c r="I199" s="486"/>
      <c r="J199" s="485"/>
      <c r="K199" s="485"/>
      <c r="L199" s="485"/>
      <c r="M199" s="487"/>
      <c r="N199" s="486"/>
      <c r="O199" s="485"/>
      <c r="P199" s="485"/>
      <c r="Q199" s="485"/>
      <c r="R199" s="487"/>
      <c r="S199" s="1266"/>
      <c r="T199" s="1266"/>
      <c r="U199" s="1266"/>
      <c r="V199" s="489"/>
      <c r="W199" s="490"/>
      <c r="X199" s="490"/>
      <c r="Y199" s="490"/>
      <c r="Z199" s="1292"/>
      <c r="AA199" s="489"/>
      <c r="AB199" s="490"/>
      <c r="AC199" s="491"/>
    </row>
    <row r="200" spans="1:29" s="501" customFormat="1" outlineLevel="2">
      <c r="A200" s="299"/>
      <c r="B200" s="4402"/>
      <c r="C200" s="3247" t="s">
        <v>610</v>
      </c>
      <c r="D200" s="3204"/>
      <c r="E200" s="3205"/>
      <c r="F200" s="3205"/>
      <c r="G200" s="3205"/>
      <c r="H200" s="3214"/>
      <c r="I200" s="3204"/>
      <c r="J200" s="3205"/>
      <c r="K200" s="3205"/>
      <c r="L200" s="3205">
        <f t="shared" ref="L200:R200" si="80">L197+L198+L199</f>
        <v>0</v>
      </c>
      <c r="M200" s="3206">
        <f t="shared" si="80"/>
        <v>265000</v>
      </c>
      <c r="N200" s="3204">
        <f t="shared" si="80"/>
        <v>663736.51650000003</v>
      </c>
      <c r="O200" s="3205">
        <f t="shared" si="80"/>
        <v>663327.40950000007</v>
      </c>
      <c r="P200" s="3205">
        <f t="shared" si="80"/>
        <v>664759.28399999987</v>
      </c>
      <c r="Q200" s="3205">
        <f t="shared" si="80"/>
        <v>222336.45750000002</v>
      </c>
      <c r="R200" s="3206">
        <f t="shared" si="80"/>
        <v>0</v>
      </c>
      <c r="S200" s="1266"/>
      <c r="T200" s="1266"/>
      <c r="U200" s="1266"/>
      <c r="V200" s="489"/>
      <c r="W200" s="490"/>
      <c r="X200" s="490"/>
      <c r="Y200" s="490"/>
      <c r="Z200" s="1292"/>
      <c r="AA200" s="489"/>
      <c r="AB200" s="490"/>
      <c r="AC200" s="491"/>
    </row>
    <row r="201" spans="1:29" s="501" customFormat="1" outlineLevel="2">
      <c r="A201" s="299"/>
      <c r="B201" s="4402"/>
      <c r="C201" s="3641" t="s">
        <v>631</v>
      </c>
      <c r="D201" s="486"/>
      <c r="E201" s="485"/>
      <c r="F201" s="485"/>
      <c r="G201" s="485"/>
      <c r="H201" s="650"/>
      <c r="I201" s="486"/>
      <c r="J201" s="485"/>
      <c r="K201" s="485"/>
      <c r="L201" s="485"/>
      <c r="M201" s="487"/>
      <c r="N201" s="486"/>
      <c r="O201" s="485"/>
      <c r="P201" s="485"/>
      <c r="Q201" s="485"/>
      <c r="R201" s="487"/>
      <c r="S201" s="1266"/>
      <c r="T201" s="1266"/>
      <c r="U201" s="1266"/>
      <c r="V201" s="489"/>
      <c r="W201" s="490"/>
      <c r="X201" s="490"/>
      <c r="Y201" s="490"/>
      <c r="Z201" s="1292"/>
      <c r="AA201" s="489"/>
      <c r="AB201" s="490"/>
      <c r="AC201" s="491"/>
    </row>
    <row r="202" spans="1:29" s="501" customFormat="1" outlineLevel="2">
      <c r="A202" s="299"/>
      <c r="B202" s="4402"/>
      <c r="C202" s="3247" t="s">
        <v>611</v>
      </c>
      <c r="D202" s="3204"/>
      <c r="E202" s="3205"/>
      <c r="F202" s="3205"/>
      <c r="G202" s="3205"/>
      <c r="H202" s="3214"/>
      <c r="I202" s="3204"/>
      <c r="J202" s="3205"/>
      <c r="K202" s="3205"/>
      <c r="L202" s="3205">
        <f t="shared" ref="L202:R202" si="81">L200-L201</f>
        <v>0</v>
      </c>
      <c r="M202" s="3206">
        <f t="shared" si="81"/>
        <v>265000</v>
      </c>
      <c r="N202" s="3204">
        <f t="shared" si="81"/>
        <v>663736.51650000003</v>
      </c>
      <c r="O202" s="3205">
        <f t="shared" si="81"/>
        <v>663327.40950000007</v>
      </c>
      <c r="P202" s="3205">
        <f t="shared" si="81"/>
        <v>664759.28399999987</v>
      </c>
      <c r="Q202" s="3205">
        <f t="shared" si="81"/>
        <v>222336.45750000002</v>
      </c>
      <c r="R202" s="3206">
        <f t="shared" si="81"/>
        <v>0</v>
      </c>
      <c r="S202" s="1266"/>
      <c r="T202" s="1266"/>
      <c r="U202" s="1266"/>
      <c r="V202" s="489"/>
      <c r="W202" s="490"/>
      <c r="X202" s="490"/>
      <c r="Y202" s="490"/>
      <c r="Z202" s="1292"/>
      <c r="AA202" s="489"/>
      <c r="AB202" s="490"/>
      <c r="AC202" s="491"/>
    </row>
    <row r="203" spans="1:29" s="501" customFormat="1" ht="13.5" outlineLevel="2" thickBot="1">
      <c r="A203" s="299"/>
      <c r="B203" s="4403"/>
      <c r="C203" s="3248" t="s">
        <v>97</v>
      </c>
      <c r="D203" s="1607"/>
      <c r="E203" s="534"/>
      <c r="F203" s="534"/>
      <c r="G203" s="534"/>
      <c r="H203" s="1299"/>
      <c r="I203" s="1607"/>
      <c r="J203" s="534"/>
      <c r="K203" s="534"/>
      <c r="L203" s="534" t="e">
        <f t="shared" ref="L203:R203" si="82">L197/L196</f>
        <v>#DIV/0!</v>
      </c>
      <c r="M203" s="535" t="e">
        <f t="shared" si="82"/>
        <v>#DIV/0!</v>
      </c>
      <c r="N203" s="1607" t="e">
        <f t="shared" si="82"/>
        <v>#DIV/0!</v>
      </c>
      <c r="O203" s="534" t="e">
        <f t="shared" si="82"/>
        <v>#DIV/0!</v>
      </c>
      <c r="P203" s="534" t="e">
        <f t="shared" si="82"/>
        <v>#DIV/0!</v>
      </c>
      <c r="Q203" s="534" t="e">
        <f t="shared" si="82"/>
        <v>#DIV/0!</v>
      </c>
      <c r="R203" s="535" t="e">
        <f t="shared" si="82"/>
        <v>#DIV/0!</v>
      </c>
      <c r="S203" s="1266"/>
      <c r="T203" s="1266"/>
      <c r="U203" s="1266"/>
      <c r="V203" s="489"/>
      <c r="W203" s="490"/>
      <c r="X203" s="490"/>
      <c r="Y203" s="490"/>
      <c r="Z203" s="1292"/>
      <c r="AA203" s="489"/>
      <c r="AB203" s="490"/>
      <c r="AC203" s="491"/>
    </row>
    <row r="204" spans="1:29" s="501" customFormat="1" outlineLevel="2">
      <c r="A204" s="299"/>
      <c r="B204" s="4402" t="s">
        <v>1682</v>
      </c>
      <c r="C204" s="3245" t="s">
        <v>94</v>
      </c>
      <c r="D204" s="443"/>
      <c r="E204" s="519"/>
      <c r="F204" s="519"/>
      <c r="G204" s="519"/>
      <c r="H204" s="1301"/>
      <c r="I204" s="443"/>
      <c r="J204" s="519"/>
      <c r="K204" s="519"/>
      <c r="L204" s="519"/>
      <c r="M204" s="531"/>
      <c r="N204" s="443"/>
      <c r="O204" s="519"/>
      <c r="P204" s="519"/>
      <c r="Q204" s="519"/>
      <c r="R204" s="531"/>
      <c r="S204" s="1266"/>
      <c r="T204" s="1266"/>
      <c r="U204" s="1266"/>
      <c r="V204" s="489"/>
      <c r="W204" s="490"/>
      <c r="X204" s="490"/>
      <c r="Y204" s="490"/>
      <c r="Z204" s="1292"/>
      <c r="AA204" s="489"/>
      <c r="AB204" s="490"/>
      <c r="AC204" s="491"/>
    </row>
    <row r="205" spans="1:29" s="501" customFormat="1" outlineLevel="2">
      <c r="A205" s="299"/>
      <c r="B205" s="4402"/>
      <c r="C205" s="3246" t="s">
        <v>605</v>
      </c>
      <c r="D205" s="499"/>
      <c r="E205" s="494"/>
      <c r="F205" s="494"/>
      <c r="G205" s="494"/>
      <c r="H205" s="652"/>
      <c r="I205" s="499"/>
      <c r="J205" s="494"/>
      <c r="K205" s="494"/>
      <c r="L205" s="494"/>
      <c r="M205" s="507">
        <v>94339.622641509428</v>
      </c>
      <c r="N205" s="499">
        <v>94895.283018867907</v>
      </c>
      <c r="O205" s="494">
        <v>94836.792452830196</v>
      </c>
      <c r="P205" s="494">
        <v>95041.509433962245</v>
      </c>
      <c r="Q205" s="494">
        <v>95363.207547169804</v>
      </c>
      <c r="R205" s="507">
        <v>95509.433962264142</v>
      </c>
      <c r="S205" s="1266"/>
      <c r="T205" s="1266"/>
      <c r="U205" s="1266"/>
      <c r="V205" s="489"/>
      <c r="W205" s="490"/>
      <c r="X205" s="490"/>
      <c r="Y205" s="490"/>
      <c r="Z205" s="1292"/>
      <c r="AA205" s="489"/>
      <c r="AB205" s="490"/>
      <c r="AC205" s="491"/>
    </row>
    <row r="206" spans="1:29" s="501" customFormat="1" ht="25.5" outlineLevel="2">
      <c r="A206" s="299"/>
      <c r="B206" s="4402"/>
      <c r="C206" s="3641" t="s">
        <v>609</v>
      </c>
      <c r="D206" s="486"/>
      <c r="E206" s="485"/>
      <c r="F206" s="485"/>
      <c r="G206" s="485"/>
      <c r="H206" s="650"/>
      <c r="I206" s="3201"/>
      <c r="J206" s="3202"/>
      <c r="K206" s="3202"/>
      <c r="L206" s="3202"/>
      <c r="M206" s="3216">
        <f t="shared" ref="M206:R206" si="83">M205*0.06</f>
        <v>5660.3773584905657</v>
      </c>
      <c r="N206" s="499">
        <f t="shared" si="83"/>
        <v>5693.7169811320746</v>
      </c>
      <c r="O206" s="494">
        <f t="shared" si="83"/>
        <v>5690.2075471698117</v>
      </c>
      <c r="P206" s="494">
        <f t="shared" si="83"/>
        <v>5702.4905660377344</v>
      </c>
      <c r="Q206" s="494">
        <f t="shared" si="83"/>
        <v>5721.7924528301883</v>
      </c>
      <c r="R206" s="507">
        <f t="shared" si="83"/>
        <v>5730.5660377358481</v>
      </c>
      <c r="S206" s="1266"/>
      <c r="T206" s="1266"/>
      <c r="U206" s="1266"/>
      <c r="V206" s="489"/>
      <c r="W206" s="490"/>
      <c r="X206" s="490"/>
      <c r="Y206" s="490"/>
      <c r="Z206" s="1292"/>
      <c r="AA206" s="536"/>
      <c r="AB206" s="537"/>
      <c r="AC206" s="573"/>
    </row>
    <row r="207" spans="1:29" s="501" customFormat="1" ht="25.5" outlineLevel="2">
      <c r="A207" s="299"/>
      <c r="B207" s="4402"/>
      <c r="C207" s="3641" t="s">
        <v>607</v>
      </c>
      <c r="D207" s="486"/>
      <c r="E207" s="485"/>
      <c r="F207" s="485"/>
      <c r="G207" s="485"/>
      <c r="H207" s="650"/>
      <c r="I207" s="486"/>
      <c r="J207" s="485"/>
      <c r="K207" s="485"/>
      <c r="L207" s="485"/>
      <c r="M207" s="487"/>
      <c r="N207" s="486"/>
      <c r="O207" s="485"/>
      <c r="P207" s="485"/>
      <c r="Q207" s="485"/>
      <c r="R207" s="487"/>
      <c r="S207" s="1266"/>
      <c r="T207" s="1266"/>
      <c r="U207" s="1266"/>
      <c r="V207" s="489"/>
      <c r="W207" s="490"/>
      <c r="X207" s="490"/>
      <c r="Y207" s="490"/>
      <c r="Z207" s="1292"/>
      <c r="AA207" s="489"/>
      <c r="AB207" s="490"/>
      <c r="AC207" s="491"/>
    </row>
    <row r="208" spans="1:29" s="501" customFormat="1" outlineLevel="2">
      <c r="A208" s="299"/>
      <c r="B208" s="4402"/>
      <c r="C208" s="3247" t="s">
        <v>610</v>
      </c>
      <c r="D208" s="3204">
        <f>D205+D206+D207</f>
        <v>0</v>
      </c>
      <c r="E208" s="3205">
        <f t="shared" ref="E208:R208" si="84">E205+E206+E207</f>
        <v>0</v>
      </c>
      <c r="F208" s="3205">
        <f t="shared" si="84"/>
        <v>0</v>
      </c>
      <c r="G208" s="3205">
        <f t="shared" si="84"/>
        <v>0</v>
      </c>
      <c r="H208" s="3214">
        <f t="shared" si="84"/>
        <v>0</v>
      </c>
      <c r="I208" s="3204">
        <f t="shared" si="84"/>
        <v>0</v>
      </c>
      <c r="J208" s="3205">
        <f t="shared" si="84"/>
        <v>0</v>
      </c>
      <c r="K208" s="3205">
        <f t="shared" si="84"/>
        <v>0</v>
      </c>
      <c r="L208" s="3205">
        <f t="shared" si="84"/>
        <v>0</v>
      </c>
      <c r="M208" s="3206">
        <f t="shared" si="84"/>
        <v>100000</v>
      </c>
      <c r="N208" s="3204">
        <f t="shared" si="84"/>
        <v>100588.99999999999</v>
      </c>
      <c r="O208" s="3205">
        <f t="shared" si="84"/>
        <v>100527</v>
      </c>
      <c r="P208" s="3205">
        <f t="shared" si="84"/>
        <v>100743.99999999999</v>
      </c>
      <c r="Q208" s="3205">
        <f t="shared" si="84"/>
        <v>101085</v>
      </c>
      <c r="R208" s="3206">
        <f t="shared" si="84"/>
        <v>101239.99999999999</v>
      </c>
      <c r="S208" s="1266"/>
      <c r="T208" s="1266"/>
      <c r="U208" s="1266"/>
      <c r="V208" s="583">
        <f>V189+V206+V207</f>
        <v>0</v>
      </c>
      <c r="W208" s="580">
        <f t="shared" ref="W208:AC208" si="85">W189+W206+W207</f>
        <v>0</v>
      </c>
      <c r="X208" s="580">
        <f t="shared" si="85"/>
        <v>0</v>
      </c>
      <c r="Y208" s="580">
        <f t="shared" si="85"/>
        <v>0</v>
      </c>
      <c r="Z208" s="1293">
        <f t="shared" si="85"/>
        <v>0</v>
      </c>
      <c r="AA208" s="583">
        <f t="shared" si="85"/>
        <v>0</v>
      </c>
      <c r="AB208" s="580">
        <f t="shared" si="85"/>
        <v>0</v>
      </c>
      <c r="AC208" s="584">
        <f t="shared" si="85"/>
        <v>0</v>
      </c>
    </row>
    <row r="209" spans="1:29" s="501" customFormat="1" outlineLevel="2">
      <c r="A209" s="299"/>
      <c r="B209" s="4402"/>
      <c r="C209" s="3641" t="s">
        <v>631</v>
      </c>
      <c r="D209" s="486"/>
      <c r="E209" s="485"/>
      <c r="F209" s="485"/>
      <c r="G209" s="485"/>
      <c r="H209" s="650"/>
      <c r="I209" s="486"/>
      <c r="J209" s="485"/>
      <c r="K209" s="485"/>
      <c r="L209" s="485"/>
      <c r="M209" s="487"/>
      <c r="N209" s="486"/>
      <c r="O209" s="485"/>
      <c r="P209" s="485"/>
      <c r="Q209" s="485"/>
      <c r="R209" s="487"/>
      <c r="S209" s="1266"/>
      <c r="T209" s="1266"/>
      <c r="U209" s="1266"/>
      <c r="V209" s="489"/>
      <c r="W209" s="490"/>
      <c r="X209" s="490"/>
      <c r="Y209" s="490"/>
      <c r="Z209" s="1292"/>
      <c r="AA209" s="489"/>
      <c r="AB209" s="490"/>
      <c r="AC209" s="491"/>
    </row>
    <row r="210" spans="1:29" s="501" customFormat="1" outlineLevel="2">
      <c r="A210" s="299"/>
      <c r="B210" s="4402"/>
      <c r="C210" s="3247" t="s">
        <v>611</v>
      </c>
      <c r="D210" s="3204">
        <f>D208-D209</f>
        <v>0</v>
      </c>
      <c r="E210" s="3205">
        <f t="shared" ref="E210:R210" si="86">E208-E209</f>
        <v>0</v>
      </c>
      <c r="F210" s="3205">
        <f t="shared" si="86"/>
        <v>0</v>
      </c>
      <c r="G210" s="3205">
        <f t="shared" si="86"/>
        <v>0</v>
      </c>
      <c r="H210" s="3214">
        <f t="shared" si="86"/>
        <v>0</v>
      </c>
      <c r="I210" s="3204">
        <f t="shared" si="86"/>
        <v>0</v>
      </c>
      <c r="J210" s="3205">
        <f t="shared" si="86"/>
        <v>0</v>
      </c>
      <c r="K210" s="3205">
        <f t="shared" si="86"/>
        <v>0</v>
      </c>
      <c r="L210" s="3205">
        <f t="shared" si="86"/>
        <v>0</v>
      </c>
      <c r="M210" s="3206">
        <f t="shared" si="86"/>
        <v>100000</v>
      </c>
      <c r="N210" s="3204">
        <f t="shared" si="86"/>
        <v>100588.99999999999</v>
      </c>
      <c r="O210" s="3205">
        <f t="shared" si="86"/>
        <v>100527</v>
      </c>
      <c r="P210" s="3205">
        <f t="shared" si="86"/>
        <v>100743.99999999999</v>
      </c>
      <c r="Q210" s="3205">
        <f t="shared" si="86"/>
        <v>101085</v>
      </c>
      <c r="R210" s="3206">
        <f t="shared" si="86"/>
        <v>101239.99999999999</v>
      </c>
      <c r="S210" s="1266"/>
      <c r="T210" s="1266"/>
      <c r="U210" s="1266"/>
      <c r="V210" s="583">
        <f>V208-V209</f>
        <v>0</v>
      </c>
      <c r="W210" s="580">
        <f t="shared" ref="W210:AC210" si="87">W208-W209</f>
        <v>0</v>
      </c>
      <c r="X210" s="580">
        <f t="shared" si="87"/>
        <v>0</v>
      </c>
      <c r="Y210" s="580">
        <f t="shared" si="87"/>
        <v>0</v>
      </c>
      <c r="Z210" s="1293">
        <f t="shared" si="87"/>
        <v>0</v>
      </c>
      <c r="AA210" s="583">
        <f t="shared" si="87"/>
        <v>0</v>
      </c>
      <c r="AB210" s="580">
        <f t="shared" si="87"/>
        <v>0</v>
      </c>
      <c r="AC210" s="584">
        <f t="shared" si="87"/>
        <v>0</v>
      </c>
    </row>
    <row r="211" spans="1:29" s="501" customFormat="1" ht="13.5" outlineLevel="2" thickBot="1">
      <c r="A211" s="299"/>
      <c r="B211" s="4403"/>
      <c r="C211" s="3248" t="s">
        <v>97</v>
      </c>
      <c r="D211" s="1607" t="e">
        <f t="shared" ref="D211:R211" si="88">D205/D204</f>
        <v>#DIV/0!</v>
      </c>
      <c r="E211" s="534" t="e">
        <f t="shared" si="88"/>
        <v>#DIV/0!</v>
      </c>
      <c r="F211" s="534" t="e">
        <f t="shared" si="88"/>
        <v>#DIV/0!</v>
      </c>
      <c r="G211" s="534" t="e">
        <f t="shared" si="88"/>
        <v>#DIV/0!</v>
      </c>
      <c r="H211" s="1299" t="e">
        <f t="shared" si="88"/>
        <v>#DIV/0!</v>
      </c>
      <c r="I211" s="1607" t="e">
        <f t="shared" si="88"/>
        <v>#DIV/0!</v>
      </c>
      <c r="J211" s="534" t="e">
        <f t="shared" si="88"/>
        <v>#DIV/0!</v>
      </c>
      <c r="K211" s="534" t="e">
        <f t="shared" si="88"/>
        <v>#DIV/0!</v>
      </c>
      <c r="L211" s="534" t="e">
        <f t="shared" si="88"/>
        <v>#DIV/0!</v>
      </c>
      <c r="M211" s="535" t="e">
        <f t="shared" si="88"/>
        <v>#DIV/0!</v>
      </c>
      <c r="N211" s="1607" t="e">
        <f t="shared" si="88"/>
        <v>#DIV/0!</v>
      </c>
      <c r="O211" s="534" t="e">
        <f t="shared" si="88"/>
        <v>#DIV/0!</v>
      </c>
      <c r="P211" s="534" t="e">
        <f t="shared" si="88"/>
        <v>#DIV/0!</v>
      </c>
      <c r="Q211" s="534" t="e">
        <f t="shared" si="88"/>
        <v>#DIV/0!</v>
      </c>
      <c r="R211" s="535" t="e">
        <f t="shared" si="88"/>
        <v>#DIV/0!</v>
      </c>
      <c r="S211" s="1266"/>
      <c r="T211" s="1266"/>
      <c r="U211" s="1266"/>
      <c r="V211" s="1607" t="e">
        <f t="shared" ref="V211:AC211" si="89">V189/V188</f>
        <v>#DIV/0!</v>
      </c>
      <c r="W211" s="534" t="e">
        <f t="shared" si="89"/>
        <v>#DIV/0!</v>
      </c>
      <c r="X211" s="534" t="e">
        <f t="shared" si="89"/>
        <v>#DIV/0!</v>
      </c>
      <c r="Y211" s="534" t="e">
        <f t="shared" si="89"/>
        <v>#DIV/0!</v>
      </c>
      <c r="Z211" s="1299" t="e">
        <f t="shared" si="89"/>
        <v>#DIV/0!</v>
      </c>
      <c r="AA211" s="1607" t="e">
        <f t="shared" si="89"/>
        <v>#DIV/0!</v>
      </c>
      <c r="AB211" s="534" t="e">
        <f t="shared" si="89"/>
        <v>#DIV/0!</v>
      </c>
      <c r="AC211" s="535" t="e">
        <f t="shared" si="89"/>
        <v>#DIV/0!</v>
      </c>
    </row>
    <row r="212" spans="1:29" ht="17.25" customHeight="1" outlineLevel="1">
      <c r="A212" s="299"/>
      <c r="B212" s="4310" t="s">
        <v>96</v>
      </c>
      <c r="C212" s="4311"/>
      <c r="D212" s="3249">
        <f t="shared" ref="D212:R212" si="90">D172+D180+D204</f>
        <v>834</v>
      </c>
      <c r="E212" s="3250">
        <f t="shared" si="90"/>
        <v>14471</v>
      </c>
      <c r="F212" s="3250">
        <f t="shared" si="90"/>
        <v>20030</v>
      </c>
      <c r="G212" s="3250">
        <f t="shared" si="90"/>
        <v>20872</v>
      </c>
      <c r="H212" s="3251">
        <f t="shared" si="90"/>
        <v>12295</v>
      </c>
      <c r="I212" s="3249">
        <f t="shared" si="90"/>
        <v>17988</v>
      </c>
      <c r="J212" s="3250">
        <f t="shared" si="90"/>
        <v>22418</v>
      </c>
      <c r="K212" s="4015">
        <f t="shared" si="90"/>
        <v>21988</v>
      </c>
      <c r="L212" s="4015">
        <f t="shared" si="90"/>
        <v>18839</v>
      </c>
      <c r="M212" s="3251">
        <f t="shared" si="90"/>
        <v>2879</v>
      </c>
      <c r="N212" s="3249">
        <f t="shared" si="90"/>
        <v>27806</v>
      </c>
      <c r="O212" s="3250">
        <f t="shared" si="90"/>
        <v>2903</v>
      </c>
      <c r="P212" s="3250">
        <f t="shared" si="90"/>
        <v>16874</v>
      </c>
      <c r="Q212" s="3250">
        <f t="shared" si="90"/>
        <v>7687</v>
      </c>
      <c r="R212" s="3251">
        <f t="shared" si="90"/>
        <v>6705</v>
      </c>
      <c r="V212" s="1515">
        <f t="shared" ref="V212:AC212" si="91">V172+V181+V206</f>
        <v>0</v>
      </c>
      <c r="W212" s="1516">
        <f t="shared" si="91"/>
        <v>0</v>
      </c>
      <c r="X212" s="1516">
        <f t="shared" si="91"/>
        <v>0</v>
      </c>
      <c r="Y212" s="1516">
        <f t="shared" si="91"/>
        <v>0</v>
      </c>
      <c r="Z212" s="1517">
        <f t="shared" si="91"/>
        <v>0</v>
      </c>
      <c r="AA212" s="1515">
        <f t="shared" si="91"/>
        <v>0</v>
      </c>
      <c r="AB212" s="1516">
        <f t="shared" si="91"/>
        <v>0</v>
      </c>
      <c r="AC212" s="1517">
        <f t="shared" si="91"/>
        <v>0</v>
      </c>
    </row>
    <row r="213" spans="1:29" ht="17.25" customHeight="1" outlineLevel="1" thickBot="1">
      <c r="A213" s="299"/>
      <c r="B213" s="4312" t="s">
        <v>95</v>
      </c>
      <c r="C213" s="4313"/>
      <c r="D213" s="3252">
        <f t="shared" ref="D213:K213" si="92">D176+D184+D208</f>
        <v>1779592.2636226416</v>
      </c>
      <c r="E213" s="3253">
        <f t="shared" si="92"/>
        <v>1925565.5043599999</v>
      </c>
      <c r="F213" s="3253">
        <f t="shared" si="92"/>
        <v>2607016.1358423918</v>
      </c>
      <c r="G213" s="3253">
        <f t="shared" si="92"/>
        <v>1956435.2638217986</v>
      </c>
      <c r="H213" s="3254">
        <f t="shared" si="92"/>
        <v>1886599.610693363</v>
      </c>
      <c r="I213" s="3252">
        <f t="shared" si="92"/>
        <v>2392222.9895000104</v>
      </c>
      <c r="J213" s="3253">
        <f t="shared" si="92"/>
        <v>2935865.3899999997</v>
      </c>
      <c r="K213" s="4016">
        <f t="shared" si="92"/>
        <v>3514485.5599999996</v>
      </c>
      <c r="L213" s="4016">
        <v>1383837.1853532621</v>
      </c>
      <c r="M213" s="3564">
        <f t="shared" ref="M213:R213" si="93">M176+M192+M200+M184+M208</f>
        <v>857149.60743893671</v>
      </c>
      <c r="N213" s="3252">
        <f t="shared" si="93"/>
        <v>3867048.0529026082</v>
      </c>
      <c r="O213" s="3253">
        <f t="shared" si="93"/>
        <v>1452310.5193780991</v>
      </c>
      <c r="P213" s="3253">
        <f t="shared" si="93"/>
        <v>2834617.3865016396</v>
      </c>
      <c r="Q213" s="3253">
        <f t="shared" si="93"/>
        <v>1340151.4706033219</v>
      </c>
      <c r="R213" s="3254">
        <f t="shared" si="93"/>
        <v>1126026.7358784447</v>
      </c>
      <c r="V213" s="1518">
        <f t="shared" ref="V213:AC213" si="94">V176+V185+V210</f>
        <v>0</v>
      </c>
      <c r="W213" s="1519">
        <f t="shared" si="94"/>
        <v>0</v>
      </c>
      <c r="X213" s="1519">
        <f t="shared" si="94"/>
        <v>0</v>
      </c>
      <c r="Y213" s="1519">
        <f t="shared" si="94"/>
        <v>0</v>
      </c>
      <c r="Z213" s="1520">
        <f t="shared" si="94"/>
        <v>0</v>
      </c>
      <c r="AA213" s="1518">
        <f t="shared" si="94"/>
        <v>0</v>
      </c>
      <c r="AB213" s="1519">
        <f t="shared" si="94"/>
        <v>0</v>
      </c>
      <c r="AC213" s="1520">
        <f t="shared" si="94"/>
        <v>0</v>
      </c>
    </row>
    <row r="214" spans="1:29" s="501" customFormat="1" ht="20.25" customHeight="1" thickBot="1">
      <c r="A214" s="299"/>
      <c r="B214" s="3207" t="s">
        <v>461</v>
      </c>
      <c r="C214" s="3208"/>
      <c r="D214" s="3209"/>
      <c r="E214" s="3209"/>
      <c r="F214" s="3209"/>
      <c r="G214" s="3209"/>
      <c r="H214" s="3209"/>
      <c r="I214" s="3209"/>
      <c r="J214" s="3209"/>
      <c r="K214" s="3209"/>
      <c r="L214" s="3209"/>
      <c r="M214" s="3209"/>
      <c r="N214" s="3209"/>
      <c r="O214" s="3209"/>
      <c r="P214" s="3209"/>
      <c r="Q214" s="3209"/>
      <c r="R214" s="3210"/>
      <c r="S214" s="1266"/>
      <c r="T214" s="1266"/>
      <c r="U214" s="1266"/>
      <c r="V214" s="1367"/>
      <c r="W214" s="1368"/>
      <c r="X214" s="1368"/>
      <c r="Y214" s="1368"/>
      <c r="Z214" s="1368"/>
      <c r="AA214" s="1368"/>
      <c r="AB214" s="1368"/>
      <c r="AC214" s="1369"/>
    </row>
    <row r="215" spans="1:29" outlineLevel="2">
      <c r="A215" s="299"/>
      <c r="B215" s="4309" t="s">
        <v>1563</v>
      </c>
      <c r="C215" s="3255" t="s">
        <v>94</v>
      </c>
      <c r="D215" s="486">
        <f>D24</f>
        <v>73559</v>
      </c>
      <c r="E215" s="485">
        <f>E24</f>
        <v>29331</v>
      </c>
      <c r="F215" s="485">
        <f>F24</f>
        <v>26430</v>
      </c>
      <c r="G215" s="485">
        <f>G24</f>
        <v>22776</v>
      </c>
      <c r="H215" s="487">
        <f>H24</f>
        <v>65854</v>
      </c>
      <c r="I215" s="486">
        <v>7422</v>
      </c>
      <c r="J215" s="485">
        <v>5952</v>
      </c>
      <c r="K215" s="485">
        <v>9742</v>
      </c>
      <c r="L215" s="3996">
        <v>14136</v>
      </c>
      <c r="M215" s="485"/>
      <c r="N215" s="486"/>
      <c r="O215" s="485"/>
      <c r="P215" s="485"/>
      <c r="Q215" s="485"/>
      <c r="R215" s="487"/>
      <c r="V215" s="1825"/>
      <c r="W215" s="1826"/>
      <c r="X215" s="1826"/>
      <c r="Y215" s="1826"/>
      <c r="Z215" s="1827"/>
      <c r="AA215" s="1825"/>
      <c r="AB215" s="1826"/>
      <c r="AC215" s="1827"/>
    </row>
    <row r="216" spans="1:29" ht="25.5" outlineLevel="2">
      <c r="A216" s="299"/>
      <c r="B216" s="4307"/>
      <c r="C216" s="3226" t="s">
        <v>585</v>
      </c>
      <c r="D216" s="486"/>
      <c r="E216" s="485"/>
      <c r="F216" s="485"/>
      <c r="G216" s="485"/>
      <c r="H216" s="487"/>
      <c r="I216" s="486"/>
      <c r="J216" s="485"/>
      <c r="K216" s="485"/>
      <c r="L216" s="3996"/>
      <c r="M216" s="485"/>
      <c r="N216" s="486"/>
      <c r="O216" s="485"/>
      <c r="P216" s="485"/>
      <c r="Q216" s="485"/>
      <c r="R216" s="487"/>
      <c r="V216" s="489"/>
      <c r="W216" s="490"/>
      <c r="X216" s="490"/>
      <c r="Y216" s="490"/>
      <c r="Z216" s="491"/>
      <c r="AA216" s="489"/>
      <c r="AB216" s="490"/>
      <c r="AC216" s="491"/>
    </row>
    <row r="217" spans="1:29" ht="25.5" outlineLevel="2">
      <c r="A217" s="299"/>
      <c r="B217" s="4307"/>
      <c r="C217" s="3226" t="s">
        <v>584</v>
      </c>
      <c r="D217" s="486">
        <v>0</v>
      </c>
      <c r="E217" s="485">
        <v>784047.2300000001</v>
      </c>
      <c r="F217" s="485">
        <v>745569.71000000008</v>
      </c>
      <c r="G217" s="485">
        <v>698333.88</v>
      </c>
      <c r="H217" s="487">
        <v>1736129.41</v>
      </c>
      <c r="I217" s="486">
        <v>820877</v>
      </c>
      <c r="J217" s="485">
        <v>438854.93</v>
      </c>
      <c r="K217" s="485">
        <v>533093.83000000007</v>
      </c>
      <c r="L217" s="3996">
        <v>701169</v>
      </c>
      <c r="M217" s="485"/>
      <c r="N217" s="486"/>
      <c r="O217" s="485"/>
      <c r="P217" s="485"/>
      <c r="Q217" s="485"/>
      <c r="R217" s="487"/>
      <c r="V217" s="489"/>
      <c r="W217" s="490"/>
      <c r="X217" s="490"/>
      <c r="Y217" s="490"/>
      <c r="Z217" s="491"/>
      <c r="AA217" s="489"/>
      <c r="AB217" s="490"/>
      <c r="AC217" s="491"/>
    </row>
    <row r="218" spans="1:29" ht="25.5" outlineLevel="2">
      <c r="A218" s="299"/>
      <c r="B218" s="4307"/>
      <c r="C218" s="3226" t="s">
        <v>604</v>
      </c>
      <c r="D218" s="486"/>
      <c r="E218" s="485"/>
      <c r="F218" s="485"/>
      <c r="G218" s="485"/>
      <c r="H218" s="487"/>
      <c r="I218" s="486"/>
      <c r="J218" s="485"/>
      <c r="K218" s="485"/>
      <c r="L218" s="3996"/>
      <c r="M218" s="485"/>
      <c r="N218" s="486"/>
      <c r="O218" s="485"/>
      <c r="P218" s="485"/>
      <c r="Q218" s="485"/>
      <c r="R218" s="487"/>
      <c r="V218" s="489"/>
      <c r="W218" s="490"/>
      <c r="X218" s="490"/>
      <c r="Y218" s="490"/>
      <c r="Z218" s="491"/>
      <c r="AA218" s="489"/>
      <c r="AB218" s="490"/>
      <c r="AC218" s="491"/>
    </row>
    <row r="219" spans="1:29" outlineLevel="2">
      <c r="A219" s="299"/>
      <c r="B219" s="4307"/>
      <c r="C219" s="3256" t="s">
        <v>605</v>
      </c>
      <c r="D219" s="505">
        <f>D216+D217+D218</f>
        <v>0</v>
      </c>
      <c r="E219" s="506">
        <f t="shared" ref="E219:R219" si="95">E216+E217+E218</f>
        <v>784047.2300000001</v>
      </c>
      <c r="F219" s="506">
        <f t="shared" si="95"/>
        <v>745569.71000000008</v>
      </c>
      <c r="G219" s="506">
        <f t="shared" si="95"/>
        <v>698333.88</v>
      </c>
      <c r="H219" s="454">
        <f t="shared" si="95"/>
        <v>1736129.41</v>
      </c>
      <c r="I219" s="505">
        <f t="shared" si="95"/>
        <v>820877</v>
      </c>
      <c r="J219" s="506">
        <f t="shared" si="95"/>
        <v>438854.93</v>
      </c>
      <c r="K219" s="506">
        <f t="shared" si="95"/>
        <v>533093.83000000007</v>
      </c>
      <c r="L219" s="4012">
        <f t="shared" si="95"/>
        <v>701169</v>
      </c>
      <c r="M219" s="506">
        <f t="shared" si="95"/>
        <v>0</v>
      </c>
      <c r="N219" s="505">
        <f t="shared" si="95"/>
        <v>0</v>
      </c>
      <c r="O219" s="506">
        <f t="shared" si="95"/>
        <v>0</v>
      </c>
      <c r="P219" s="506">
        <f t="shared" si="95"/>
        <v>0</v>
      </c>
      <c r="Q219" s="506">
        <f t="shared" si="95"/>
        <v>0</v>
      </c>
      <c r="R219" s="454">
        <f t="shared" si="95"/>
        <v>0</v>
      </c>
      <c r="V219" s="489">
        <f>V216+V217+V218</f>
        <v>0</v>
      </c>
      <c r="W219" s="490">
        <f t="shared" ref="W219:AC219" si="96">W216+W217+W218</f>
        <v>0</v>
      </c>
      <c r="X219" s="490">
        <f t="shared" si="96"/>
        <v>0</v>
      </c>
      <c r="Y219" s="490">
        <f t="shared" si="96"/>
        <v>0</v>
      </c>
      <c r="Z219" s="491">
        <f t="shared" si="96"/>
        <v>0</v>
      </c>
      <c r="AA219" s="489">
        <f t="shared" si="96"/>
        <v>0</v>
      </c>
      <c r="AB219" s="490">
        <f t="shared" si="96"/>
        <v>0</v>
      </c>
      <c r="AC219" s="491">
        <f t="shared" si="96"/>
        <v>0</v>
      </c>
    </row>
    <row r="220" spans="1:29" ht="25.5" outlineLevel="2">
      <c r="A220" s="299"/>
      <c r="B220" s="4307"/>
      <c r="C220" s="3226" t="s">
        <v>609</v>
      </c>
      <c r="D220" s="486"/>
      <c r="E220" s="485"/>
      <c r="F220" s="485"/>
      <c r="G220" s="485"/>
      <c r="H220" s="487">
        <v>0</v>
      </c>
      <c r="I220" s="3201"/>
      <c r="J220" s="3202"/>
      <c r="K220" s="3202"/>
      <c r="L220" s="4003"/>
      <c r="M220" s="3202"/>
      <c r="N220" s="3211"/>
      <c r="O220" s="3212"/>
      <c r="P220" s="3212"/>
      <c r="Q220" s="3212"/>
      <c r="R220" s="3213"/>
      <c r="V220" s="489"/>
      <c r="W220" s="490"/>
      <c r="X220" s="490"/>
      <c r="Y220" s="490"/>
      <c r="Z220" s="491"/>
      <c r="AA220" s="536"/>
      <c r="AB220" s="537"/>
      <c r="AC220" s="573"/>
    </row>
    <row r="221" spans="1:29" ht="25.5" outlineLevel="2">
      <c r="A221" s="299"/>
      <c r="B221" s="4307"/>
      <c r="C221" s="3226" t="s">
        <v>607</v>
      </c>
      <c r="D221" s="486"/>
      <c r="E221" s="485"/>
      <c r="F221" s="485"/>
      <c r="G221" s="485"/>
      <c r="H221" s="487"/>
      <c r="I221" s="486"/>
      <c r="J221" s="485"/>
      <c r="K221" s="485"/>
      <c r="L221" s="3996"/>
      <c r="M221" s="485"/>
      <c r="N221" s="486"/>
      <c r="O221" s="485"/>
      <c r="P221" s="485"/>
      <c r="Q221" s="485"/>
      <c r="R221" s="487"/>
      <c r="V221" s="489"/>
      <c r="W221" s="490"/>
      <c r="X221" s="490"/>
      <c r="Y221" s="490"/>
      <c r="Z221" s="491"/>
      <c r="AA221" s="489"/>
      <c r="AB221" s="490"/>
      <c r="AC221" s="491"/>
    </row>
    <row r="222" spans="1:29" outlineLevel="2">
      <c r="A222" s="299"/>
      <c r="B222" s="4307"/>
      <c r="C222" s="3257" t="s">
        <v>610</v>
      </c>
      <c r="D222" s="3204">
        <f>D219+D220+D221</f>
        <v>0</v>
      </c>
      <c r="E222" s="3205">
        <f t="shared" ref="E222:R222" si="97">E219+E220+E221</f>
        <v>784047.2300000001</v>
      </c>
      <c r="F222" s="3205">
        <f t="shared" si="97"/>
        <v>745569.71000000008</v>
      </c>
      <c r="G222" s="3205">
        <f t="shared" si="97"/>
        <v>698333.88</v>
      </c>
      <c r="H222" s="3206">
        <f t="shared" si="97"/>
        <v>1736129.41</v>
      </c>
      <c r="I222" s="3204">
        <f t="shared" si="97"/>
        <v>820877</v>
      </c>
      <c r="J222" s="3205">
        <f t="shared" si="97"/>
        <v>438854.93</v>
      </c>
      <c r="K222" s="3205">
        <f t="shared" si="97"/>
        <v>533093.83000000007</v>
      </c>
      <c r="L222" s="4006">
        <f t="shared" si="97"/>
        <v>701169</v>
      </c>
      <c r="M222" s="3205">
        <f t="shared" si="97"/>
        <v>0</v>
      </c>
      <c r="N222" s="3204">
        <f t="shared" si="97"/>
        <v>0</v>
      </c>
      <c r="O222" s="3205">
        <f t="shared" si="97"/>
        <v>0</v>
      </c>
      <c r="P222" s="3205">
        <f t="shared" si="97"/>
        <v>0</v>
      </c>
      <c r="Q222" s="3205">
        <f t="shared" si="97"/>
        <v>0</v>
      </c>
      <c r="R222" s="3206">
        <f t="shared" si="97"/>
        <v>0</v>
      </c>
      <c r="V222" s="583">
        <f>V219+V220+V221</f>
        <v>0</v>
      </c>
      <c r="W222" s="580">
        <f t="shared" ref="W222:AC222" si="98">W219+W220+W221</f>
        <v>0</v>
      </c>
      <c r="X222" s="580">
        <f t="shared" si="98"/>
        <v>0</v>
      </c>
      <c r="Y222" s="580">
        <f t="shared" si="98"/>
        <v>0</v>
      </c>
      <c r="Z222" s="584">
        <f t="shared" si="98"/>
        <v>0</v>
      </c>
      <c r="AA222" s="583">
        <f t="shared" si="98"/>
        <v>0</v>
      </c>
      <c r="AB222" s="580">
        <f t="shared" si="98"/>
        <v>0</v>
      </c>
      <c r="AC222" s="584">
        <f t="shared" si="98"/>
        <v>0</v>
      </c>
    </row>
    <row r="223" spans="1:29" outlineLevel="2">
      <c r="A223" s="299"/>
      <c r="B223" s="4307"/>
      <c r="C223" s="3226" t="s">
        <v>631</v>
      </c>
      <c r="D223" s="486"/>
      <c r="E223" s="485"/>
      <c r="F223" s="485"/>
      <c r="G223" s="485"/>
      <c r="H223" s="487"/>
      <c r="I223" s="486"/>
      <c r="J223" s="485"/>
      <c r="K223" s="485"/>
      <c r="L223" s="3996"/>
      <c r="M223" s="485"/>
      <c r="N223" s="486"/>
      <c r="O223" s="485"/>
      <c r="P223" s="485"/>
      <c r="Q223" s="485"/>
      <c r="R223" s="487"/>
      <c r="V223" s="489"/>
      <c r="W223" s="490"/>
      <c r="X223" s="490"/>
      <c r="Y223" s="490"/>
      <c r="Z223" s="491"/>
      <c r="AA223" s="489"/>
      <c r="AB223" s="490"/>
      <c r="AC223" s="491"/>
    </row>
    <row r="224" spans="1:29" ht="13.5" outlineLevel="2" thickBot="1">
      <c r="A224" s="299"/>
      <c r="B224" s="4307"/>
      <c r="C224" s="3258" t="s">
        <v>611</v>
      </c>
      <c r="D224" s="3193">
        <f>D222-D223</f>
        <v>0</v>
      </c>
      <c r="E224" s="3194">
        <f t="shared" ref="E224:R224" si="99">E222-E223</f>
        <v>784047.2300000001</v>
      </c>
      <c r="F224" s="3194">
        <f t="shared" si="99"/>
        <v>745569.71000000008</v>
      </c>
      <c r="G224" s="3194">
        <f t="shared" si="99"/>
        <v>698333.88</v>
      </c>
      <c r="H224" s="3195">
        <f t="shared" si="99"/>
        <v>1736129.41</v>
      </c>
      <c r="I224" s="3193">
        <f t="shared" si="99"/>
        <v>820877</v>
      </c>
      <c r="J224" s="3194">
        <f t="shared" si="99"/>
        <v>438854.93</v>
      </c>
      <c r="K224" s="3194">
        <f t="shared" si="99"/>
        <v>533093.83000000007</v>
      </c>
      <c r="L224" s="4007">
        <f t="shared" si="99"/>
        <v>701169</v>
      </c>
      <c r="M224" s="3194">
        <f t="shared" si="99"/>
        <v>0</v>
      </c>
      <c r="N224" s="3193">
        <f t="shared" si="99"/>
        <v>0</v>
      </c>
      <c r="O224" s="3194">
        <f t="shared" si="99"/>
        <v>0</v>
      </c>
      <c r="P224" s="3194">
        <f t="shared" si="99"/>
        <v>0</v>
      </c>
      <c r="Q224" s="3194">
        <f t="shared" si="99"/>
        <v>0</v>
      </c>
      <c r="R224" s="3195">
        <f t="shared" si="99"/>
        <v>0</v>
      </c>
      <c r="V224" s="583">
        <f>V222-V223</f>
        <v>0</v>
      </c>
      <c r="W224" s="580">
        <f t="shared" ref="W224:AC224" si="100">W222-W223</f>
        <v>0</v>
      </c>
      <c r="X224" s="580">
        <f t="shared" si="100"/>
        <v>0</v>
      </c>
      <c r="Y224" s="580">
        <f t="shared" si="100"/>
        <v>0</v>
      </c>
      <c r="Z224" s="584">
        <f t="shared" si="100"/>
        <v>0</v>
      </c>
      <c r="AA224" s="583">
        <f t="shared" si="100"/>
        <v>0</v>
      </c>
      <c r="AB224" s="580">
        <f t="shared" si="100"/>
        <v>0</v>
      </c>
      <c r="AC224" s="584">
        <f t="shared" si="100"/>
        <v>0</v>
      </c>
    </row>
    <row r="225" spans="1:29" ht="13.5" outlineLevel="2" thickBot="1">
      <c r="A225" s="299"/>
      <c r="B225" s="4308"/>
      <c r="C225" s="3259" t="s">
        <v>97</v>
      </c>
      <c r="D225" s="1607">
        <f t="shared" ref="D225:R225" si="101">D224/D215</f>
        <v>0</v>
      </c>
      <c r="E225" s="534">
        <f t="shared" si="101"/>
        <v>26.731009171184073</v>
      </c>
      <c r="F225" s="534">
        <f t="shared" si="101"/>
        <v>28.209220961029136</v>
      </c>
      <c r="G225" s="534">
        <f t="shared" si="101"/>
        <v>30.66095363540569</v>
      </c>
      <c r="H225" s="535">
        <f t="shared" si="101"/>
        <v>26.363309897652382</v>
      </c>
      <c r="I225" s="1607">
        <f t="shared" si="101"/>
        <v>110.60051199137699</v>
      </c>
      <c r="J225" s="534">
        <f t="shared" si="101"/>
        <v>73.732347110215059</v>
      </c>
      <c r="K225" s="534">
        <f t="shared" si="101"/>
        <v>54.721189694107991</v>
      </c>
      <c r="L225" s="4011">
        <f t="shared" si="101"/>
        <v>49.601655348047537</v>
      </c>
      <c r="M225" s="535" t="e">
        <f t="shared" si="101"/>
        <v>#DIV/0!</v>
      </c>
      <c r="N225" s="1607" t="e">
        <f t="shared" si="101"/>
        <v>#DIV/0!</v>
      </c>
      <c r="O225" s="534" t="e">
        <f t="shared" si="101"/>
        <v>#DIV/0!</v>
      </c>
      <c r="P225" s="534" t="e">
        <f t="shared" si="101"/>
        <v>#DIV/0!</v>
      </c>
      <c r="Q225" s="534" t="e">
        <f t="shared" si="101"/>
        <v>#DIV/0!</v>
      </c>
      <c r="R225" s="535" t="e">
        <f t="shared" si="101"/>
        <v>#DIV/0!</v>
      </c>
      <c r="V225" s="1607" t="e">
        <f t="shared" ref="V225:AC225" si="102">V224/V215</f>
        <v>#DIV/0!</v>
      </c>
      <c r="W225" s="534" t="e">
        <f t="shared" si="102"/>
        <v>#DIV/0!</v>
      </c>
      <c r="X225" s="534" t="e">
        <f t="shared" si="102"/>
        <v>#DIV/0!</v>
      </c>
      <c r="Y225" s="534" t="e">
        <f t="shared" si="102"/>
        <v>#DIV/0!</v>
      </c>
      <c r="Z225" s="535" t="e">
        <f t="shared" si="102"/>
        <v>#DIV/0!</v>
      </c>
      <c r="AA225" s="1607" t="e">
        <f t="shared" si="102"/>
        <v>#DIV/0!</v>
      </c>
      <c r="AB225" s="534" t="e">
        <f t="shared" si="102"/>
        <v>#DIV/0!</v>
      </c>
      <c r="AC225" s="535" t="e">
        <f t="shared" si="102"/>
        <v>#DIV/0!</v>
      </c>
    </row>
    <row r="226" spans="1:29" s="501" customFormat="1" outlineLevel="2">
      <c r="A226" s="299"/>
      <c r="B226" s="4309" t="s">
        <v>1565</v>
      </c>
      <c r="C226" s="3255" t="s">
        <v>94</v>
      </c>
      <c r="D226" s="486">
        <f>D27</f>
        <v>0</v>
      </c>
      <c r="E226" s="485">
        <f>E27</f>
        <v>135</v>
      </c>
      <c r="F226" s="485">
        <f>F27</f>
        <v>51</v>
      </c>
      <c r="G226" s="485">
        <f>G27</f>
        <v>149</v>
      </c>
      <c r="H226" s="487">
        <f>H27</f>
        <v>122</v>
      </c>
      <c r="I226" s="486">
        <v>805</v>
      </c>
      <c r="J226" s="485">
        <v>667</v>
      </c>
      <c r="K226" s="485">
        <v>526</v>
      </c>
      <c r="L226" s="3996">
        <v>619</v>
      </c>
      <c r="M226" s="485"/>
      <c r="N226" s="486"/>
      <c r="O226" s="485"/>
      <c r="P226" s="485"/>
      <c r="Q226" s="485"/>
      <c r="R226" s="487"/>
      <c r="S226" s="1266"/>
      <c r="T226" s="1266"/>
      <c r="U226" s="1266"/>
      <c r="V226" s="1825"/>
      <c r="W226" s="1826"/>
      <c r="X226" s="1826"/>
      <c r="Y226" s="1826"/>
      <c r="Z226" s="1827"/>
      <c r="AA226" s="1825"/>
      <c r="AB226" s="1826"/>
      <c r="AC226" s="1827"/>
    </row>
    <row r="227" spans="1:29" s="501" customFormat="1" ht="25.5" outlineLevel="2">
      <c r="A227" s="299"/>
      <c r="B227" s="4307"/>
      <c r="C227" s="3226" t="s">
        <v>585</v>
      </c>
      <c r="D227" s="486"/>
      <c r="E227" s="485"/>
      <c r="F227" s="485"/>
      <c r="G227" s="485"/>
      <c r="H227" s="487"/>
      <c r="I227" s="486"/>
      <c r="J227" s="485"/>
      <c r="K227" s="485"/>
      <c r="L227" s="3996"/>
      <c r="M227" s="485"/>
      <c r="N227" s="486"/>
      <c r="O227" s="485"/>
      <c r="P227" s="485"/>
      <c r="Q227" s="485"/>
      <c r="R227" s="487"/>
      <c r="S227" s="1266"/>
      <c r="T227" s="1266"/>
      <c r="U227" s="1266"/>
      <c r="V227" s="489"/>
      <c r="W227" s="490"/>
      <c r="X227" s="490"/>
      <c r="Y227" s="490"/>
      <c r="Z227" s="491"/>
      <c r="AA227" s="489"/>
      <c r="AB227" s="490"/>
      <c r="AC227" s="491"/>
    </row>
    <row r="228" spans="1:29" s="501" customFormat="1" ht="25.5" outlineLevel="2">
      <c r="A228" s="299"/>
      <c r="B228" s="4307"/>
      <c r="C228" s="3226" t="s">
        <v>584</v>
      </c>
      <c r="D228" s="486">
        <v>0</v>
      </c>
      <c r="E228" s="485">
        <v>57000</v>
      </c>
      <c r="F228" s="485">
        <v>62800.26</v>
      </c>
      <c r="G228" s="485">
        <v>79207.710000000006</v>
      </c>
      <c r="H228" s="487">
        <v>64033.88</v>
      </c>
      <c r="I228" s="486">
        <v>602637</v>
      </c>
      <c r="J228" s="485">
        <v>371656.14</v>
      </c>
      <c r="K228" s="485">
        <v>275989.52999999997</v>
      </c>
      <c r="L228" s="3996">
        <v>267079</v>
      </c>
      <c r="M228" s="485"/>
      <c r="N228" s="486"/>
      <c r="O228" s="485"/>
      <c r="P228" s="485"/>
      <c r="Q228" s="485"/>
      <c r="R228" s="487"/>
      <c r="S228" s="1266"/>
      <c r="T228" s="1266"/>
      <c r="U228" s="1266"/>
      <c r="V228" s="489"/>
      <c r="W228" s="490"/>
      <c r="X228" s="490"/>
      <c r="Y228" s="490"/>
      <c r="Z228" s="491"/>
      <c r="AA228" s="489"/>
      <c r="AB228" s="490"/>
      <c r="AC228" s="491"/>
    </row>
    <row r="229" spans="1:29" s="501" customFormat="1" ht="25.5" outlineLevel="2">
      <c r="A229" s="299"/>
      <c r="B229" s="4307"/>
      <c r="C229" s="3226" t="s">
        <v>604</v>
      </c>
      <c r="D229" s="486"/>
      <c r="E229" s="485"/>
      <c r="F229" s="485"/>
      <c r="G229" s="485"/>
      <c r="H229" s="487"/>
      <c r="I229" s="486"/>
      <c r="J229" s="485"/>
      <c r="K229" s="485"/>
      <c r="L229" s="3996"/>
      <c r="M229" s="485"/>
      <c r="N229" s="486"/>
      <c r="O229" s="485"/>
      <c r="P229" s="485"/>
      <c r="Q229" s="485"/>
      <c r="R229" s="487"/>
      <c r="S229" s="1266"/>
      <c r="T229" s="1266"/>
      <c r="U229" s="1266"/>
      <c r="V229" s="489"/>
      <c r="W229" s="490"/>
      <c r="X229" s="490"/>
      <c r="Y229" s="490"/>
      <c r="Z229" s="491"/>
      <c r="AA229" s="489"/>
      <c r="AB229" s="490"/>
      <c r="AC229" s="491"/>
    </row>
    <row r="230" spans="1:29" s="501" customFormat="1" outlineLevel="2">
      <c r="A230" s="299"/>
      <c r="B230" s="4307"/>
      <c r="C230" s="3256" t="s">
        <v>605</v>
      </c>
      <c r="D230" s="505">
        <f>D227+D228+D229</f>
        <v>0</v>
      </c>
      <c r="E230" s="506">
        <f t="shared" ref="E230:R230" si="103">E227+E228+E229</f>
        <v>57000</v>
      </c>
      <c r="F230" s="506">
        <f t="shared" si="103"/>
        <v>62800.26</v>
      </c>
      <c r="G230" s="506">
        <f t="shared" si="103"/>
        <v>79207.710000000006</v>
      </c>
      <c r="H230" s="454">
        <f t="shared" si="103"/>
        <v>64033.88</v>
      </c>
      <c r="I230" s="505">
        <f t="shared" si="103"/>
        <v>602637</v>
      </c>
      <c r="J230" s="506">
        <f t="shared" si="103"/>
        <v>371656.14</v>
      </c>
      <c r="K230" s="506">
        <f t="shared" si="103"/>
        <v>275989.52999999997</v>
      </c>
      <c r="L230" s="4012">
        <f t="shared" si="103"/>
        <v>267079</v>
      </c>
      <c r="M230" s="506">
        <f t="shared" si="103"/>
        <v>0</v>
      </c>
      <c r="N230" s="505">
        <f t="shared" si="103"/>
        <v>0</v>
      </c>
      <c r="O230" s="506">
        <f t="shared" si="103"/>
        <v>0</v>
      </c>
      <c r="P230" s="506">
        <f t="shared" si="103"/>
        <v>0</v>
      </c>
      <c r="Q230" s="506">
        <f t="shared" si="103"/>
        <v>0</v>
      </c>
      <c r="R230" s="454">
        <f t="shared" si="103"/>
        <v>0</v>
      </c>
      <c r="S230" s="1266"/>
      <c r="T230" s="1266"/>
      <c r="U230" s="1266"/>
      <c r="V230" s="489">
        <f>V227+V228+V229</f>
        <v>0</v>
      </c>
      <c r="W230" s="490">
        <f t="shared" ref="W230:AC230" si="104">W227+W228+W229</f>
        <v>0</v>
      </c>
      <c r="X230" s="490">
        <f t="shared" si="104"/>
        <v>0</v>
      </c>
      <c r="Y230" s="490">
        <f t="shared" si="104"/>
        <v>0</v>
      </c>
      <c r="Z230" s="491">
        <f t="shared" si="104"/>
        <v>0</v>
      </c>
      <c r="AA230" s="489">
        <f t="shared" si="104"/>
        <v>0</v>
      </c>
      <c r="AB230" s="490">
        <f t="shared" si="104"/>
        <v>0</v>
      </c>
      <c r="AC230" s="491">
        <f t="shared" si="104"/>
        <v>0</v>
      </c>
    </row>
    <row r="231" spans="1:29" s="501" customFormat="1" ht="25.5" outlineLevel="2">
      <c r="A231" s="299"/>
      <c r="B231" s="4307"/>
      <c r="C231" s="3226" t="s">
        <v>609</v>
      </c>
      <c r="D231" s="486"/>
      <c r="E231" s="485"/>
      <c r="F231" s="485"/>
      <c r="G231" s="485"/>
      <c r="H231" s="487">
        <v>0</v>
      </c>
      <c r="I231" s="3201"/>
      <c r="J231" s="3202"/>
      <c r="K231" s="3202"/>
      <c r="L231" s="4003"/>
      <c r="M231" s="3202"/>
      <c r="N231" s="3211"/>
      <c r="O231" s="3212"/>
      <c r="P231" s="3212"/>
      <c r="Q231" s="3212"/>
      <c r="R231" s="3213"/>
      <c r="S231" s="1266"/>
      <c r="T231" s="1266"/>
      <c r="U231" s="1266"/>
      <c r="V231" s="489"/>
      <c r="W231" s="490"/>
      <c r="X231" s="490"/>
      <c r="Y231" s="490"/>
      <c r="Z231" s="491"/>
      <c r="AA231" s="536"/>
      <c r="AB231" s="537"/>
      <c r="AC231" s="573"/>
    </row>
    <row r="232" spans="1:29" s="501" customFormat="1" ht="25.5" outlineLevel="2">
      <c r="A232" s="299"/>
      <c r="B232" s="4307"/>
      <c r="C232" s="3226" t="s">
        <v>607</v>
      </c>
      <c r="D232" s="486"/>
      <c r="E232" s="485"/>
      <c r="F232" s="485"/>
      <c r="G232" s="485"/>
      <c r="H232" s="487"/>
      <c r="I232" s="486"/>
      <c r="J232" s="485"/>
      <c r="K232" s="485"/>
      <c r="L232" s="3996"/>
      <c r="M232" s="485"/>
      <c r="N232" s="486"/>
      <c r="O232" s="485"/>
      <c r="P232" s="485"/>
      <c r="Q232" s="485"/>
      <c r="R232" s="487"/>
      <c r="S232" s="1266"/>
      <c r="T232" s="1266"/>
      <c r="U232" s="1266"/>
      <c r="V232" s="489"/>
      <c r="W232" s="490"/>
      <c r="X232" s="490"/>
      <c r="Y232" s="490"/>
      <c r="Z232" s="491"/>
      <c r="AA232" s="489"/>
      <c r="AB232" s="490"/>
      <c r="AC232" s="491"/>
    </row>
    <row r="233" spans="1:29" s="501" customFormat="1" outlineLevel="2">
      <c r="A233" s="299"/>
      <c r="B233" s="4307"/>
      <c r="C233" s="3257" t="s">
        <v>610</v>
      </c>
      <c r="D233" s="3204">
        <f>D230+D231+D232</f>
        <v>0</v>
      </c>
      <c r="E233" s="3205">
        <f t="shared" ref="E233:R233" si="105">E230+E231+E232</f>
        <v>57000</v>
      </c>
      <c r="F233" s="3205">
        <f t="shared" si="105"/>
        <v>62800.26</v>
      </c>
      <c r="G233" s="3205">
        <f t="shared" si="105"/>
        <v>79207.710000000006</v>
      </c>
      <c r="H233" s="3206">
        <f t="shared" si="105"/>
        <v>64033.88</v>
      </c>
      <c r="I233" s="3204">
        <f t="shared" si="105"/>
        <v>602637</v>
      </c>
      <c r="J233" s="3205">
        <f t="shared" si="105"/>
        <v>371656.14</v>
      </c>
      <c r="K233" s="3205">
        <f t="shared" si="105"/>
        <v>275989.52999999997</v>
      </c>
      <c r="L233" s="4006">
        <f t="shared" si="105"/>
        <v>267079</v>
      </c>
      <c r="M233" s="3205">
        <f t="shared" si="105"/>
        <v>0</v>
      </c>
      <c r="N233" s="3204">
        <f t="shared" si="105"/>
        <v>0</v>
      </c>
      <c r="O233" s="3205">
        <f t="shared" si="105"/>
        <v>0</v>
      </c>
      <c r="P233" s="3205">
        <f t="shared" si="105"/>
        <v>0</v>
      </c>
      <c r="Q233" s="3205">
        <f t="shared" si="105"/>
        <v>0</v>
      </c>
      <c r="R233" s="3206">
        <f t="shared" si="105"/>
        <v>0</v>
      </c>
      <c r="S233" s="1266"/>
      <c r="T233" s="1266"/>
      <c r="U233" s="1266"/>
      <c r="V233" s="583">
        <f>V230+V231+V232</f>
        <v>0</v>
      </c>
      <c r="W233" s="580">
        <f t="shared" ref="W233:AC233" si="106">W230+W231+W232</f>
        <v>0</v>
      </c>
      <c r="X233" s="580">
        <f t="shared" si="106"/>
        <v>0</v>
      </c>
      <c r="Y233" s="580">
        <f t="shared" si="106"/>
        <v>0</v>
      </c>
      <c r="Z233" s="584">
        <f t="shared" si="106"/>
        <v>0</v>
      </c>
      <c r="AA233" s="583">
        <f t="shared" si="106"/>
        <v>0</v>
      </c>
      <c r="AB233" s="580">
        <f t="shared" si="106"/>
        <v>0</v>
      </c>
      <c r="AC233" s="584">
        <f t="shared" si="106"/>
        <v>0</v>
      </c>
    </row>
    <row r="234" spans="1:29" s="501" customFormat="1" outlineLevel="2">
      <c r="A234" s="299"/>
      <c r="B234" s="4307"/>
      <c r="C234" s="3226" t="s">
        <v>631</v>
      </c>
      <c r="D234" s="486"/>
      <c r="E234" s="485"/>
      <c r="F234" s="485"/>
      <c r="G234" s="485"/>
      <c r="H234" s="487"/>
      <c r="I234" s="486"/>
      <c r="J234" s="485"/>
      <c r="K234" s="485"/>
      <c r="L234" s="3996"/>
      <c r="M234" s="485"/>
      <c r="N234" s="486"/>
      <c r="O234" s="485"/>
      <c r="P234" s="485"/>
      <c r="Q234" s="485"/>
      <c r="R234" s="487"/>
      <c r="S234" s="1266"/>
      <c r="T234" s="1266"/>
      <c r="U234" s="1266"/>
      <c r="V234" s="489"/>
      <c r="W234" s="490"/>
      <c r="X234" s="490"/>
      <c r="Y234" s="490"/>
      <c r="Z234" s="491"/>
      <c r="AA234" s="489"/>
      <c r="AB234" s="490"/>
      <c r="AC234" s="491"/>
    </row>
    <row r="235" spans="1:29" s="501" customFormat="1" ht="13.5" outlineLevel="2" thickBot="1">
      <c r="A235" s="299"/>
      <c r="B235" s="4307"/>
      <c r="C235" s="3258" t="s">
        <v>611</v>
      </c>
      <c r="D235" s="3193">
        <f>D233-D234</f>
        <v>0</v>
      </c>
      <c r="E235" s="3194">
        <f t="shared" ref="E235:R235" si="107">E233-E234</f>
        <v>57000</v>
      </c>
      <c r="F235" s="3194">
        <f t="shared" si="107"/>
        <v>62800.26</v>
      </c>
      <c r="G235" s="3194">
        <f t="shared" si="107"/>
        <v>79207.710000000006</v>
      </c>
      <c r="H235" s="3195">
        <f t="shared" si="107"/>
        <v>64033.88</v>
      </c>
      <c r="I235" s="3193">
        <f t="shared" si="107"/>
        <v>602637</v>
      </c>
      <c r="J235" s="3194">
        <f t="shared" si="107"/>
        <v>371656.14</v>
      </c>
      <c r="K235" s="3194">
        <f t="shared" si="107"/>
        <v>275989.52999999997</v>
      </c>
      <c r="L235" s="4007">
        <f t="shared" si="107"/>
        <v>267079</v>
      </c>
      <c r="M235" s="3194">
        <f t="shared" si="107"/>
        <v>0</v>
      </c>
      <c r="N235" s="3193">
        <f t="shared" si="107"/>
        <v>0</v>
      </c>
      <c r="O235" s="3194">
        <f t="shared" si="107"/>
        <v>0</v>
      </c>
      <c r="P235" s="3194">
        <f t="shared" si="107"/>
        <v>0</v>
      </c>
      <c r="Q235" s="3194">
        <f t="shared" si="107"/>
        <v>0</v>
      </c>
      <c r="R235" s="3195">
        <f t="shared" si="107"/>
        <v>0</v>
      </c>
      <c r="S235" s="1266"/>
      <c r="T235" s="1266"/>
      <c r="U235" s="1266"/>
      <c r="V235" s="583">
        <f>V233-V234</f>
        <v>0</v>
      </c>
      <c r="W235" s="580">
        <f t="shared" ref="W235:AC235" si="108">W233-W234</f>
        <v>0</v>
      </c>
      <c r="X235" s="580">
        <f t="shared" si="108"/>
        <v>0</v>
      </c>
      <c r="Y235" s="580">
        <f t="shared" si="108"/>
        <v>0</v>
      </c>
      <c r="Z235" s="584">
        <f t="shared" si="108"/>
        <v>0</v>
      </c>
      <c r="AA235" s="583">
        <f t="shared" si="108"/>
        <v>0</v>
      </c>
      <c r="AB235" s="580">
        <f t="shared" si="108"/>
        <v>0</v>
      </c>
      <c r="AC235" s="584">
        <f t="shared" si="108"/>
        <v>0</v>
      </c>
    </row>
    <row r="236" spans="1:29" s="501" customFormat="1" ht="13.5" outlineLevel="2" thickBot="1">
      <c r="A236" s="299"/>
      <c r="B236" s="4308"/>
      <c r="C236" s="3259" t="s">
        <v>97</v>
      </c>
      <c r="D236" s="1607" t="e">
        <f t="shared" ref="D236:R236" si="109">D235/D226</f>
        <v>#DIV/0!</v>
      </c>
      <c r="E236" s="534">
        <f t="shared" si="109"/>
        <v>422.22222222222223</v>
      </c>
      <c r="F236" s="534">
        <f t="shared" si="109"/>
        <v>1231.3776470588236</v>
      </c>
      <c r="G236" s="534">
        <f t="shared" si="109"/>
        <v>531.59536912751685</v>
      </c>
      <c r="H236" s="535">
        <f t="shared" si="109"/>
        <v>524.86786885245897</v>
      </c>
      <c r="I236" s="1607">
        <f t="shared" si="109"/>
        <v>748.61739130434785</v>
      </c>
      <c r="J236" s="534">
        <f t="shared" si="109"/>
        <v>557.20560719640184</v>
      </c>
      <c r="K236" s="534">
        <f t="shared" si="109"/>
        <v>524.6949239543726</v>
      </c>
      <c r="L236" s="4011">
        <f t="shared" si="109"/>
        <v>431.4684975767367</v>
      </c>
      <c r="M236" s="535" t="e">
        <f t="shared" si="109"/>
        <v>#DIV/0!</v>
      </c>
      <c r="N236" s="1607" t="e">
        <f t="shared" si="109"/>
        <v>#DIV/0!</v>
      </c>
      <c r="O236" s="534" t="e">
        <f t="shared" si="109"/>
        <v>#DIV/0!</v>
      </c>
      <c r="P236" s="534" t="e">
        <f t="shared" si="109"/>
        <v>#DIV/0!</v>
      </c>
      <c r="Q236" s="534" t="e">
        <f t="shared" si="109"/>
        <v>#DIV/0!</v>
      </c>
      <c r="R236" s="535" t="e">
        <f t="shared" si="109"/>
        <v>#DIV/0!</v>
      </c>
      <c r="S236" s="1266"/>
      <c r="T236" s="1266"/>
      <c r="U236" s="1266"/>
      <c r="V236" s="1607" t="e">
        <f t="shared" ref="V236:AC236" si="110">V235/V226</f>
        <v>#DIV/0!</v>
      </c>
      <c r="W236" s="534" t="e">
        <f t="shared" si="110"/>
        <v>#DIV/0!</v>
      </c>
      <c r="X236" s="534" t="e">
        <f t="shared" si="110"/>
        <v>#DIV/0!</v>
      </c>
      <c r="Y236" s="534" t="e">
        <f t="shared" si="110"/>
        <v>#DIV/0!</v>
      </c>
      <c r="Z236" s="535" t="e">
        <f t="shared" si="110"/>
        <v>#DIV/0!</v>
      </c>
      <c r="AA236" s="1607" t="e">
        <f t="shared" si="110"/>
        <v>#DIV/0!</v>
      </c>
      <c r="AB236" s="534" t="e">
        <f t="shared" si="110"/>
        <v>#DIV/0!</v>
      </c>
      <c r="AC236" s="535" t="e">
        <f t="shared" si="110"/>
        <v>#DIV/0!</v>
      </c>
    </row>
    <row r="237" spans="1:29" s="501" customFormat="1" outlineLevel="2">
      <c r="A237" s="299"/>
      <c r="B237" s="4309" t="s">
        <v>640</v>
      </c>
      <c r="C237" s="3260" t="s">
        <v>94</v>
      </c>
      <c r="D237" s="443"/>
      <c r="E237" s="519"/>
      <c r="F237" s="519"/>
      <c r="G237" s="519"/>
      <c r="H237" s="531"/>
      <c r="I237" s="443"/>
      <c r="J237" s="519"/>
      <c r="K237" s="519"/>
      <c r="L237" s="519"/>
      <c r="M237" s="531"/>
      <c r="N237" s="443"/>
      <c r="O237" s="519"/>
      <c r="P237" s="519"/>
      <c r="Q237" s="519"/>
      <c r="R237" s="531"/>
      <c r="S237" s="1266"/>
      <c r="T237" s="1266"/>
      <c r="U237" s="1266"/>
      <c r="V237" s="1825"/>
      <c r="W237" s="1826"/>
      <c r="X237" s="1826"/>
      <c r="Y237" s="1826"/>
      <c r="Z237" s="1827"/>
      <c r="AA237" s="1825"/>
      <c r="AB237" s="1826"/>
      <c r="AC237" s="1827"/>
    </row>
    <row r="238" spans="1:29" s="501" customFormat="1" ht="25.5" outlineLevel="2">
      <c r="A238" s="299"/>
      <c r="B238" s="4307"/>
      <c r="C238" s="3641" t="s">
        <v>585</v>
      </c>
      <c r="D238" s="486"/>
      <c r="E238" s="485"/>
      <c r="F238" s="485"/>
      <c r="G238" s="485"/>
      <c r="H238" s="487"/>
      <c r="I238" s="486"/>
      <c r="J238" s="485"/>
      <c r="K238" s="485"/>
      <c r="L238" s="485"/>
      <c r="M238" s="487"/>
      <c r="N238" s="486"/>
      <c r="O238" s="485"/>
      <c r="P238" s="485"/>
      <c r="Q238" s="485"/>
      <c r="R238" s="487"/>
      <c r="S238" s="1266"/>
      <c r="T238" s="1266"/>
      <c r="U238" s="1266"/>
      <c r="V238" s="489"/>
      <c r="W238" s="490"/>
      <c r="X238" s="490"/>
      <c r="Y238" s="490"/>
      <c r="Z238" s="491"/>
      <c r="AA238" s="489"/>
      <c r="AB238" s="490"/>
      <c r="AC238" s="491"/>
    </row>
    <row r="239" spans="1:29" s="501" customFormat="1" ht="25.5" outlineLevel="2">
      <c r="A239" s="299"/>
      <c r="B239" s="4307"/>
      <c r="C239" s="3641" t="s">
        <v>584</v>
      </c>
      <c r="D239" s="486"/>
      <c r="E239" s="485"/>
      <c r="F239" s="485"/>
      <c r="G239" s="485"/>
      <c r="H239" s="487"/>
      <c r="I239" s="486"/>
      <c r="J239" s="485"/>
      <c r="K239" s="485"/>
      <c r="L239" s="485"/>
      <c r="M239" s="487"/>
      <c r="N239" s="486"/>
      <c r="O239" s="485"/>
      <c r="P239" s="485"/>
      <c r="Q239" s="485"/>
      <c r="R239" s="487"/>
      <c r="S239" s="1266"/>
      <c r="T239" s="1266"/>
      <c r="U239" s="1266"/>
      <c r="V239" s="489"/>
      <c r="W239" s="490"/>
      <c r="X239" s="490"/>
      <c r="Y239" s="490"/>
      <c r="Z239" s="491"/>
      <c r="AA239" s="489"/>
      <c r="AB239" s="490"/>
      <c r="AC239" s="491"/>
    </row>
    <row r="240" spans="1:29" s="501" customFormat="1" ht="25.5" outlineLevel="2">
      <c r="A240" s="299"/>
      <c r="B240" s="4307"/>
      <c r="C240" s="3641" t="s">
        <v>604</v>
      </c>
      <c r="D240" s="486"/>
      <c r="E240" s="485"/>
      <c r="F240" s="485"/>
      <c r="G240" s="485"/>
      <c r="H240" s="487"/>
      <c r="I240" s="486"/>
      <c r="J240" s="485"/>
      <c r="K240" s="485"/>
      <c r="L240" s="485"/>
      <c r="M240" s="487"/>
      <c r="N240" s="486"/>
      <c r="O240" s="485"/>
      <c r="P240" s="485"/>
      <c r="Q240" s="485"/>
      <c r="R240" s="487"/>
      <c r="S240" s="1266"/>
      <c r="T240" s="1266"/>
      <c r="U240" s="1266"/>
      <c r="V240" s="489"/>
      <c r="W240" s="490"/>
      <c r="X240" s="490"/>
      <c r="Y240" s="490"/>
      <c r="Z240" s="491"/>
      <c r="AA240" s="489"/>
      <c r="AB240" s="490"/>
      <c r="AC240" s="491"/>
    </row>
    <row r="241" spans="1:29" s="501" customFormat="1" outlineLevel="2">
      <c r="A241" s="299"/>
      <c r="B241" s="4307"/>
      <c r="C241" s="3246" t="s">
        <v>605</v>
      </c>
      <c r="D241" s="489">
        <f>D238+D239+D240</f>
        <v>0</v>
      </c>
      <c r="E241" s="490">
        <f t="shared" ref="E241:R241" si="111">E238+E239+E240</f>
        <v>0</v>
      </c>
      <c r="F241" s="490">
        <f t="shared" si="111"/>
        <v>0</v>
      </c>
      <c r="G241" s="490">
        <f t="shared" si="111"/>
        <v>0</v>
      </c>
      <c r="H241" s="491">
        <f t="shared" si="111"/>
        <v>0</v>
      </c>
      <c r="I241" s="489">
        <f t="shared" si="111"/>
        <v>0</v>
      </c>
      <c r="J241" s="490">
        <f t="shared" si="111"/>
        <v>0</v>
      </c>
      <c r="K241" s="490">
        <f t="shared" si="111"/>
        <v>0</v>
      </c>
      <c r="L241" s="490">
        <f t="shared" si="111"/>
        <v>0</v>
      </c>
      <c r="M241" s="491">
        <f t="shared" si="111"/>
        <v>0</v>
      </c>
      <c r="N241" s="489">
        <f t="shared" si="111"/>
        <v>0</v>
      </c>
      <c r="O241" s="490">
        <f t="shared" si="111"/>
        <v>0</v>
      </c>
      <c r="P241" s="490">
        <f t="shared" si="111"/>
        <v>0</v>
      </c>
      <c r="Q241" s="490">
        <f t="shared" si="111"/>
        <v>0</v>
      </c>
      <c r="R241" s="491">
        <f t="shared" si="111"/>
        <v>0</v>
      </c>
      <c r="S241" s="1266"/>
      <c r="T241" s="1266"/>
      <c r="U241" s="1266"/>
      <c r="V241" s="489">
        <f>V238+V239+V240</f>
        <v>0</v>
      </c>
      <c r="W241" s="490">
        <f t="shared" ref="W241:AC241" si="112">W238+W239+W240</f>
        <v>0</v>
      </c>
      <c r="X241" s="490">
        <f t="shared" si="112"/>
        <v>0</v>
      </c>
      <c r="Y241" s="490">
        <f t="shared" si="112"/>
        <v>0</v>
      </c>
      <c r="Z241" s="491">
        <f t="shared" si="112"/>
        <v>0</v>
      </c>
      <c r="AA241" s="489">
        <f t="shared" si="112"/>
        <v>0</v>
      </c>
      <c r="AB241" s="490">
        <f t="shared" si="112"/>
        <v>0</v>
      </c>
      <c r="AC241" s="491">
        <f t="shared" si="112"/>
        <v>0</v>
      </c>
    </row>
    <row r="242" spans="1:29" s="501" customFormat="1" ht="25.5" outlineLevel="2">
      <c r="A242" s="299"/>
      <c r="B242" s="4307"/>
      <c r="C242" s="3641" t="s">
        <v>609</v>
      </c>
      <c r="D242" s="486"/>
      <c r="E242" s="485"/>
      <c r="F242" s="485"/>
      <c r="G242" s="485"/>
      <c r="H242" s="487"/>
      <c r="I242" s="3201"/>
      <c r="J242" s="3202"/>
      <c r="K242" s="3202"/>
      <c r="L242" s="3202"/>
      <c r="M242" s="3216"/>
      <c r="N242" s="3211"/>
      <c r="O242" s="3212"/>
      <c r="P242" s="3212"/>
      <c r="Q242" s="3212"/>
      <c r="R242" s="3213"/>
      <c r="S242" s="1266"/>
      <c r="T242" s="1266"/>
      <c r="U242" s="1266"/>
      <c r="V242" s="489"/>
      <c r="W242" s="490"/>
      <c r="X242" s="490"/>
      <c r="Y242" s="490"/>
      <c r="Z242" s="491"/>
      <c r="AA242" s="536"/>
      <c r="AB242" s="537"/>
      <c r="AC242" s="573"/>
    </row>
    <row r="243" spans="1:29" s="501" customFormat="1" ht="25.5" outlineLevel="2">
      <c r="A243" s="299"/>
      <c r="B243" s="4307"/>
      <c r="C243" s="3641" t="s">
        <v>607</v>
      </c>
      <c r="D243" s="486"/>
      <c r="E243" s="485"/>
      <c r="F243" s="485"/>
      <c r="G243" s="485"/>
      <c r="H243" s="487"/>
      <c r="I243" s="486"/>
      <c r="J243" s="485"/>
      <c r="K243" s="485"/>
      <c r="L243" s="485"/>
      <c r="M243" s="487"/>
      <c r="N243" s="486"/>
      <c r="O243" s="485"/>
      <c r="P243" s="485"/>
      <c r="Q243" s="485"/>
      <c r="R243" s="487"/>
      <c r="S243" s="1266"/>
      <c r="T243" s="1266"/>
      <c r="U243" s="1266"/>
      <c r="V243" s="489"/>
      <c r="W243" s="490"/>
      <c r="X243" s="490"/>
      <c r="Y243" s="490"/>
      <c r="Z243" s="491"/>
      <c r="AA243" s="489"/>
      <c r="AB243" s="490"/>
      <c r="AC243" s="491"/>
    </row>
    <row r="244" spans="1:29" s="501" customFormat="1" outlineLevel="2">
      <c r="A244" s="299"/>
      <c r="B244" s="4307"/>
      <c r="C244" s="3246" t="s">
        <v>610</v>
      </c>
      <c r="D244" s="3204">
        <f>D241+D242+D243</f>
        <v>0</v>
      </c>
      <c r="E244" s="3205">
        <f t="shared" ref="E244:R244" si="113">E241+E242+E243</f>
        <v>0</v>
      </c>
      <c r="F244" s="3205">
        <f t="shared" si="113"/>
        <v>0</v>
      </c>
      <c r="G244" s="3205">
        <f t="shared" si="113"/>
        <v>0</v>
      </c>
      <c r="H244" s="3206">
        <f t="shared" si="113"/>
        <v>0</v>
      </c>
      <c r="I244" s="3204">
        <f t="shared" si="113"/>
        <v>0</v>
      </c>
      <c r="J244" s="3205">
        <f t="shared" si="113"/>
        <v>0</v>
      </c>
      <c r="K244" s="3205">
        <f t="shared" si="113"/>
        <v>0</v>
      </c>
      <c r="L244" s="3205">
        <f t="shared" si="113"/>
        <v>0</v>
      </c>
      <c r="M244" s="3206">
        <f t="shared" si="113"/>
        <v>0</v>
      </c>
      <c r="N244" s="3204">
        <f t="shared" si="113"/>
        <v>0</v>
      </c>
      <c r="O244" s="3205">
        <f t="shared" si="113"/>
        <v>0</v>
      </c>
      <c r="P244" s="3205">
        <f t="shared" si="113"/>
        <v>0</v>
      </c>
      <c r="Q244" s="3205">
        <f t="shared" si="113"/>
        <v>0</v>
      </c>
      <c r="R244" s="3206">
        <f t="shared" si="113"/>
        <v>0</v>
      </c>
      <c r="S244" s="1266"/>
      <c r="T244" s="1266"/>
      <c r="U244" s="1266"/>
      <c r="V244" s="583">
        <f>V241+V242+V243</f>
        <v>0</v>
      </c>
      <c r="W244" s="580">
        <f t="shared" ref="W244:AC244" si="114">W241+W242+W243</f>
        <v>0</v>
      </c>
      <c r="X244" s="580">
        <f t="shared" si="114"/>
        <v>0</v>
      </c>
      <c r="Y244" s="580">
        <f t="shared" si="114"/>
        <v>0</v>
      </c>
      <c r="Z244" s="584">
        <f t="shared" si="114"/>
        <v>0</v>
      </c>
      <c r="AA244" s="583">
        <f t="shared" si="114"/>
        <v>0</v>
      </c>
      <c r="AB244" s="580">
        <f t="shared" si="114"/>
        <v>0</v>
      </c>
      <c r="AC244" s="584">
        <f t="shared" si="114"/>
        <v>0</v>
      </c>
    </row>
    <row r="245" spans="1:29" s="501" customFormat="1" outlineLevel="2">
      <c r="A245" s="299"/>
      <c r="B245" s="4307"/>
      <c r="C245" s="3641" t="s">
        <v>631</v>
      </c>
      <c r="D245" s="486"/>
      <c r="E245" s="485"/>
      <c r="F245" s="485"/>
      <c r="G245" s="485"/>
      <c r="H245" s="487"/>
      <c r="I245" s="486"/>
      <c r="J245" s="485"/>
      <c r="K245" s="485"/>
      <c r="L245" s="485"/>
      <c r="M245" s="487"/>
      <c r="N245" s="486"/>
      <c r="O245" s="485"/>
      <c r="P245" s="485"/>
      <c r="Q245" s="485"/>
      <c r="R245" s="487"/>
      <c r="S245" s="1266"/>
      <c r="T245" s="1266"/>
      <c r="U245" s="1266"/>
      <c r="V245" s="489"/>
      <c r="W245" s="490"/>
      <c r="X245" s="490"/>
      <c r="Y245" s="490"/>
      <c r="Z245" s="491"/>
      <c r="AA245" s="489"/>
      <c r="AB245" s="490"/>
      <c r="AC245" s="491"/>
    </row>
    <row r="246" spans="1:29" s="501" customFormat="1" outlineLevel="2">
      <c r="A246" s="299"/>
      <c r="B246" s="4307"/>
      <c r="C246" s="3246" t="s">
        <v>611</v>
      </c>
      <c r="D246" s="3204">
        <f>D244-D245</f>
        <v>0</v>
      </c>
      <c r="E246" s="3205">
        <f t="shared" ref="E246:R246" si="115">E244-E245</f>
        <v>0</v>
      </c>
      <c r="F246" s="3205">
        <f t="shared" si="115"/>
        <v>0</v>
      </c>
      <c r="G246" s="3205">
        <f t="shared" si="115"/>
        <v>0</v>
      </c>
      <c r="H246" s="3206">
        <f t="shared" si="115"/>
        <v>0</v>
      </c>
      <c r="I246" s="3204">
        <f t="shared" si="115"/>
        <v>0</v>
      </c>
      <c r="J246" s="3205">
        <f t="shared" si="115"/>
        <v>0</v>
      </c>
      <c r="K246" s="3205">
        <f t="shared" si="115"/>
        <v>0</v>
      </c>
      <c r="L246" s="3205">
        <f t="shared" si="115"/>
        <v>0</v>
      </c>
      <c r="M246" s="3206">
        <f t="shared" si="115"/>
        <v>0</v>
      </c>
      <c r="N246" s="3204">
        <f t="shared" si="115"/>
        <v>0</v>
      </c>
      <c r="O246" s="3205">
        <f t="shared" si="115"/>
        <v>0</v>
      </c>
      <c r="P246" s="3205">
        <f t="shared" si="115"/>
        <v>0</v>
      </c>
      <c r="Q246" s="3205">
        <f t="shared" si="115"/>
        <v>0</v>
      </c>
      <c r="R246" s="3206">
        <f t="shared" si="115"/>
        <v>0</v>
      </c>
      <c r="S246" s="1266"/>
      <c r="T246" s="1266"/>
      <c r="U246" s="1266"/>
      <c r="V246" s="583">
        <f>V244-V245</f>
        <v>0</v>
      </c>
      <c r="W246" s="580">
        <f t="shared" ref="W246:AC246" si="116">W244-W245</f>
        <v>0</v>
      </c>
      <c r="X246" s="580">
        <f t="shared" si="116"/>
        <v>0</v>
      </c>
      <c r="Y246" s="580">
        <f t="shared" si="116"/>
        <v>0</v>
      </c>
      <c r="Z246" s="584">
        <f t="shared" si="116"/>
        <v>0</v>
      </c>
      <c r="AA246" s="583">
        <f t="shared" si="116"/>
        <v>0</v>
      </c>
      <c r="AB246" s="580">
        <f t="shared" si="116"/>
        <v>0</v>
      </c>
      <c r="AC246" s="584">
        <f t="shared" si="116"/>
        <v>0</v>
      </c>
    </row>
    <row r="247" spans="1:29" s="501" customFormat="1" ht="13.5" outlineLevel="2" thickBot="1">
      <c r="A247" s="299"/>
      <c r="B247" s="4308"/>
      <c r="C247" s="3641" t="s">
        <v>97</v>
      </c>
      <c r="D247" s="1607" t="e">
        <f t="shared" ref="D247:R247" si="117">D246/D237</f>
        <v>#DIV/0!</v>
      </c>
      <c r="E247" s="534" t="e">
        <f t="shared" si="117"/>
        <v>#DIV/0!</v>
      </c>
      <c r="F247" s="534" t="e">
        <f t="shared" si="117"/>
        <v>#DIV/0!</v>
      </c>
      <c r="G247" s="534" t="e">
        <f t="shared" si="117"/>
        <v>#DIV/0!</v>
      </c>
      <c r="H247" s="535" t="e">
        <f t="shared" si="117"/>
        <v>#DIV/0!</v>
      </c>
      <c r="I247" s="1607" t="e">
        <f t="shared" si="117"/>
        <v>#DIV/0!</v>
      </c>
      <c r="J247" s="534" t="e">
        <f t="shared" si="117"/>
        <v>#DIV/0!</v>
      </c>
      <c r="K247" s="534" t="e">
        <f t="shared" si="117"/>
        <v>#DIV/0!</v>
      </c>
      <c r="L247" s="534" t="e">
        <f t="shared" si="117"/>
        <v>#DIV/0!</v>
      </c>
      <c r="M247" s="535" t="e">
        <f t="shared" si="117"/>
        <v>#DIV/0!</v>
      </c>
      <c r="N247" s="1607" t="e">
        <f t="shared" si="117"/>
        <v>#DIV/0!</v>
      </c>
      <c r="O247" s="534" t="e">
        <f t="shared" si="117"/>
        <v>#DIV/0!</v>
      </c>
      <c r="P247" s="534" t="e">
        <f t="shared" si="117"/>
        <v>#DIV/0!</v>
      </c>
      <c r="Q247" s="534" t="e">
        <f t="shared" si="117"/>
        <v>#DIV/0!</v>
      </c>
      <c r="R247" s="535" t="e">
        <f t="shared" si="117"/>
        <v>#DIV/0!</v>
      </c>
      <c r="S247" s="1266"/>
      <c r="T247" s="1266"/>
      <c r="U247" s="1266"/>
      <c r="V247" s="1607" t="e">
        <f t="shared" ref="V247:AC247" si="118">V246/V237</f>
        <v>#DIV/0!</v>
      </c>
      <c r="W247" s="534" t="e">
        <f t="shared" si="118"/>
        <v>#DIV/0!</v>
      </c>
      <c r="X247" s="534" t="e">
        <f t="shared" si="118"/>
        <v>#DIV/0!</v>
      </c>
      <c r="Y247" s="534" t="e">
        <f t="shared" si="118"/>
        <v>#DIV/0!</v>
      </c>
      <c r="Z247" s="535" t="e">
        <f t="shared" si="118"/>
        <v>#DIV/0!</v>
      </c>
      <c r="AA247" s="1607" t="e">
        <f t="shared" si="118"/>
        <v>#DIV/0!</v>
      </c>
      <c r="AB247" s="534" t="e">
        <f t="shared" si="118"/>
        <v>#DIV/0!</v>
      </c>
      <c r="AC247" s="535" t="e">
        <f t="shared" si="118"/>
        <v>#DIV/0!</v>
      </c>
    </row>
    <row r="248" spans="1:29" ht="20.25" customHeight="1" outlineLevel="1">
      <c r="A248" s="299"/>
      <c r="B248" s="4310" t="s">
        <v>172</v>
      </c>
      <c r="C248" s="4330"/>
      <c r="D248" s="3249">
        <f t="shared" ref="D248:K248" si="119">D215+D226+D237</f>
        <v>73559</v>
      </c>
      <c r="E248" s="3250">
        <f t="shared" si="119"/>
        <v>29466</v>
      </c>
      <c r="F248" s="3250">
        <f t="shared" si="119"/>
        <v>26481</v>
      </c>
      <c r="G248" s="3250">
        <f t="shared" si="119"/>
        <v>22925</v>
      </c>
      <c r="H248" s="3251">
        <f t="shared" si="119"/>
        <v>65976</v>
      </c>
      <c r="I248" s="3249">
        <f t="shared" si="119"/>
        <v>8227</v>
      </c>
      <c r="J248" s="3250">
        <f t="shared" si="119"/>
        <v>6619</v>
      </c>
      <c r="K248" s="4015">
        <f t="shared" si="119"/>
        <v>10268</v>
      </c>
      <c r="L248" s="4015">
        <f t="shared" ref="L248:R248" si="120">L215+L227+L239</f>
        <v>14136</v>
      </c>
      <c r="M248" s="3251">
        <f t="shared" si="120"/>
        <v>0</v>
      </c>
      <c r="N248" s="3249">
        <f t="shared" si="120"/>
        <v>0</v>
      </c>
      <c r="O248" s="3250">
        <f t="shared" si="120"/>
        <v>0</v>
      </c>
      <c r="P248" s="3250">
        <f t="shared" si="120"/>
        <v>0</v>
      </c>
      <c r="Q248" s="3250">
        <f t="shared" si="120"/>
        <v>0</v>
      </c>
      <c r="R248" s="3251">
        <f t="shared" si="120"/>
        <v>0</v>
      </c>
      <c r="V248" s="1515">
        <f t="shared" ref="V248:AC248" si="121">V215+V227+V239</f>
        <v>0</v>
      </c>
      <c r="W248" s="1516">
        <f t="shared" si="121"/>
        <v>0</v>
      </c>
      <c r="X248" s="1516">
        <f t="shared" si="121"/>
        <v>0</v>
      </c>
      <c r="Y248" s="1516">
        <f t="shared" si="121"/>
        <v>0</v>
      </c>
      <c r="Z248" s="1517">
        <f t="shared" si="121"/>
        <v>0</v>
      </c>
      <c r="AA248" s="1515">
        <f t="shared" si="121"/>
        <v>0</v>
      </c>
      <c r="AB248" s="1516">
        <f t="shared" si="121"/>
        <v>0</v>
      </c>
      <c r="AC248" s="1517">
        <f t="shared" si="121"/>
        <v>0</v>
      </c>
    </row>
    <row r="249" spans="1:29" ht="20.25" customHeight="1" outlineLevel="1" thickBot="1">
      <c r="A249" s="299"/>
      <c r="B249" s="4312" t="s">
        <v>643</v>
      </c>
      <c r="C249" s="4329"/>
      <c r="D249" s="3252">
        <f t="shared" ref="D249:K249" si="122">D244+D233+D222</f>
        <v>0</v>
      </c>
      <c r="E249" s="3253">
        <f t="shared" si="122"/>
        <v>841047.2300000001</v>
      </c>
      <c r="F249" s="3253">
        <f t="shared" si="122"/>
        <v>808369.97000000009</v>
      </c>
      <c r="G249" s="3253">
        <f t="shared" si="122"/>
        <v>777541.59</v>
      </c>
      <c r="H249" s="3254">
        <f t="shared" si="122"/>
        <v>1800163.2899999998</v>
      </c>
      <c r="I249" s="3252">
        <f t="shared" si="122"/>
        <v>1423514</v>
      </c>
      <c r="J249" s="3253">
        <f t="shared" si="122"/>
        <v>810511.07000000007</v>
      </c>
      <c r="K249" s="4016">
        <f t="shared" si="122"/>
        <v>809083.3600000001</v>
      </c>
      <c r="L249" s="4016">
        <f t="shared" ref="L249:R249" si="123">L246+L234+L222</f>
        <v>701169</v>
      </c>
      <c r="M249" s="3254">
        <f t="shared" si="123"/>
        <v>0</v>
      </c>
      <c r="N249" s="3252">
        <f t="shared" si="123"/>
        <v>0</v>
      </c>
      <c r="O249" s="3253">
        <f t="shared" si="123"/>
        <v>0</v>
      </c>
      <c r="P249" s="3253">
        <f t="shared" si="123"/>
        <v>0</v>
      </c>
      <c r="Q249" s="3253">
        <f t="shared" si="123"/>
        <v>0</v>
      </c>
      <c r="R249" s="3254">
        <f t="shared" si="123"/>
        <v>0</v>
      </c>
      <c r="V249" s="1518">
        <f t="shared" ref="V249:AC249" si="124">V246+V234+V222</f>
        <v>0</v>
      </c>
      <c r="W249" s="1519">
        <f t="shared" si="124"/>
        <v>0</v>
      </c>
      <c r="X249" s="1519">
        <f t="shared" si="124"/>
        <v>0</v>
      </c>
      <c r="Y249" s="1519">
        <f t="shared" si="124"/>
        <v>0</v>
      </c>
      <c r="Z249" s="1520">
        <f t="shared" si="124"/>
        <v>0</v>
      </c>
      <c r="AA249" s="1518">
        <f t="shared" si="124"/>
        <v>0</v>
      </c>
      <c r="AB249" s="1519">
        <f t="shared" si="124"/>
        <v>0</v>
      </c>
      <c r="AC249" s="1520">
        <f t="shared" si="124"/>
        <v>0</v>
      </c>
    </row>
    <row r="250" spans="1:29" ht="15.75">
      <c r="A250" s="299"/>
      <c r="B250" s="4327" t="s">
        <v>641</v>
      </c>
      <c r="C250" s="4328"/>
      <c r="D250" s="3261">
        <f t="shared" ref="D250:R251" si="125">D212+D248</f>
        <v>74393</v>
      </c>
      <c r="E250" s="3262">
        <f t="shared" si="125"/>
        <v>43937</v>
      </c>
      <c r="F250" s="3262">
        <f t="shared" si="125"/>
        <v>46511</v>
      </c>
      <c r="G250" s="3262">
        <f t="shared" si="125"/>
        <v>43797</v>
      </c>
      <c r="H250" s="3263">
        <f t="shared" si="125"/>
        <v>78271</v>
      </c>
      <c r="I250" s="3261">
        <f t="shared" si="125"/>
        <v>26215</v>
      </c>
      <c r="J250" s="3262">
        <f t="shared" si="125"/>
        <v>29037</v>
      </c>
      <c r="K250" s="4017">
        <f t="shared" si="125"/>
        <v>32256</v>
      </c>
      <c r="L250" s="4017">
        <f t="shared" si="125"/>
        <v>32975</v>
      </c>
      <c r="M250" s="3263">
        <f t="shared" si="125"/>
        <v>2879</v>
      </c>
      <c r="N250" s="3261">
        <f t="shared" si="125"/>
        <v>27806</v>
      </c>
      <c r="O250" s="3262">
        <f t="shared" si="125"/>
        <v>2903</v>
      </c>
      <c r="P250" s="3262">
        <f t="shared" si="125"/>
        <v>16874</v>
      </c>
      <c r="Q250" s="3262">
        <f t="shared" si="125"/>
        <v>7687</v>
      </c>
      <c r="R250" s="3263">
        <f t="shared" si="125"/>
        <v>6705</v>
      </c>
      <c r="V250" s="1512">
        <f t="shared" ref="V250:AC250" si="126">V212+V248</f>
        <v>0</v>
      </c>
      <c r="W250" s="1513">
        <f t="shared" si="126"/>
        <v>0</v>
      </c>
      <c r="X250" s="1513">
        <f t="shared" si="126"/>
        <v>0</v>
      </c>
      <c r="Y250" s="1513">
        <f t="shared" si="126"/>
        <v>0</v>
      </c>
      <c r="Z250" s="1514">
        <f t="shared" si="126"/>
        <v>0</v>
      </c>
      <c r="AA250" s="1512">
        <f t="shared" si="126"/>
        <v>0</v>
      </c>
      <c r="AB250" s="1513">
        <f t="shared" si="126"/>
        <v>0</v>
      </c>
      <c r="AC250" s="1514">
        <f t="shared" si="126"/>
        <v>0</v>
      </c>
    </row>
    <row r="251" spans="1:29" ht="16.5" thickBot="1">
      <c r="A251" s="299"/>
      <c r="B251" s="4325" t="s">
        <v>642</v>
      </c>
      <c r="C251" s="4326"/>
      <c r="D251" s="3231">
        <f t="shared" si="125"/>
        <v>1779592.2636226416</v>
      </c>
      <c r="E251" s="3264">
        <f t="shared" si="125"/>
        <v>2766612.7343600001</v>
      </c>
      <c r="F251" s="3264">
        <f t="shared" si="125"/>
        <v>3415386.105842392</v>
      </c>
      <c r="G251" s="3264">
        <f t="shared" si="125"/>
        <v>2733976.8538217987</v>
      </c>
      <c r="H251" s="3265">
        <f t="shared" si="125"/>
        <v>3686762.9006933626</v>
      </c>
      <c r="I251" s="3231">
        <f t="shared" si="125"/>
        <v>3815736.9895000104</v>
      </c>
      <c r="J251" s="3264">
        <f t="shared" si="125"/>
        <v>3746376.46</v>
      </c>
      <c r="K251" s="4018">
        <f t="shared" si="125"/>
        <v>4323568.92</v>
      </c>
      <c r="L251" s="4018">
        <f t="shared" si="125"/>
        <v>2085006.1853532621</v>
      </c>
      <c r="M251" s="3265">
        <f t="shared" si="125"/>
        <v>857149.60743893671</v>
      </c>
      <c r="N251" s="3231">
        <f t="shared" si="125"/>
        <v>3867048.0529026082</v>
      </c>
      <c r="O251" s="3264">
        <f t="shared" si="125"/>
        <v>1452310.5193780991</v>
      </c>
      <c r="P251" s="3264">
        <f t="shared" si="125"/>
        <v>2834617.3865016396</v>
      </c>
      <c r="Q251" s="3264">
        <f t="shared" si="125"/>
        <v>1340151.4706033219</v>
      </c>
      <c r="R251" s="3265">
        <f t="shared" si="125"/>
        <v>1126026.7358784447</v>
      </c>
      <c r="V251" s="1823">
        <f t="shared" ref="V251:AC251" si="127">V213+V249</f>
        <v>0</v>
      </c>
      <c r="W251" s="589">
        <f t="shared" si="127"/>
        <v>0</v>
      </c>
      <c r="X251" s="589">
        <f t="shared" si="127"/>
        <v>0</v>
      </c>
      <c r="Y251" s="589">
        <f t="shared" si="127"/>
        <v>0</v>
      </c>
      <c r="Z251" s="590">
        <f t="shared" si="127"/>
        <v>0</v>
      </c>
      <c r="AA251" s="1823">
        <f t="shared" si="127"/>
        <v>0</v>
      </c>
      <c r="AB251" s="589">
        <f t="shared" si="127"/>
        <v>0</v>
      </c>
      <c r="AC251" s="590">
        <f t="shared" si="127"/>
        <v>0</v>
      </c>
    </row>
    <row r="252" spans="1:29" s="69" customFormat="1" ht="50.25" customHeight="1" thickBot="1">
      <c r="A252" s="348"/>
      <c r="B252" s="4341" t="s">
        <v>127</v>
      </c>
      <c r="C252" s="4342"/>
      <c r="D252" s="3223"/>
      <c r="E252" s="3224"/>
      <c r="F252" s="3224"/>
      <c r="G252" s="3224"/>
      <c r="H252" s="3224"/>
      <c r="I252" s="3224"/>
      <c r="J252" s="3224"/>
      <c r="K252" s="3224"/>
      <c r="L252" s="3224"/>
      <c r="M252" s="3224"/>
      <c r="N252" s="3224"/>
      <c r="O252" s="3224"/>
      <c r="P252" s="3224"/>
      <c r="Q252" s="3224"/>
      <c r="R252" s="3552"/>
      <c r="S252"/>
      <c r="T252"/>
      <c r="U252"/>
      <c r="V252" s="1790"/>
      <c r="W252" s="1771"/>
      <c r="X252" s="1771"/>
      <c r="Y252" s="1771"/>
      <c r="Z252" s="1771"/>
      <c r="AA252" s="1771"/>
      <c r="AB252" s="1771"/>
      <c r="AC252" s="1774"/>
    </row>
    <row r="253" spans="1:29" s="78" customFormat="1" ht="32.25" customHeight="1" thickBot="1">
      <c r="A253" s="299"/>
      <c r="B253" s="3556"/>
      <c r="C253" s="3556"/>
      <c r="D253" s="3565"/>
      <c r="E253" s="3565"/>
      <c r="F253" s="3565"/>
      <c r="G253" s="3565"/>
      <c r="H253" s="3565"/>
      <c r="I253" s="3566"/>
      <c r="J253" s="3566"/>
      <c r="K253" s="3566"/>
      <c r="L253" s="3566"/>
      <c r="M253" s="3566"/>
      <c r="N253" s="3567"/>
      <c r="O253" s="3568"/>
      <c r="P253" s="3568"/>
      <c r="Q253" s="3568"/>
      <c r="R253" s="3568"/>
      <c r="S253"/>
      <c r="T253"/>
      <c r="U253"/>
      <c r="V253" s="225"/>
      <c r="W253" s="225"/>
      <c r="X253" s="225"/>
      <c r="Y253" s="225"/>
      <c r="Z253" s="225"/>
      <c r="AA253" s="144"/>
      <c r="AB253" s="144"/>
      <c r="AC253" s="144"/>
    </row>
    <row r="254" spans="1:29" s="223" customFormat="1" ht="24.75" customHeight="1" thickBot="1">
      <c r="A254" s="299"/>
      <c r="B254" s="3546" t="s">
        <v>629</v>
      </c>
      <c r="C254" s="3546"/>
      <c r="D254" s="3547"/>
      <c r="E254" s="3547"/>
      <c r="F254" s="3547"/>
      <c r="G254" s="3547"/>
      <c r="H254" s="3547"/>
      <c r="I254" s="3547"/>
      <c r="J254" s="3547"/>
      <c r="K254" s="3547"/>
      <c r="L254" s="3547"/>
      <c r="M254" s="3547"/>
      <c r="N254" s="3547"/>
      <c r="O254" s="3547"/>
      <c r="P254" s="3547"/>
      <c r="Q254" s="3547"/>
      <c r="R254" s="3548"/>
      <c r="S254" s="1266"/>
      <c r="T254" s="1266"/>
      <c r="U254" s="1266"/>
      <c r="V254" s="1372"/>
      <c r="W254" s="1373"/>
      <c r="X254" s="1373"/>
      <c r="Y254" s="1373"/>
      <c r="Z254" s="1373"/>
      <c r="AA254" s="1373"/>
      <c r="AB254" s="1373"/>
      <c r="AC254" s="1374"/>
    </row>
    <row r="255" spans="1:29" ht="15.75" customHeight="1">
      <c r="A255" s="299"/>
      <c r="B255" s="4301" t="s">
        <v>1566</v>
      </c>
      <c r="C255" s="4400"/>
      <c r="D255" s="4392" t="s">
        <v>36</v>
      </c>
      <c r="E255" s="4393"/>
      <c r="F255" s="4393"/>
      <c r="G255" s="4393"/>
      <c r="H255" s="4393"/>
      <c r="I255" s="4381" t="s">
        <v>37</v>
      </c>
      <c r="J255" s="4382"/>
      <c r="K255" s="4382"/>
      <c r="L255" s="4382"/>
      <c r="M255" s="4382"/>
      <c r="N255" s="4383" t="s">
        <v>75</v>
      </c>
      <c r="O255" s="4383"/>
      <c r="P255" s="4383"/>
      <c r="Q255" s="4383"/>
      <c r="R255" s="4384"/>
      <c r="V255" s="4436" t="s">
        <v>36</v>
      </c>
      <c r="W255" s="4437"/>
      <c r="X255" s="4437"/>
      <c r="Y255" s="4437"/>
      <c r="Z255" s="4437"/>
      <c r="AA255" s="4438" t="s">
        <v>37</v>
      </c>
      <c r="AB255" s="4439"/>
      <c r="AC255" s="4440"/>
    </row>
    <row r="256" spans="1:29" ht="15.75" customHeight="1">
      <c r="A256" s="299"/>
      <c r="B256" s="4303"/>
      <c r="C256" s="4401"/>
      <c r="D256" s="4385" t="s">
        <v>569</v>
      </c>
      <c r="E256" s="4386"/>
      <c r="F256" s="4386"/>
      <c r="G256" s="4386"/>
      <c r="H256" s="4386"/>
      <c r="I256" s="4386"/>
      <c r="J256" s="4386"/>
      <c r="K256" s="4391"/>
      <c r="L256" s="4388" t="str">
        <f>CONCATENATE("$0's, real ",dms_DollarReal)</f>
        <v>$0's, real December 2017</v>
      </c>
      <c r="M256" s="4389"/>
      <c r="N256" s="4389"/>
      <c r="O256" s="4389"/>
      <c r="P256" s="4389"/>
      <c r="Q256" s="4389"/>
      <c r="R256" s="4390"/>
      <c r="V256" s="4125" t="str">
        <f>CONCATENATE("$0's, real ",dms_DollarReal)</f>
        <v>$0's, real December 2017</v>
      </c>
      <c r="W256" s="4126"/>
      <c r="X256" s="4126"/>
      <c r="Y256" s="4126"/>
      <c r="Z256" s="4126"/>
      <c r="AA256" s="4126"/>
      <c r="AB256" s="4126"/>
      <c r="AC256" s="4169"/>
    </row>
    <row r="257" spans="1:29" ht="15" customHeight="1">
      <c r="A257" s="299"/>
      <c r="B257" s="4303"/>
      <c r="C257" s="4401"/>
      <c r="D257" s="4385" t="s">
        <v>56</v>
      </c>
      <c r="E257" s="4386"/>
      <c r="F257" s="4386"/>
      <c r="G257" s="4386"/>
      <c r="H257" s="4386"/>
      <c r="I257" s="4386"/>
      <c r="J257" s="4386"/>
      <c r="K257" s="4391"/>
      <c r="L257" s="4388" t="s">
        <v>57</v>
      </c>
      <c r="M257" s="4389"/>
      <c r="N257" s="4389"/>
      <c r="O257" s="4389"/>
      <c r="P257" s="4389"/>
      <c r="Q257" s="4389"/>
      <c r="R257" s="4390"/>
      <c r="V257" s="4125" t="s">
        <v>56</v>
      </c>
      <c r="W257" s="4126"/>
      <c r="X257" s="4126"/>
      <c r="Y257" s="4126"/>
      <c r="Z257" s="4126"/>
      <c r="AA257" s="4126"/>
      <c r="AB257" s="4126"/>
      <c r="AC257" s="4169"/>
    </row>
    <row r="258" spans="1:29" ht="15.75" customHeight="1" thickBot="1">
      <c r="A258" s="299"/>
      <c r="B258" s="4305"/>
      <c r="C258" s="4401"/>
      <c r="D258" s="1521">
        <f t="array" ref="D258:H258">PRCP</f>
        <v>2008</v>
      </c>
      <c r="E258" s="374">
        <v>2009</v>
      </c>
      <c r="F258" s="374">
        <v>2010</v>
      </c>
      <c r="G258" s="374">
        <v>2011</v>
      </c>
      <c r="H258" s="374">
        <v>2012</v>
      </c>
      <c r="I258" s="376">
        <f>CRCP_y1</f>
        <v>2013</v>
      </c>
      <c r="J258" s="376">
        <f>CRCP_y2</f>
        <v>2014</v>
      </c>
      <c r="K258" s="376">
        <f>CRCP_y3</f>
        <v>2015</v>
      </c>
      <c r="L258" s="376">
        <f>CRCP_y4</f>
        <v>2016</v>
      </c>
      <c r="M258" s="376">
        <f>CRCP_y5</f>
        <v>2017</v>
      </c>
      <c r="N258" s="376" t="str">
        <f t="array" ref="N258:R258">FRCP</f>
        <v>2018</v>
      </c>
      <c r="O258" s="376">
        <v>2019</v>
      </c>
      <c r="P258" s="376">
        <v>2020</v>
      </c>
      <c r="Q258" s="376">
        <v>2021</v>
      </c>
      <c r="R258" s="3200">
        <v>2022</v>
      </c>
      <c r="V258" s="1521">
        <f t="array" ref="V258:Z258">PRCP</f>
        <v>2008</v>
      </c>
      <c r="W258" s="374">
        <v>2009</v>
      </c>
      <c r="X258" s="374">
        <v>2010</v>
      </c>
      <c r="Y258" s="374">
        <v>2011</v>
      </c>
      <c r="Z258" s="374">
        <v>2012</v>
      </c>
      <c r="AA258" s="376">
        <f>CRCP_y1</f>
        <v>2013</v>
      </c>
      <c r="AB258" s="376">
        <f>CRCP_y2</f>
        <v>2014</v>
      </c>
      <c r="AC258" s="568">
        <f>CRCP_y3</f>
        <v>2015</v>
      </c>
    </row>
    <row r="259" spans="1:29" ht="15" customHeight="1" outlineLevel="1">
      <c r="A259" s="299"/>
      <c r="B259" s="4361" t="s">
        <v>1567</v>
      </c>
      <c r="C259" s="3255" t="s">
        <v>190</v>
      </c>
      <c r="D259" s="443">
        <v>760</v>
      </c>
      <c r="E259" s="519">
        <v>1190</v>
      </c>
      <c r="F259" s="519">
        <v>899</v>
      </c>
      <c r="G259" s="519">
        <v>571</v>
      </c>
      <c r="H259" s="531">
        <v>1045</v>
      </c>
      <c r="I259" s="443">
        <v>1090</v>
      </c>
      <c r="J259" s="519">
        <v>820</v>
      </c>
      <c r="K259" s="519">
        <v>1040</v>
      </c>
      <c r="L259" s="519">
        <v>1430</v>
      </c>
      <c r="M259" s="519">
        <v>968</v>
      </c>
      <c r="N259" s="443">
        <v>1079</v>
      </c>
      <c r="O259" s="519">
        <v>2433</v>
      </c>
      <c r="P259" s="519">
        <v>2327</v>
      </c>
      <c r="Q259" s="519">
        <v>1811</v>
      </c>
      <c r="R259" s="487">
        <v>2051</v>
      </c>
      <c r="V259" s="1825"/>
      <c r="W259" s="1826"/>
      <c r="X259" s="1826"/>
      <c r="Y259" s="1826"/>
      <c r="Z259" s="1827"/>
      <c r="AA259" s="1825"/>
      <c r="AB259" s="1826"/>
      <c r="AC259" s="1827"/>
    </row>
    <row r="260" spans="1:29" ht="12.75" customHeight="1" outlineLevel="1">
      <c r="A260" s="299"/>
      <c r="B260" s="4362"/>
      <c r="C260" s="3226" t="s">
        <v>585</v>
      </c>
      <c r="D260" s="486"/>
      <c r="E260" s="485"/>
      <c r="F260" s="485"/>
      <c r="G260" s="485"/>
      <c r="H260" s="487"/>
      <c r="I260" s="486"/>
      <c r="J260" s="485"/>
      <c r="K260" s="485"/>
      <c r="L260" s="485"/>
      <c r="M260" s="485"/>
      <c r="N260" s="486"/>
      <c r="O260" s="485"/>
      <c r="P260" s="485"/>
      <c r="Q260" s="485"/>
      <c r="R260" s="487"/>
      <c r="V260" s="489"/>
      <c r="W260" s="490"/>
      <c r="X260" s="490"/>
      <c r="Y260" s="490"/>
      <c r="Z260" s="491"/>
      <c r="AA260" s="489"/>
      <c r="AB260" s="490"/>
      <c r="AC260" s="491"/>
    </row>
    <row r="261" spans="1:29" ht="12.75" customHeight="1" outlineLevel="1">
      <c r="A261" s="299"/>
      <c r="B261" s="4362"/>
      <c r="C261" s="3226" t="s">
        <v>584</v>
      </c>
      <c r="D261" s="486"/>
      <c r="E261" s="485"/>
      <c r="F261" s="485"/>
      <c r="G261" s="485"/>
      <c r="H261" s="487"/>
      <c r="I261" s="486"/>
      <c r="J261" s="485"/>
      <c r="K261" s="485"/>
      <c r="L261" s="485"/>
      <c r="M261" s="485"/>
      <c r="N261" s="486"/>
      <c r="O261" s="485"/>
      <c r="P261" s="485"/>
      <c r="Q261" s="485"/>
      <c r="R261" s="487"/>
      <c r="V261" s="489"/>
      <c r="W261" s="490"/>
      <c r="X261" s="490"/>
      <c r="Y261" s="490"/>
      <c r="Z261" s="491"/>
      <c r="AA261" s="489"/>
      <c r="AB261" s="490"/>
      <c r="AC261" s="491"/>
    </row>
    <row r="262" spans="1:29" ht="12.75" customHeight="1" outlineLevel="1">
      <c r="A262" s="299"/>
      <c r="B262" s="4362"/>
      <c r="C262" s="3226" t="s">
        <v>604</v>
      </c>
      <c r="D262" s="486"/>
      <c r="E262" s="485"/>
      <c r="F262" s="485"/>
      <c r="G262" s="485"/>
      <c r="H262" s="487"/>
      <c r="I262" s="486"/>
      <c r="J262" s="485"/>
      <c r="K262" s="485"/>
      <c r="L262" s="485"/>
      <c r="M262" s="485"/>
      <c r="N262" s="486"/>
      <c r="O262" s="485"/>
      <c r="P262" s="485"/>
      <c r="Q262" s="485"/>
      <c r="R262" s="487"/>
      <c r="V262" s="489"/>
      <c r="W262" s="490"/>
      <c r="X262" s="490"/>
      <c r="Y262" s="490"/>
      <c r="Z262" s="491"/>
      <c r="AA262" s="489"/>
      <c r="AB262" s="490"/>
      <c r="AC262" s="491"/>
    </row>
    <row r="263" spans="1:29" ht="12.75" customHeight="1" outlineLevel="1">
      <c r="A263" s="299"/>
      <c r="B263" s="4362"/>
      <c r="C263" s="3256" t="s">
        <v>605</v>
      </c>
      <c r="D263" s="505">
        <v>14489</v>
      </c>
      <c r="E263" s="506">
        <v>22491</v>
      </c>
      <c r="F263" s="506">
        <v>17486.2</v>
      </c>
      <c r="G263" s="506">
        <v>11262.3</v>
      </c>
      <c r="H263" s="454">
        <v>19985</v>
      </c>
      <c r="I263" s="505">
        <v>20999</v>
      </c>
      <c r="J263" s="506">
        <v>15800.5</v>
      </c>
      <c r="K263" s="506">
        <v>20000</v>
      </c>
      <c r="L263" s="506">
        <v>27372.5</v>
      </c>
      <c r="M263" s="506">
        <v>18992.599999999999</v>
      </c>
      <c r="N263" s="505">
        <v>21521.871556499998</v>
      </c>
      <c r="O263" s="506">
        <v>47256.988747500007</v>
      </c>
      <c r="P263" s="506">
        <v>45029.3744152</v>
      </c>
      <c r="Q263" s="506">
        <v>35367.872512499998</v>
      </c>
      <c r="R263" s="454">
        <v>40338.723660000003</v>
      </c>
      <c r="V263" s="489">
        <f>V260+V261+V262</f>
        <v>0</v>
      </c>
      <c r="W263" s="490">
        <f t="shared" ref="W263:AC263" si="128">W260+W261+W262</f>
        <v>0</v>
      </c>
      <c r="X263" s="490">
        <f t="shared" si="128"/>
        <v>0</v>
      </c>
      <c r="Y263" s="490">
        <f t="shared" si="128"/>
        <v>0</v>
      </c>
      <c r="Z263" s="491">
        <f t="shared" si="128"/>
        <v>0</v>
      </c>
      <c r="AA263" s="489">
        <f t="shared" si="128"/>
        <v>0</v>
      </c>
      <c r="AB263" s="490">
        <f t="shared" si="128"/>
        <v>0</v>
      </c>
      <c r="AC263" s="491">
        <f t="shared" si="128"/>
        <v>0</v>
      </c>
    </row>
    <row r="264" spans="1:29" ht="12.75" customHeight="1" outlineLevel="1">
      <c r="A264" s="299"/>
      <c r="B264" s="4362"/>
      <c r="C264" s="3226" t="s">
        <v>609</v>
      </c>
      <c r="D264" s="486"/>
      <c r="E264" s="485"/>
      <c r="F264" s="485"/>
      <c r="G264" s="485"/>
      <c r="H264" s="487"/>
      <c r="I264" s="3201"/>
      <c r="J264" s="3202"/>
      <c r="K264" s="3202"/>
      <c r="L264" s="3202"/>
      <c r="M264" s="3202"/>
      <c r="N264" s="3211"/>
      <c r="O264" s="3212"/>
      <c r="P264" s="3212"/>
      <c r="Q264" s="3212"/>
      <c r="R264" s="3213"/>
      <c r="V264" s="489"/>
      <c r="W264" s="490"/>
      <c r="X264" s="490"/>
      <c r="Y264" s="490"/>
      <c r="Z264" s="491"/>
      <c r="AA264" s="536"/>
      <c r="AB264" s="537"/>
      <c r="AC264" s="573"/>
    </row>
    <row r="265" spans="1:29" ht="12.75" customHeight="1" outlineLevel="1">
      <c r="A265" s="299"/>
      <c r="B265" s="4362"/>
      <c r="C265" s="3226" t="s">
        <v>607</v>
      </c>
      <c r="D265" s="486"/>
      <c r="E265" s="485"/>
      <c r="F265" s="485"/>
      <c r="G265" s="485"/>
      <c r="H265" s="487"/>
      <c r="I265" s="486"/>
      <c r="J265" s="485"/>
      <c r="K265" s="485"/>
      <c r="L265" s="485"/>
      <c r="M265" s="485"/>
      <c r="N265" s="486"/>
      <c r="O265" s="485"/>
      <c r="P265" s="485"/>
      <c r="Q265" s="485"/>
      <c r="R265" s="487"/>
      <c r="V265" s="489"/>
      <c r="W265" s="490"/>
      <c r="X265" s="490"/>
      <c r="Y265" s="490"/>
      <c r="Z265" s="491"/>
      <c r="AA265" s="489"/>
      <c r="AB265" s="490"/>
      <c r="AC265" s="491"/>
    </row>
    <row r="266" spans="1:29" ht="12.75" customHeight="1" outlineLevel="1">
      <c r="A266" s="299"/>
      <c r="B266" s="4362"/>
      <c r="C266" s="3257" t="s">
        <v>610</v>
      </c>
      <c r="D266" s="3204">
        <f>D263+D264+D265</f>
        <v>14489</v>
      </c>
      <c r="E266" s="3205">
        <f t="shared" ref="E266:R266" si="129">E263+E264+E265</f>
        <v>22491</v>
      </c>
      <c r="F266" s="3205">
        <f t="shared" si="129"/>
        <v>17486.2</v>
      </c>
      <c r="G266" s="3205">
        <f t="shared" si="129"/>
        <v>11262.3</v>
      </c>
      <c r="H266" s="3206">
        <f t="shared" si="129"/>
        <v>19985</v>
      </c>
      <c r="I266" s="3204">
        <f t="shared" si="129"/>
        <v>20999</v>
      </c>
      <c r="J266" s="3205">
        <f t="shared" si="129"/>
        <v>15800.5</v>
      </c>
      <c r="K266" s="3205">
        <f t="shared" si="129"/>
        <v>20000</v>
      </c>
      <c r="L266" s="3205">
        <f t="shared" si="129"/>
        <v>27372.5</v>
      </c>
      <c r="M266" s="3205">
        <f t="shared" si="129"/>
        <v>18992.599999999999</v>
      </c>
      <c r="N266" s="3204">
        <f t="shared" si="129"/>
        <v>21521.871556499998</v>
      </c>
      <c r="O266" s="3205">
        <f t="shared" si="129"/>
        <v>47256.988747500007</v>
      </c>
      <c r="P266" s="3205">
        <f t="shared" si="129"/>
        <v>45029.3744152</v>
      </c>
      <c r="Q266" s="3205">
        <f t="shared" si="129"/>
        <v>35367.872512499998</v>
      </c>
      <c r="R266" s="3206">
        <f t="shared" si="129"/>
        <v>40338.723660000003</v>
      </c>
      <c r="V266" s="583">
        <f>V263+V264+V265</f>
        <v>0</v>
      </c>
      <c r="W266" s="580">
        <f t="shared" ref="W266:AC266" si="130">W263+W264+W265</f>
        <v>0</v>
      </c>
      <c r="X266" s="580">
        <f t="shared" si="130"/>
        <v>0</v>
      </c>
      <c r="Y266" s="580">
        <f t="shared" si="130"/>
        <v>0</v>
      </c>
      <c r="Z266" s="584">
        <f t="shared" si="130"/>
        <v>0</v>
      </c>
      <c r="AA266" s="583">
        <f t="shared" si="130"/>
        <v>0</v>
      </c>
      <c r="AB266" s="580">
        <f t="shared" si="130"/>
        <v>0</v>
      </c>
      <c r="AC266" s="584">
        <f t="shared" si="130"/>
        <v>0</v>
      </c>
    </row>
    <row r="267" spans="1:29" ht="12.75" customHeight="1" outlineLevel="1">
      <c r="A267" s="299"/>
      <c r="B267" s="4362"/>
      <c r="C267" s="3226" t="s">
        <v>631</v>
      </c>
      <c r="D267" s="486"/>
      <c r="E267" s="485"/>
      <c r="F267" s="485"/>
      <c r="G267" s="485"/>
      <c r="H267" s="487"/>
      <c r="I267" s="486"/>
      <c r="J267" s="485"/>
      <c r="K267" s="485"/>
      <c r="L267" s="485"/>
      <c r="M267" s="485"/>
      <c r="N267" s="486"/>
      <c r="O267" s="485"/>
      <c r="P267" s="485"/>
      <c r="Q267" s="485"/>
      <c r="R267" s="487"/>
      <c r="V267" s="489"/>
      <c r="W267" s="490"/>
      <c r="X267" s="490"/>
      <c r="Y267" s="490"/>
      <c r="Z267" s="491"/>
      <c r="AA267" s="489"/>
      <c r="AB267" s="490"/>
      <c r="AC267" s="491"/>
    </row>
    <row r="268" spans="1:29" ht="13.5" customHeight="1" outlineLevel="1" thickBot="1">
      <c r="A268" s="299"/>
      <c r="B268" s="4363"/>
      <c r="C268" s="3258" t="s">
        <v>611</v>
      </c>
      <c r="D268" s="3193">
        <f>D266-D267</f>
        <v>14489</v>
      </c>
      <c r="E268" s="3194">
        <f t="shared" ref="E268:R268" si="131">E266-E267</f>
        <v>22491</v>
      </c>
      <c r="F268" s="3194">
        <f t="shared" si="131"/>
        <v>17486.2</v>
      </c>
      <c r="G268" s="3194">
        <f t="shared" si="131"/>
        <v>11262.3</v>
      </c>
      <c r="H268" s="3195">
        <f t="shared" si="131"/>
        <v>19985</v>
      </c>
      <c r="I268" s="3193">
        <f t="shared" si="131"/>
        <v>20999</v>
      </c>
      <c r="J268" s="3194">
        <f t="shared" si="131"/>
        <v>15800.5</v>
      </c>
      <c r="K268" s="3194">
        <f t="shared" si="131"/>
        <v>20000</v>
      </c>
      <c r="L268" s="3194">
        <f t="shared" si="131"/>
        <v>27372.5</v>
      </c>
      <c r="M268" s="3194">
        <f t="shared" si="131"/>
        <v>18992.599999999999</v>
      </c>
      <c r="N268" s="3193">
        <f t="shared" si="131"/>
        <v>21521.871556499998</v>
      </c>
      <c r="O268" s="3194">
        <f t="shared" si="131"/>
        <v>47256.988747500007</v>
      </c>
      <c r="P268" s="3194">
        <f t="shared" si="131"/>
        <v>45029.3744152</v>
      </c>
      <c r="Q268" s="3194">
        <f t="shared" si="131"/>
        <v>35367.872512499998</v>
      </c>
      <c r="R268" s="3195">
        <f t="shared" si="131"/>
        <v>40338.723660000003</v>
      </c>
      <c r="V268" s="1822">
        <f>V266-V267</f>
        <v>0</v>
      </c>
      <c r="W268" s="581">
        <f t="shared" ref="W268:AC268" si="132">W266-W267</f>
        <v>0</v>
      </c>
      <c r="X268" s="581">
        <f t="shared" si="132"/>
        <v>0</v>
      </c>
      <c r="Y268" s="581">
        <f t="shared" si="132"/>
        <v>0</v>
      </c>
      <c r="Z268" s="582">
        <f t="shared" si="132"/>
        <v>0</v>
      </c>
      <c r="AA268" s="1822">
        <f t="shared" si="132"/>
        <v>0</v>
      </c>
      <c r="AB268" s="581">
        <f t="shared" si="132"/>
        <v>0</v>
      </c>
      <c r="AC268" s="582">
        <f t="shared" si="132"/>
        <v>0</v>
      </c>
    </row>
    <row r="269" spans="1:29" s="501" customFormat="1" ht="15" customHeight="1" outlineLevel="1">
      <c r="A269" s="299"/>
      <c r="B269" s="4364" t="s">
        <v>189</v>
      </c>
      <c r="C269" s="3255" t="s">
        <v>190</v>
      </c>
      <c r="D269" s="486"/>
      <c r="E269" s="485"/>
      <c r="F269" s="485"/>
      <c r="G269" s="485"/>
      <c r="H269" s="487"/>
      <c r="I269" s="486"/>
      <c r="J269" s="485"/>
      <c r="K269" s="485"/>
      <c r="L269" s="485"/>
      <c r="M269" s="485"/>
      <c r="N269" s="486"/>
      <c r="O269" s="485"/>
      <c r="P269" s="485"/>
      <c r="Q269" s="485"/>
      <c r="R269" s="487"/>
      <c r="S269" s="1266"/>
      <c r="T269" s="1266"/>
      <c r="U269" s="1266"/>
      <c r="V269" s="489"/>
      <c r="W269" s="490"/>
      <c r="X269" s="490"/>
      <c r="Y269" s="490"/>
      <c r="Z269" s="491"/>
      <c r="AA269" s="489"/>
      <c r="AB269" s="490"/>
      <c r="AC269" s="491"/>
    </row>
    <row r="270" spans="1:29" s="501" customFormat="1" ht="12.75" customHeight="1" outlineLevel="1">
      <c r="A270" s="299"/>
      <c r="B270" s="4365"/>
      <c r="C270" s="3226" t="s">
        <v>585</v>
      </c>
      <c r="D270" s="486"/>
      <c r="E270" s="485"/>
      <c r="F270" s="485"/>
      <c r="G270" s="485"/>
      <c r="H270" s="487"/>
      <c r="I270" s="486"/>
      <c r="J270" s="485"/>
      <c r="K270" s="485"/>
      <c r="L270" s="485"/>
      <c r="M270" s="485"/>
      <c r="N270" s="486"/>
      <c r="O270" s="485"/>
      <c r="P270" s="485"/>
      <c r="Q270" s="485"/>
      <c r="R270" s="487"/>
      <c r="S270" s="1266"/>
      <c r="T270" s="1266"/>
      <c r="U270" s="1266"/>
      <c r="V270" s="489"/>
      <c r="W270" s="490"/>
      <c r="X270" s="490"/>
      <c r="Y270" s="490"/>
      <c r="Z270" s="491"/>
      <c r="AA270" s="489"/>
      <c r="AB270" s="490"/>
      <c r="AC270" s="491"/>
    </row>
    <row r="271" spans="1:29" s="501" customFormat="1" ht="12.75" customHeight="1" outlineLevel="1">
      <c r="A271" s="299"/>
      <c r="B271" s="4365"/>
      <c r="C271" s="3226" t="s">
        <v>584</v>
      </c>
      <c r="D271" s="486"/>
      <c r="E271" s="485"/>
      <c r="F271" s="485"/>
      <c r="G271" s="485"/>
      <c r="H271" s="487"/>
      <c r="I271" s="486"/>
      <c r="J271" s="485"/>
      <c r="K271" s="485"/>
      <c r="L271" s="485"/>
      <c r="M271" s="485"/>
      <c r="N271" s="486"/>
      <c r="O271" s="485"/>
      <c r="P271" s="485"/>
      <c r="Q271" s="485"/>
      <c r="R271" s="487"/>
      <c r="S271" s="1266"/>
      <c r="T271" s="1266"/>
      <c r="U271" s="1266"/>
      <c r="V271" s="489"/>
      <c r="W271" s="490"/>
      <c r="X271" s="490"/>
      <c r="Y271" s="490"/>
      <c r="Z271" s="491"/>
      <c r="AA271" s="489"/>
      <c r="AB271" s="490"/>
      <c r="AC271" s="491"/>
    </row>
    <row r="272" spans="1:29" s="501" customFormat="1" ht="12.75" customHeight="1" outlineLevel="1">
      <c r="A272" s="299"/>
      <c r="B272" s="4365"/>
      <c r="C272" s="3226" t="s">
        <v>604</v>
      </c>
      <c r="D272" s="486"/>
      <c r="E272" s="485"/>
      <c r="F272" s="485"/>
      <c r="G272" s="485"/>
      <c r="H272" s="487"/>
      <c r="I272" s="486"/>
      <c r="J272" s="485"/>
      <c r="K272" s="485"/>
      <c r="L272" s="485"/>
      <c r="M272" s="485"/>
      <c r="N272" s="486"/>
      <c r="O272" s="485"/>
      <c r="P272" s="485"/>
      <c r="Q272" s="485"/>
      <c r="R272" s="487"/>
      <c r="S272" s="1266"/>
      <c r="T272" s="1266"/>
      <c r="U272" s="1266"/>
      <c r="V272" s="489"/>
      <c r="W272" s="490"/>
      <c r="X272" s="490"/>
      <c r="Y272" s="490"/>
      <c r="Z272" s="491"/>
      <c r="AA272" s="489"/>
      <c r="AB272" s="490"/>
      <c r="AC272" s="491"/>
    </row>
    <row r="273" spans="1:29" s="501" customFormat="1" ht="12.75" customHeight="1" outlineLevel="1">
      <c r="A273" s="299"/>
      <c r="B273" s="4365"/>
      <c r="C273" s="3256" t="s">
        <v>605</v>
      </c>
      <c r="D273" s="505">
        <f>D270+D271+D272</f>
        <v>0</v>
      </c>
      <c r="E273" s="506">
        <f t="shared" ref="E273:R273" si="133">E270+E271+E272</f>
        <v>0</v>
      </c>
      <c r="F273" s="506">
        <f t="shared" si="133"/>
        <v>0</v>
      </c>
      <c r="G273" s="506">
        <f t="shared" si="133"/>
        <v>0</v>
      </c>
      <c r="H273" s="454">
        <f t="shared" si="133"/>
        <v>0</v>
      </c>
      <c r="I273" s="505">
        <f t="shared" si="133"/>
        <v>0</v>
      </c>
      <c r="J273" s="506">
        <f t="shared" si="133"/>
        <v>0</v>
      </c>
      <c r="K273" s="506">
        <f t="shared" si="133"/>
        <v>0</v>
      </c>
      <c r="L273" s="506">
        <f t="shared" si="133"/>
        <v>0</v>
      </c>
      <c r="M273" s="506">
        <f t="shared" si="133"/>
        <v>0</v>
      </c>
      <c r="N273" s="505">
        <f t="shared" si="133"/>
        <v>0</v>
      </c>
      <c r="O273" s="506">
        <f t="shared" si="133"/>
        <v>0</v>
      </c>
      <c r="P273" s="506">
        <f t="shared" si="133"/>
        <v>0</v>
      </c>
      <c r="Q273" s="506">
        <f t="shared" si="133"/>
        <v>0</v>
      </c>
      <c r="R273" s="454">
        <f t="shared" si="133"/>
        <v>0</v>
      </c>
      <c r="S273" s="1266"/>
      <c r="T273" s="1266"/>
      <c r="U273" s="1266"/>
      <c r="V273" s="489">
        <f>V270+V271+V272</f>
        <v>0</v>
      </c>
      <c r="W273" s="490">
        <f t="shared" ref="W273:AC273" si="134">W270+W271+W272</f>
        <v>0</v>
      </c>
      <c r="X273" s="490">
        <f t="shared" si="134"/>
        <v>0</v>
      </c>
      <c r="Y273" s="490">
        <f t="shared" si="134"/>
        <v>0</v>
      </c>
      <c r="Z273" s="491">
        <f t="shared" si="134"/>
        <v>0</v>
      </c>
      <c r="AA273" s="489">
        <f t="shared" si="134"/>
        <v>0</v>
      </c>
      <c r="AB273" s="490">
        <f t="shared" si="134"/>
        <v>0</v>
      </c>
      <c r="AC273" s="491">
        <f t="shared" si="134"/>
        <v>0</v>
      </c>
    </row>
    <row r="274" spans="1:29" s="501" customFormat="1" ht="12.75" customHeight="1" outlineLevel="1">
      <c r="A274" s="299"/>
      <c r="B274" s="4365"/>
      <c r="C274" s="3226" t="s">
        <v>609</v>
      </c>
      <c r="D274" s="486"/>
      <c r="E274" s="485"/>
      <c r="F274" s="485"/>
      <c r="G274" s="485"/>
      <c r="H274" s="487"/>
      <c r="I274" s="3201"/>
      <c r="J274" s="3202"/>
      <c r="K274" s="3202"/>
      <c r="L274" s="3202"/>
      <c r="M274" s="3202"/>
      <c r="N274" s="3211"/>
      <c r="O274" s="3212"/>
      <c r="P274" s="3212"/>
      <c r="Q274" s="3212"/>
      <c r="R274" s="3213"/>
      <c r="S274" s="1266"/>
      <c r="T274" s="1266"/>
      <c r="U274" s="1266"/>
      <c r="V274" s="489"/>
      <c r="W274" s="490"/>
      <c r="X274" s="490"/>
      <c r="Y274" s="490"/>
      <c r="Z274" s="491"/>
      <c r="AA274" s="536"/>
      <c r="AB274" s="537"/>
      <c r="AC274" s="573"/>
    </row>
    <row r="275" spans="1:29" s="501" customFormat="1" ht="12.75" customHeight="1" outlineLevel="1">
      <c r="A275" s="299"/>
      <c r="B275" s="4365"/>
      <c r="C275" s="3226" t="s">
        <v>607</v>
      </c>
      <c r="D275" s="486"/>
      <c r="E275" s="485"/>
      <c r="F275" s="485"/>
      <c r="G275" s="485"/>
      <c r="H275" s="487"/>
      <c r="I275" s="486"/>
      <c r="J275" s="485"/>
      <c r="K275" s="485"/>
      <c r="L275" s="485"/>
      <c r="M275" s="485"/>
      <c r="N275" s="486"/>
      <c r="O275" s="485"/>
      <c r="P275" s="485"/>
      <c r="Q275" s="485"/>
      <c r="R275" s="487"/>
      <c r="S275" s="1266"/>
      <c r="T275" s="1266"/>
      <c r="U275" s="1266"/>
      <c r="V275" s="489"/>
      <c r="W275" s="490"/>
      <c r="X275" s="490"/>
      <c r="Y275" s="490"/>
      <c r="Z275" s="491"/>
      <c r="AA275" s="489"/>
      <c r="AB275" s="490"/>
      <c r="AC275" s="491"/>
    </row>
    <row r="276" spans="1:29" s="501" customFormat="1" ht="12.75" customHeight="1" outlineLevel="1">
      <c r="A276" s="299"/>
      <c r="B276" s="4365"/>
      <c r="C276" s="3257" t="s">
        <v>610</v>
      </c>
      <c r="D276" s="3204">
        <f>D273+D274+D275</f>
        <v>0</v>
      </c>
      <c r="E276" s="3205">
        <f t="shared" ref="E276:R276" si="135">E273+E274+E275</f>
        <v>0</v>
      </c>
      <c r="F276" s="3205">
        <f t="shared" si="135"/>
        <v>0</v>
      </c>
      <c r="G276" s="3205">
        <f t="shared" si="135"/>
        <v>0</v>
      </c>
      <c r="H276" s="3206">
        <f t="shared" si="135"/>
        <v>0</v>
      </c>
      <c r="I276" s="3204">
        <f t="shared" si="135"/>
        <v>0</v>
      </c>
      <c r="J276" s="3205">
        <f t="shared" si="135"/>
        <v>0</v>
      </c>
      <c r="K276" s="3205">
        <f t="shared" si="135"/>
        <v>0</v>
      </c>
      <c r="L276" s="3205">
        <f t="shared" si="135"/>
        <v>0</v>
      </c>
      <c r="M276" s="3205">
        <f t="shared" si="135"/>
        <v>0</v>
      </c>
      <c r="N276" s="3204">
        <f t="shared" si="135"/>
        <v>0</v>
      </c>
      <c r="O276" s="3205">
        <f t="shared" si="135"/>
        <v>0</v>
      </c>
      <c r="P276" s="3205">
        <f t="shared" si="135"/>
        <v>0</v>
      </c>
      <c r="Q276" s="3205">
        <f t="shared" si="135"/>
        <v>0</v>
      </c>
      <c r="R276" s="3206">
        <f t="shared" si="135"/>
        <v>0</v>
      </c>
      <c r="S276" s="1266"/>
      <c r="T276" s="1266"/>
      <c r="U276" s="1266"/>
      <c r="V276" s="583">
        <f>V273+V274+V275</f>
        <v>0</v>
      </c>
      <c r="W276" s="580">
        <f t="shared" ref="W276:AC276" si="136">W273+W274+W275</f>
        <v>0</v>
      </c>
      <c r="X276" s="580">
        <f t="shared" si="136"/>
        <v>0</v>
      </c>
      <c r="Y276" s="580">
        <f t="shared" si="136"/>
        <v>0</v>
      </c>
      <c r="Z276" s="584">
        <f t="shared" si="136"/>
        <v>0</v>
      </c>
      <c r="AA276" s="583">
        <f t="shared" si="136"/>
        <v>0</v>
      </c>
      <c r="AB276" s="580">
        <f t="shared" si="136"/>
        <v>0</v>
      </c>
      <c r="AC276" s="584">
        <f t="shared" si="136"/>
        <v>0</v>
      </c>
    </row>
    <row r="277" spans="1:29" s="501" customFormat="1" ht="12.75" customHeight="1" outlineLevel="1">
      <c r="A277" s="299"/>
      <c r="B277" s="4365"/>
      <c r="C277" s="3226" t="s">
        <v>631</v>
      </c>
      <c r="D277" s="486"/>
      <c r="E277" s="485"/>
      <c r="F277" s="485"/>
      <c r="G277" s="485"/>
      <c r="H277" s="487"/>
      <c r="I277" s="486"/>
      <c r="J277" s="485"/>
      <c r="K277" s="485"/>
      <c r="L277" s="485"/>
      <c r="M277" s="485"/>
      <c r="N277" s="486"/>
      <c r="O277" s="485"/>
      <c r="P277" s="485"/>
      <c r="Q277" s="485"/>
      <c r="R277" s="487"/>
      <c r="S277" s="1266"/>
      <c r="T277" s="1266"/>
      <c r="U277" s="1266"/>
      <c r="V277" s="489"/>
      <c r="W277" s="490"/>
      <c r="X277" s="490"/>
      <c r="Y277" s="490"/>
      <c r="Z277" s="491"/>
      <c r="AA277" s="489"/>
      <c r="AB277" s="490"/>
      <c r="AC277" s="491"/>
    </row>
    <row r="278" spans="1:29" s="501" customFormat="1" ht="13.5" customHeight="1" outlineLevel="1" thickBot="1">
      <c r="A278" s="299"/>
      <c r="B278" s="4366"/>
      <c r="C278" s="3258" t="s">
        <v>611</v>
      </c>
      <c r="D278" s="3193">
        <f>D276-D277</f>
        <v>0</v>
      </c>
      <c r="E278" s="3194">
        <f t="shared" ref="E278:R278" si="137">E276-E277</f>
        <v>0</v>
      </c>
      <c r="F278" s="3194">
        <f t="shared" si="137"/>
        <v>0</v>
      </c>
      <c r="G278" s="3194">
        <f t="shared" si="137"/>
        <v>0</v>
      </c>
      <c r="H278" s="3195">
        <f t="shared" si="137"/>
        <v>0</v>
      </c>
      <c r="I278" s="3193">
        <f t="shared" si="137"/>
        <v>0</v>
      </c>
      <c r="J278" s="3194">
        <f t="shared" si="137"/>
        <v>0</v>
      </c>
      <c r="K278" s="3194">
        <f t="shared" si="137"/>
        <v>0</v>
      </c>
      <c r="L278" s="3194">
        <f t="shared" si="137"/>
        <v>0</v>
      </c>
      <c r="M278" s="3194">
        <f t="shared" si="137"/>
        <v>0</v>
      </c>
      <c r="N278" s="3193">
        <f t="shared" si="137"/>
        <v>0</v>
      </c>
      <c r="O278" s="3194">
        <f t="shared" si="137"/>
        <v>0</v>
      </c>
      <c r="P278" s="3194">
        <f t="shared" si="137"/>
        <v>0</v>
      </c>
      <c r="Q278" s="3194">
        <f t="shared" si="137"/>
        <v>0</v>
      </c>
      <c r="R278" s="3195">
        <f t="shared" si="137"/>
        <v>0</v>
      </c>
      <c r="S278" s="1266"/>
      <c r="T278" s="1266"/>
      <c r="U278" s="1266"/>
      <c r="V278" s="1822">
        <f>V276-V277</f>
        <v>0</v>
      </c>
      <c r="W278" s="581">
        <f t="shared" ref="W278:AC278" si="138">W276-W277</f>
        <v>0</v>
      </c>
      <c r="X278" s="581">
        <f t="shared" si="138"/>
        <v>0</v>
      </c>
      <c r="Y278" s="581">
        <f t="shared" si="138"/>
        <v>0</v>
      </c>
      <c r="Z278" s="582">
        <f t="shared" si="138"/>
        <v>0</v>
      </c>
      <c r="AA278" s="1822">
        <f t="shared" si="138"/>
        <v>0</v>
      </c>
      <c r="AB278" s="581">
        <f t="shared" si="138"/>
        <v>0</v>
      </c>
      <c r="AC278" s="582">
        <f t="shared" si="138"/>
        <v>0</v>
      </c>
    </row>
    <row r="279" spans="1:29" s="501" customFormat="1" ht="15" customHeight="1" outlineLevel="1">
      <c r="A279" s="299"/>
      <c r="B279" s="4364" t="s">
        <v>189</v>
      </c>
      <c r="C279" s="3255" t="s">
        <v>190</v>
      </c>
      <c r="D279" s="486"/>
      <c r="E279" s="485"/>
      <c r="F279" s="485"/>
      <c r="G279" s="485"/>
      <c r="H279" s="487"/>
      <c r="I279" s="486"/>
      <c r="J279" s="485"/>
      <c r="K279" s="485"/>
      <c r="L279" s="485"/>
      <c r="M279" s="485"/>
      <c r="N279" s="486"/>
      <c r="O279" s="485"/>
      <c r="P279" s="485"/>
      <c r="Q279" s="485"/>
      <c r="R279" s="487"/>
      <c r="S279" s="1266"/>
      <c r="T279" s="1266"/>
      <c r="U279" s="1266"/>
      <c r="V279" s="489"/>
      <c r="W279" s="490"/>
      <c r="X279" s="490"/>
      <c r="Y279" s="490"/>
      <c r="Z279" s="491"/>
      <c r="AA279" s="489"/>
      <c r="AB279" s="490"/>
      <c r="AC279" s="491"/>
    </row>
    <row r="280" spans="1:29" s="501" customFormat="1" ht="12.75" customHeight="1" outlineLevel="1">
      <c r="A280" s="299"/>
      <c r="B280" s="4365"/>
      <c r="C280" s="3226" t="s">
        <v>585</v>
      </c>
      <c r="D280" s="486"/>
      <c r="E280" s="485"/>
      <c r="F280" s="485"/>
      <c r="G280" s="485"/>
      <c r="H280" s="487"/>
      <c r="I280" s="486"/>
      <c r="J280" s="485"/>
      <c r="K280" s="485"/>
      <c r="L280" s="485"/>
      <c r="M280" s="485"/>
      <c r="N280" s="486"/>
      <c r="O280" s="485"/>
      <c r="P280" s="485"/>
      <c r="Q280" s="485"/>
      <c r="R280" s="487"/>
      <c r="S280" s="1266"/>
      <c r="T280" s="1266"/>
      <c r="U280" s="1266"/>
      <c r="V280" s="489"/>
      <c r="W280" s="490"/>
      <c r="X280" s="490"/>
      <c r="Y280" s="490"/>
      <c r="Z280" s="491"/>
      <c r="AA280" s="489"/>
      <c r="AB280" s="490"/>
      <c r="AC280" s="491"/>
    </row>
    <row r="281" spans="1:29" s="501" customFormat="1" ht="12.75" customHeight="1" outlineLevel="1">
      <c r="A281" s="299"/>
      <c r="B281" s="4365"/>
      <c r="C281" s="3226" t="s">
        <v>584</v>
      </c>
      <c r="D281" s="486"/>
      <c r="E281" s="485"/>
      <c r="F281" s="485"/>
      <c r="G281" s="485"/>
      <c r="H281" s="487"/>
      <c r="I281" s="486"/>
      <c r="J281" s="485"/>
      <c r="K281" s="485"/>
      <c r="L281" s="485"/>
      <c r="M281" s="485"/>
      <c r="N281" s="486"/>
      <c r="O281" s="485"/>
      <c r="P281" s="485"/>
      <c r="Q281" s="485"/>
      <c r="R281" s="487"/>
      <c r="S281" s="1266"/>
      <c r="T281" s="1266"/>
      <c r="U281" s="1266"/>
      <c r="V281" s="489"/>
      <c r="W281" s="490"/>
      <c r="X281" s="490"/>
      <c r="Y281" s="490"/>
      <c r="Z281" s="491"/>
      <c r="AA281" s="489"/>
      <c r="AB281" s="490"/>
      <c r="AC281" s="491"/>
    </row>
    <row r="282" spans="1:29" s="501" customFormat="1" ht="12.75" customHeight="1" outlineLevel="1">
      <c r="A282" s="299"/>
      <c r="B282" s="4365"/>
      <c r="C282" s="3226" t="s">
        <v>604</v>
      </c>
      <c r="D282" s="486"/>
      <c r="E282" s="485"/>
      <c r="F282" s="485"/>
      <c r="G282" s="485"/>
      <c r="H282" s="487"/>
      <c r="I282" s="486"/>
      <c r="J282" s="485"/>
      <c r="K282" s="485"/>
      <c r="L282" s="485"/>
      <c r="M282" s="485"/>
      <c r="N282" s="486"/>
      <c r="O282" s="485"/>
      <c r="P282" s="485"/>
      <c r="Q282" s="485"/>
      <c r="R282" s="487"/>
      <c r="S282" s="1266"/>
      <c r="T282" s="1266"/>
      <c r="U282" s="1266"/>
      <c r="V282" s="489"/>
      <c r="W282" s="490"/>
      <c r="X282" s="490"/>
      <c r="Y282" s="490"/>
      <c r="Z282" s="491"/>
      <c r="AA282" s="489"/>
      <c r="AB282" s="490"/>
      <c r="AC282" s="491"/>
    </row>
    <row r="283" spans="1:29" s="501" customFormat="1" ht="12.75" customHeight="1" outlineLevel="1">
      <c r="A283" s="299"/>
      <c r="B283" s="4365"/>
      <c r="C283" s="3256" t="s">
        <v>605</v>
      </c>
      <c r="D283" s="505">
        <f>D280+D281+D282</f>
        <v>0</v>
      </c>
      <c r="E283" s="506">
        <f t="shared" ref="E283:R283" si="139">E280+E281+E282</f>
        <v>0</v>
      </c>
      <c r="F283" s="506">
        <f t="shared" si="139"/>
        <v>0</v>
      </c>
      <c r="G283" s="506">
        <f t="shared" si="139"/>
        <v>0</v>
      </c>
      <c r="H283" s="454">
        <f t="shared" si="139"/>
        <v>0</v>
      </c>
      <c r="I283" s="505">
        <f t="shared" si="139"/>
        <v>0</v>
      </c>
      <c r="J283" s="506">
        <f t="shared" si="139"/>
        <v>0</v>
      </c>
      <c r="K283" s="506">
        <f t="shared" si="139"/>
        <v>0</v>
      </c>
      <c r="L283" s="506">
        <f t="shared" si="139"/>
        <v>0</v>
      </c>
      <c r="M283" s="506">
        <f t="shared" si="139"/>
        <v>0</v>
      </c>
      <c r="N283" s="505">
        <f t="shared" si="139"/>
        <v>0</v>
      </c>
      <c r="O283" s="506">
        <f t="shared" si="139"/>
        <v>0</v>
      </c>
      <c r="P283" s="506">
        <f t="shared" si="139"/>
        <v>0</v>
      </c>
      <c r="Q283" s="506">
        <f t="shared" si="139"/>
        <v>0</v>
      </c>
      <c r="R283" s="454">
        <f t="shared" si="139"/>
        <v>0</v>
      </c>
      <c r="S283" s="1266"/>
      <c r="T283" s="1266"/>
      <c r="U283" s="1266"/>
      <c r="V283" s="489">
        <f>V280+V281+V282</f>
        <v>0</v>
      </c>
      <c r="W283" s="490">
        <f t="shared" ref="W283:AC283" si="140">W280+W281+W282</f>
        <v>0</v>
      </c>
      <c r="X283" s="490">
        <f t="shared" si="140"/>
        <v>0</v>
      </c>
      <c r="Y283" s="490">
        <f t="shared" si="140"/>
        <v>0</v>
      </c>
      <c r="Z283" s="491">
        <f t="shared" si="140"/>
        <v>0</v>
      </c>
      <c r="AA283" s="489">
        <f t="shared" si="140"/>
        <v>0</v>
      </c>
      <c r="AB283" s="490">
        <f t="shared" si="140"/>
        <v>0</v>
      </c>
      <c r="AC283" s="491">
        <f t="shared" si="140"/>
        <v>0</v>
      </c>
    </row>
    <row r="284" spans="1:29" s="501" customFormat="1" ht="12.75" customHeight="1" outlineLevel="1">
      <c r="A284" s="299"/>
      <c r="B284" s="4365"/>
      <c r="C284" s="3226" t="s">
        <v>609</v>
      </c>
      <c r="D284" s="486"/>
      <c r="E284" s="485"/>
      <c r="F284" s="485"/>
      <c r="G284" s="485"/>
      <c r="H284" s="487"/>
      <c r="I284" s="3201"/>
      <c r="J284" s="3202"/>
      <c r="K284" s="3202"/>
      <c r="L284" s="3202"/>
      <c r="M284" s="3202"/>
      <c r="N284" s="3211"/>
      <c r="O284" s="3212"/>
      <c r="P284" s="3212"/>
      <c r="Q284" s="3212"/>
      <c r="R284" s="3213"/>
      <c r="S284" s="1266"/>
      <c r="T284" s="1266"/>
      <c r="U284" s="1266"/>
      <c r="V284" s="489"/>
      <c r="W284" s="490"/>
      <c r="X284" s="490"/>
      <c r="Y284" s="490"/>
      <c r="Z284" s="491"/>
      <c r="AA284" s="536"/>
      <c r="AB284" s="537"/>
      <c r="AC284" s="573"/>
    </row>
    <row r="285" spans="1:29" s="501" customFormat="1" ht="12.75" customHeight="1" outlineLevel="1">
      <c r="A285" s="299"/>
      <c r="B285" s="4365"/>
      <c r="C285" s="3226" t="s">
        <v>607</v>
      </c>
      <c r="D285" s="486"/>
      <c r="E285" s="485"/>
      <c r="F285" s="485"/>
      <c r="G285" s="485"/>
      <c r="H285" s="487"/>
      <c r="I285" s="486"/>
      <c r="J285" s="485"/>
      <c r="K285" s="485"/>
      <c r="L285" s="485"/>
      <c r="M285" s="485"/>
      <c r="N285" s="486"/>
      <c r="O285" s="485"/>
      <c r="P285" s="485"/>
      <c r="Q285" s="485"/>
      <c r="R285" s="487"/>
      <c r="S285" s="1266"/>
      <c r="T285" s="1266"/>
      <c r="U285" s="1266"/>
      <c r="V285" s="489"/>
      <c r="W285" s="490"/>
      <c r="X285" s="490"/>
      <c r="Y285" s="490"/>
      <c r="Z285" s="491"/>
      <c r="AA285" s="489"/>
      <c r="AB285" s="490"/>
      <c r="AC285" s="491"/>
    </row>
    <row r="286" spans="1:29" s="501" customFormat="1" ht="12.75" customHeight="1" outlineLevel="1">
      <c r="A286" s="299"/>
      <c r="B286" s="4365"/>
      <c r="C286" s="3257" t="s">
        <v>610</v>
      </c>
      <c r="D286" s="3204">
        <f>D283+D284+D285</f>
        <v>0</v>
      </c>
      <c r="E286" s="3205">
        <f t="shared" ref="E286:R286" si="141">E283+E284+E285</f>
        <v>0</v>
      </c>
      <c r="F286" s="3205">
        <f t="shared" si="141"/>
        <v>0</v>
      </c>
      <c r="G286" s="3205">
        <f t="shared" si="141"/>
        <v>0</v>
      </c>
      <c r="H286" s="3206">
        <f t="shared" si="141"/>
        <v>0</v>
      </c>
      <c r="I286" s="3204">
        <f t="shared" si="141"/>
        <v>0</v>
      </c>
      <c r="J286" s="3205">
        <f t="shared" si="141"/>
        <v>0</v>
      </c>
      <c r="K286" s="3205">
        <f t="shared" si="141"/>
        <v>0</v>
      </c>
      <c r="L286" s="3205">
        <f t="shared" si="141"/>
        <v>0</v>
      </c>
      <c r="M286" s="3205">
        <f t="shared" si="141"/>
        <v>0</v>
      </c>
      <c r="N286" s="3204">
        <f t="shared" si="141"/>
        <v>0</v>
      </c>
      <c r="O286" s="3205">
        <f t="shared" si="141"/>
        <v>0</v>
      </c>
      <c r="P286" s="3205">
        <f t="shared" si="141"/>
        <v>0</v>
      </c>
      <c r="Q286" s="3205">
        <f t="shared" si="141"/>
        <v>0</v>
      </c>
      <c r="R286" s="3206">
        <f t="shared" si="141"/>
        <v>0</v>
      </c>
      <c r="S286" s="1266"/>
      <c r="T286" s="1266"/>
      <c r="U286" s="1266"/>
      <c r="V286" s="583">
        <f>V283+V284+V285</f>
        <v>0</v>
      </c>
      <c r="W286" s="580">
        <f t="shared" ref="W286:AC286" si="142">W283+W284+W285</f>
        <v>0</v>
      </c>
      <c r="X286" s="580">
        <f t="shared" si="142"/>
        <v>0</v>
      </c>
      <c r="Y286" s="580">
        <f t="shared" si="142"/>
        <v>0</v>
      </c>
      <c r="Z286" s="584">
        <f t="shared" si="142"/>
        <v>0</v>
      </c>
      <c r="AA286" s="583">
        <f t="shared" si="142"/>
        <v>0</v>
      </c>
      <c r="AB286" s="580">
        <f t="shared" si="142"/>
        <v>0</v>
      </c>
      <c r="AC286" s="584">
        <f t="shared" si="142"/>
        <v>0</v>
      </c>
    </row>
    <row r="287" spans="1:29" s="501" customFormat="1" ht="12.75" customHeight="1" outlineLevel="1">
      <c r="A287" s="299"/>
      <c r="B287" s="4365"/>
      <c r="C287" s="3226" t="s">
        <v>631</v>
      </c>
      <c r="D287" s="486"/>
      <c r="E287" s="485"/>
      <c r="F287" s="485"/>
      <c r="G287" s="485"/>
      <c r="H287" s="487"/>
      <c r="I287" s="486"/>
      <c r="J287" s="485"/>
      <c r="K287" s="485"/>
      <c r="L287" s="485"/>
      <c r="M287" s="485"/>
      <c r="N287" s="486"/>
      <c r="O287" s="485"/>
      <c r="P287" s="485"/>
      <c r="Q287" s="485"/>
      <c r="R287" s="487"/>
      <c r="S287" s="1266"/>
      <c r="T287" s="1266"/>
      <c r="U287" s="1266"/>
      <c r="V287" s="489"/>
      <c r="W287" s="490"/>
      <c r="X287" s="490"/>
      <c r="Y287" s="490"/>
      <c r="Z287" s="491"/>
      <c r="AA287" s="489"/>
      <c r="AB287" s="490"/>
      <c r="AC287" s="491"/>
    </row>
    <row r="288" spans="1:29" s="501" customFormat="1" ht="13.5" customHeight="1" outlineLevel="1" thickBot="1">
      <c r="A288" s="299"/>
      <c r="B288" s="4366"/>
      <c r="C288" s="3258" t="s">
        <v>611</v>
      </c>
      <c r="D288" s="3193">
        <f>D286-D287</f>
        <v>0</v>
      </c>
      <c r="E288" s="3194">
        <f t="shared" ref="E288:R288" si="143">E286-E287</f>
        <v>0</v>
      </c>
      <c r="F288" s="3194">
        <f t="shared" si="143"/>
        <v>0</v>
      </c>
      <c r="G288" s="3194">
        <f t="shared" si="143"/>
        <v>0</v>
      </c>
      <c r="H288" s="3195">
        <f t="shared" si="143"/>
        <v>0</v>
      </c>
      <c r="I288" s="3193">
        <f t="shared" si="143"/>
        <v>0</v>
      </c>
      <c r="J288" s="3194">
        <f t="shared" si="143"/>
        <v>0</v>
      </c>
      <c r="K288" s="3194">
        <f t="shared" si="143"/>
        <v>0</v>
      </c>
      <c r="L288" s="3194">
        <f t="shared" si="143"/>
        <v>0</v>
      </c>
      <c r="M288" s="3194">
        <f t="shared" si="143"/>
        <v>0</v>
      </c>
      <c r="N288" s="3193">
        <f t="shared" si="143"/>
        <v>0</v>
      </c>
      <c r="O288" s="3194">
        <f t="shared" si="143"/>
        <v>0</v>
      </c>
      <c r="P288" s="3194">
        <f t="shared" si="143"/>
        <v>0</v>
      </c>
      <c r="Q288" s="3194">
        <f t="shared" si="143"/>
        <v>0</v>
      </c>
      <c r="R288" s="3195">
        <f t="shared" si="143"/>
        <v>0</v>
      </c>
      <c r="S288" s="1266"/>
      <c r="T288" s="1266"/>
      <c r="U288" s="1266"/>
      <c r="V288" s="1822">
        <f>V286-V287</f>
        <v>0</v>
      </c>
      <c r="W288" s="581">
        <f t="shared" ref="W288:AC288" si="144">W286-W287</f>
        <v>0</v>
      </c>
      <c r="X288" s="581">
        <f t="shared" si="144"/>
        <v>0</v>
      </c>
      <c r="Y288" s="581">
        <f t="shared" si="144"/>
        <v>0</v>
      </c>
      <c r="Z288" s="582">
        <f t="shared" si="144"/>
        <v>0</v>
      </c>
      <c r="AA288" s="1822">
        <f t="shared" si="144"/>
        <v>0</v>
      </c>
      <c r="AB288" s="581">
        <f t="shared" si="144"/>
        <v>0</v>
      </c>
      <c r="AC288" s="582">
        <f t="shared" si="144"/>
        <v>0</v>
      </c>
    </row>
    <row r="289" spans="1:30" s="501" customFormat="1" ht="16.5" thickBot="1">
      <c r="A289" s="299"/>
      <c r="B289" s="4367" t="s">
        <v>630</v>
      </c>
      <c r="C289" s="4368"/>
      <c r="D289" s="3231">
        <f t="shared" ref="D289:R289" si="145">D288+D277+D266</f>
        <v>14489</v>
      </c>
      <c r="E289" s="3264">
        <f t="shared" si="145"/>
        <v>22491</v>
      </c>
      <c r="F289" s="3264">
        <f t="shared" si="145"/>
        <v>17486.2</v>
      </c>
      <c r="G289" s="3264">
        <f t="shared" si="145"/>
        <v>11262.3</v>
      </c>
      <c r="H289" s="3265">
        <f t="shared" si="145"/>
        <v>19985</v>
      </c>
      <c r="I289" s="3231">
        <f t="shared" si="145"/>
        <v>20999</v>
      </c>
      <c r="J289" s="3264">
        <f t="shared" si="145"/>
        <v>15800.5</v>
      </c>
      <c r="K289" s="3264">
        <f t="shared" si="145"/>
        <v>20000</v>
      </c>
      <c r="L289" s="3264">
        <f t="shared" si="145"/>
        <v>27372.5</v>
      </c>
      <c r="M289" s="3264">
        <f t="shared" si="145"/>
        <v>18992.599999999999</v>
      </c>
      <c r="N289" s="3231">
        <f t="shared" si="145"/>
        <v>21521.871556499998</v>
      </c>
      <c r="O289" s="3264">
        <f t="shared" si="145"/>
        <v>47256.988747500007</v>
      </c>
      <c r="P289" s="3264">
        <f t="shared" si="145"/>
        <v>45029.3744152</v>
      </c>
      <c r="Q289" s="3264">
        <f t="shared" si="145"/>
        <v>35367.872512499998</v>
      </c>
      <c r="R289" s="3265">
        <f t="shared" si="145"/>
        <v>40338.723660000003</v>
      </c>
      <c r="S289"/>
      <c r="T289"/>
      <c r="U289"/>
      <c r="V289" s="1823">
        <f t="shared" ref="V289:AC289" si="146">V288+V277+V266</f>
        <v>0</v>
      </c>
      <c r="W289" s="589">
        <f t="shared" si="146"/>
        <v>0</v>
      </c>
      <c r="X289" s="589">
        <f t="shared" si="146"/>
        <v>0</v>
      </c>
      <c r="Y289" s="589">
        <f t="shared" si="146"/>
        <v>0</v>
      </c>
      <c r="Z289" s="590">
        <f t="shared" si="146"/>
        <v>0</v>
      </c>
      <c r="AA289" s="1823">
        <f t="shared" si="146"/>
        <v>0</v>
      </c>
      <c r="AB289" s="589">
        <f t="shared" si="146"/>
        <v>0</v>
      </c>
      <c r="AC289" s="590">
        <f t="shared" si="146"/>
        <v>0</v>
      </c>
    </row>
    <row r="290" spans="1:30" s="69" customFormat="1" ht="50.25" customHeight="1" thickBot="1">
      <c r="A290" s="348"/>
      <c r="B290" s="4341" t="s">
        <v>127</v>
      </c>
      <c r="C290" s="4342"/>
      <c r="D290" s="3223"/>
      <c r="E290" s="3224"/>
      <c r="F290" s="3224"/>
      <c r="G290" s="3224"/>
      <c r="H290" s="3224"/>
      <c r="I290" s="3224"/>
      <c r="J290" s="3224"/>
      <c r="K290" s="3224"/>
      <c r="L290" s="3224"/>
      <c r="M290" s="3224"/>
      <c r="N290" s="3224"/>
      <c r="O290" s="3224"/>
      <c r="P290" s="3224"/>
      <c r="Q290" s="3224"/>
      <c r="R290" s="3552"/>
      <c r="S290"/>
      <c r="T290"/>
      <c r="U290"/>
      <c r="V290" s="1790"/>
      <c r="W290" s="1771"/>
      <c r="X290" s="1771"/>
      <c r="Y290" s="1771"/>
      <c r="Z290" s="1771"/>
      <c r="AA290" s="1771"/>
      <c r="AB290" s="1771"/>
      <c r="AC290" s="1774"/>
    </row>
    <row r="291" spans="1:30" s="78" customFormat="1" ht="43.5" customHeight="1" thickBot="1">
      <c r="A291" s="299"/>
      <c r="B291" s="3569"/>
      <c r="C291" s="3569"/>
      <c r="D291" s="3557"/>
      <c r="E291" s="3557"/>
      <c r="F291" s="3557"/>
      <c r="G291" s="3557"/>
      <c r="H291" s="3557"/>
      <c r="I291" s="3570"/>
      <c r="J291" s="3570"/>
      <c r="K291" s="3570"/>
      <c r="L291" s="3570"/>
      <c r="M291" s="3570"/>
      <c r="N291" s="3570"/>
      <c r="O291" s="3570"/>
      <c r="P291" s="3570"/>
      <c r="Q291" s="3570"/>
      <c r="R291" s="3570"/>
      <c r="S291"/>
      <c r="T291"/>
      <c r="U291"/>
      <c r="V291" s="516"/>
      <c r="W291" s="516"/>
      <c r="X291" s="516"/>
      <c r="Y291" s="516"/>
      <c r="Z291" s="516"/>
      <c r="AA291" s="1268"/>
      <c r="AB291" s="1268"/>
      <c r="AC291" s="1268"/>
    </row>
    <row r="292" spans="1:30" s="223" customFormat="1" ht="24.75" customHeight="1" thickBot="1">
      <c r="A292" s="299"/>
      <c r="B292" s="3546" t="str">
        <f>CONCATENATE("Table 8.7 - Meter family expected lives in ", dms_DollarReal, " (actual)*")</f>
        <v>Table 8.7 - Meter family expected lives in December 2017 (actual)*</v>
      </c>
      <c r="C292" s="3546"/>
      <c r="D292" s="3571"/>
      <c r="E292" s="3571"/>
      <c r="F292" s="3571"/>
      <c r="G292" s="3571"/>
      <c r="H292" s="3572"/>
      <c r="I292" s="2274"/>
      <c r="J292" s="2274"/>
      <c r="K292" s="2274"/>
      <c r="L292" s="2274"/>
      <c r="M292" s="2274"/>
      <c r="N292" s="2274"/>
      <c r="O292" s="2274"/>
      <c r="P292" s="2274"/>
      <c r="Q292" s="2274"/>
      <c r="R292" s="2274"/>
      <c r="S292" s="1266"/>
      <c r="T292" s="1266"/>
      <c r="U292" s="1266"/>
      <c r="V292"/>
      <c r="W292"/>
      <c r="X292"/>
      <c r="Y292"/>
      <c r="Z292"/>
      <c r="AA292"/>
      <c r="AB292"/>
      <c r="AC292"/>
      <c r="AD292"/>
    </row>
    <row r="293" spans="1:30" ht="12.75" customHeight="1">
      <c r="A293" s="299"/>
      <c r="B293" s="4353"/>
      <c r="C293" s="4354"/>
      <c r="D293" s="4432" t="s">
        <v>178</v>
      </c>
      <c r="E293" s="4434" t="s">
        <v>179</v>
      </c>
      <c r="F293" s="4434" t="s">
        <v>251</v>
      </c>
      <c r="G293" s="4434" t="s">
        <v>252</v>
      </c>
      <c r="H293" s="4430" t="s">
        <v>180</v>
      </c>
      <c r="I293" s="3570"/>
      <c r="J293" s="3570"/>
      <c r="K293" s="3570"/>
      <c r="L293" s="3570"/>
      <c r="M293" s="3570"/>
      <c r="N293" s="3570"/>
      <c r="O293" s="3570"/>
      <c r="P293" s="3570"/>
      <c r="Q293" s="3570"/>
      <c r="R293" s="3570"/>
      <c r="V293"/>
      <c r="W293"/>
      <c r="X293"/>
      <c r="Y293"/>
      <c r="Z293"/>
      <c r="AA293"/>
      <c r="AB293"/>
      <c r="AC293"/>
      <c r="AD293"/>
    </row>
    <row r="294" spans="1:30" ht="12.75" customHeight="1">
      <c r="A294" s="299"/>
      <c r="B294" s="4355"/>
      <c r="C294" s="4356"/>
      <c r="D294" s="4433"/>
      <c r="E294" s="4435"/>
      <c r="F294" s="4435"/>
      <c r="G294" s="4435"/>
      <c r="H294" s="4431"/>
      <c r="I294" s="3558"/>
      <c r="J294" s="3558"/>
      <c r="K294" s="3558"/>
      <c r="L294" s="3558"/>
      <c r="M294" s="3558"/>
      <c r="N294" s="3558"/>
      <c r="O294" s="3558"/>
      <c r="P294" s="3558"/>
      <c r="Q294" s="3558"/>
      <c r="R294" s="3558"/>
      <c r="V294"/>
      <c r="W294"/>
      <c r="X294"/>
      <c r="Y294"/>
      <c r="Z294"/>
      <c r="AA294"/>
      <c r="AB294"/>
      <c r="AC294"/>
      <c r="AD294"/>
    </row>
    <row r="295" spans="1:30" ht="12.75" customHeight="1">
      <c r="A295" s="299"/>
      <c r="B295" s="4355"/>
      <c r="C295" s="4356"/>
      <c r="D295" s="4433"/>
      <c r="E295" s="4435"/>
      <c r="F295" s="4435"/>
      <c r="G295" s="4435"/>
      <c r="H295" s="4431"/>
      <c r="I295" s="3558"/>
      <c r="J295" s="3558"/>
      <c r="K295" s="3558"/>
      <c r="L295" s="3558"/>
      <c r="M295" s="3558"/>
      <c r="N295" s="3558"/>
      <c r="O295" s="3558"/>
      <c r="P295" s="3558"/>
      <c r="Q295" s="3558"/>
      <c r="R295" s="3558"/>
      <c r="V295"/>
      <c r="W295"/>
      <c r="X295"/>
      <c r="Y295"/>
      <c r="Z295"/>
      <c r="AA295"/>
      <c r="AB295"/>
      <c r="AC295"/>
      <c r="AD295"/>
    </row>
    <row r="296" spans="1:30" ht="13.5" customHeight="1">
      <c r="A296" s="299"/>
      <c r="B296" s="4355"/>
      <c r="C296" s="4356"/>
      <c r="D296" s="4433"/>
      <c r="E296" s="4435"/>
      <c r="F296" s="4435"/>
      <c r="G296" s="4435"/>
      <c r="H296" s="4431"/>
      <c r="I296" s="3558"/>
      <c r="J296" s="3558"/>
      <c r="K296" s="3558"/>
      <c r="L296" s="3558"/>
      <c r="M296" s="3558"/>
      <c r="N296" s="3558"/>
      <c r="O296" s="3558"/>
      <c r="P296" s="3558"/>
      <c r="Q296" s="3558"/>
      <c r="R296" s="3558"/>
      <c r="V296"/>
      <c r="W296"/>
      <c r="X296"/>
      <c r="Y296"/>
      <c r="Z296"/>
      <c r="AA296"/>
      <c r="AB296"/>
      <c r="AC296"/>
      <c r="AD296"/>
    </row>
    <row r="297" spans="1:30" s="501" customFormat="1" ht="15" customHeight="1" thickBot="1">
      <c r="A297" s="299"/>
      <c r="B297" s="4357"/>
      <c r="C297" s="4358"/>
      <c r="D297" s="3266" t="s">
        <v>403</v>
      </c>
      <c r="E297" s="3267" t="s">
        <v>357</v>
      </c>
      <c r="F297" s="3267" t="s">
        <v>403</v>
      </c>
      <c r="G297" s="3267" t="s">
        <v>403</v>
      </c>
      <c r="H297" s="3268" t="s">
        <v>357</v>
      </c>
      <c r="I297" s="3558"/>
      <c r="J297" s="3558"/>
      <c r="K297" s="3558"/>
      <c r="L297" s="3558"/>
      <c r="M297" s="3558"/>
      <c r="N297" s="3558"/>
      <c r="O297" s="3558"/>
      <c r="P297" s="3558"/>
      <c r="Q297" s="3558"/>
      <c r="R297" s="3558"/>
      <c r="S297"/>
      <c r="T297"/>
      <c r="U297"/>
      <c r="V297"/>
      <c r="W297"/>
      <c r="X297"/>
      <c r="Y297"/>
      <c r="Z297"/>
      <c r="AA297"/>
      <c r="AB297"/>
      <c r="AC297"/>
      <c r="AD297"/>
    </row>
    <row r="298" spans="1:30" ht="15" outlineLevel="1">
      <c r="A298" s="299"/>
      <c r="B298" s="4359" t="s">
        <v>1568</v>
      </c>
      <c r="C298" s="4360" t="s">
        <v>1568</v>
      </c>
      <c r="D298" s="486">
        <v>1989</v>
      </c>
      <c r="E298" s="485">
        <v>133</v>
      </c>
      <c r="F298" s="485">
        <v>2017</v>
      </c>
      <c r="G298" s="485">
        <v>2018</v>
      </c>
      <c r="H298" s="491">
        <f t="shared" ref="H298:H361" si="147">G298-D298</f>
        <v>29</v>
      </c>
      <c r="I298" s="3558"/>
      <c r="J298" s="3558"/>
      <c r="K298" s="3558"/>
      <c r="L298" s="3558"/>
      <c r="M298" s="3558"/>
      <c r="N298" s="3558"/>
      <c r="O298" s="3558"/>
      <c r="P298" s="3558"/>
      <c r="Q298" s="3558"/>
      <c r="R298" s="3558"/>
      <c r="V298"/>
      <c r="W298"/>
      <c r="X298"/>
      <c r="Y298"/>
      <c r="Z298"/>
      <c r="AA298"/>
      <c r="AB298"/>
      <c r="AC298"/>
      <c r="AD298"/>
    </row>
    <row r="299" spans="1:30" s="501" customFormat="1" ht="15" outlineLevel="1">
      <c r="A299" s="299"/>
      <c r="B299" s="4293" t="s">
        <v>1568</v>
      </c>
      <c r="C299" s="4294" t="s">
        <v>1568</v>
      </c>
      <c r="D299" s="486">
        <v>1991</v>
      </c>
      <c r="E299" s="485">
        <v>140</v>
      </c>
      <c r="F299" s="485">
        <v>2017</v>
      </c>
      <c r="G299" s="485">
        <v>2019</v>
      </c>
      <c r="H299" s="491">
        <f t="shared" si="147"/>
        <v>28</v>
      </c>
      <c r="I299" s="3558"/>
      <c r="J299" s="3558"/>
      <c r="K299" s="3558"/>
      <c r="L299" s="3558"/>
      <c r="M299" s="3558"/>
      <c r="N299" s="3558"/>
      <c r="O299" s="3558"/>
      <c r="P299" s="3558"/>
      <c r="Q299" s="3558"/>
      <c r="R299" s="3558"/>
      <c r="S299" s="1266"/>
      <c r="T299" s="1266"/>
      <c r="U299" s="1266"/>
      <c r="V299" s="1266"/>
      <c r="W299" s="1266"/>
      <c r="X299" s="1266"/>
      <c r="Y299" s="1266"/>
      <c r="Z299" s="1266"/>
      <c r="AA299" s="1266"/>
      <c r="AB299" s="1266"/>
      <c r="AC299" s="1266"/>
      <c r="AD299" s="1266"/>
    </row>
    <row r="300" spans="1:30" s="501" customFormat="1" ht="15" outlineLevel="1">
      <c r="A300" s="299"/>
      <c r="B300" s="4293" t="s">
        <v>1568</v>
      </c>
      <c r="C300" s="4294" t="s">
        <v>1568</v>
      </c>
      <c r="D300" s="486">
        <v>1992</v>
      </c>
      <c r="E300" s="485">
        <v>80</v>
      </c>
      <c r="F300" s="485">
        <v>2019</v>
      </c>
      <c r="G300" s="485">
        <v>2024</v>
      </c>
      <c r="H300" s="491">
        <f t="shared" si="147"/>
        <v>32</v>
      </c>
      <c r="I300" s="3558"/>
      <c r="J300" s="3558"/>
      <c r="K300" s="3558"/>
      <c r="L300" s="3558"/>
      <c r="M300" s="3558"/>
      <c r="N300" s="3558"/>
      <c r="O300" s="3558"/>
      <c r="P300" s="3558"/>
      <c r="Q300" s="3558"/>
      <c r="R300" s="3558"/>
      <c r="S300" s="1266"/>
      <c r="T300" s="1266"/>
      <c r="U300" s="1266"/>
      <c r="V300" s="1266"/>
      <c r="W300" s="1266"/>
      <c r="X300" s="1266"/>
      <c r="Y300" s="1266"/>
      <c r="Z300" s="1266"/>
      <c r="AA300" s="1266"/>
      <c r="AB300" s="1266"/>
      <c r="AC300" s="1266"/>
      <c r="AD300" s="1266"/>
    </row>
    <row r="301" spans="1:30" s="501" customFormat="1" ht="15" outlineLevel="1">
      <c r="A301" s="299"/>
      <c r="B301" s="4293" t="s">
        <v>1568</v>
      </c>
      <c r="C301" s="4294" t="s">
        <v>1568</v>
      </c>
      <c r="D301" s="486">
        <v>1997</v>
      </c>
      <c r="E301" s="485">
        <v>481</v>
      </c>
      <c r="F301" s="485">
        <v>2017</v>
      </c>
      <c r="G301" s="485">
        <v>2018</v>
      </c>
      <c r="H301" s="491">
        <f t="shared" si="147"/>
        <v>21</v>
      </c>
      <c r="I301" s="3558"/>
      <c r="J301" s="3558"/>
      <c r="K301" s="3558"/>
      <c r="L301" s="3558"/>
      <c r="M301" s="3558"/>
      <c r="N301" s="3558"/>
      <c r="O301" s="3558"/>
      <c r="P301" s="3558"/>
      <c r="Q301" s="3558"/>
      <c r="R301" s="3558"/>
      <c r="S301" s="1266"/>
      <c r="T301" s="1266"/>
      <c r="U301" s="1266"/>
      <c r="V301" s="1266"/>
      <c r="W301" s="1266"/>
      <c r="X301" s="1266"/>
      <c r="Y301" s="1266"/>
      <c r="Z301" s="1266"/>
      <c r="AA301" s="1266"/>
      <c r="AB301" s="1266"/>
      <c r="AC301" s="1266"/>
      <c r="AD301" s="1266"/>
    </row>
    <row r="302" spans="1:30" s="501" customFormat="1" ht="15" outlineLevel="1">
      <c r="A302" s="299"/>
      <c r="B302" s="4293" t="s">
        <v>1568</v>
      </c>
      <c r="C302" s="4294" t="s">
        <v>1568</v>
      </c>
      <c r="D302" s="486">
        <v>1998</v>
      </c>
      <c r="E302" s="485">
        <v>288</v>
      </c>
      <c r="F302" s="485">
        <v>2018</v>
      </c>
      <c r="G302" s="485">
        <v>2020</v>
      </c>
      <c r="H302" s="491">
        <f t="shared" si="147"/>
        <v>22</v>
      </c>
      <c r="I302" s="3558"/>
      <c r="J302" s="3558"/>
      <c r="K302" s="3558"/>
      <c r="L302" s="3558"/>
      <c r="M302" s="3558"/>
      <c r="N302" s="3558"/>
      <c r="O302" s="3558"/>
      <c r="P302" s="3558"/>
      <c r="Q302" s="3558"/>
      <c r="R302" s="3558"/>
      <c r="S302" s="1266"/>
      <c r="T302" s="1266"/>
      <c r="U302" s="1266"/>
      <c r="V302" s="1266"/>
      <c r="W302" s="1266"/>
      <c r="X302" s="1266"/>
      <c r="Y302" s="1266"/>
      <c r="Z302" s="1266"/>
      <c r="AA302" s="1266"/>
      <c r="AB302" s="1266"/>
      <c r="AC302" s="1266"/>
      <c r="AD302" s="1266"/>
    </row>
    <row r="303" spans="1:30" s="501" customFormat="1" ht="15" outlineLevel="1">
      <c r="A303" s="299"/>
      <c r="B303" s="4293" t="s">
        <v>1568</v>
      </c>
      <c r="C303" s="4294" t="s">
        <v>1568</v>
      </c>
      <c r="D303" s="486">
        <v>1999</v>
      </c>
      <c r="E303" s="485">
        <v>305</v>
      </c>
      <c r="F303" s="485">
        <v>2018</v>
      </c>
      <c r="G303" s="485">
        <v>2020</v>
      </c>
      <c r="H303" s="491">
        <f t="shared" si="147"/>
        <v>21</v>
      </c>
      <c r="I303" s="3558"/>
      <c r="J303" s="3558"/>
      <c r="K303" s="3558"/>
      <c r="L303" s="3558"/>
      <c r="M303" s="3558"/>
      <c r="N303" s="3558"/>
      <c r="O303" s="3558"/>
      <c r="P303" s="3558"/>
      <c r="Q303" s="3558"/>
      <c r="R303" s="3558"/>
      <c r="S303" s="1266"/>
      <c r="T303" s="1266"/>
      <c r="U303" s="1266"/>
      <c r="V303" s="1266"/>
      <c r="W303" s="1266"/>
      <c r="X303" s="1266"/>
      <c r="Y303" s="1266"/>
      <c r="Z303" s="1266"/>
      <c r="AA303" s="1266"/>
      <c r="AB303" s="1266"/>
      <c r="AC303" s="1266"/>
      <c r="AD303" s="1266"/>
    </row>
    <row r="304" spans="1:30" s="501" customFormat="1" ht="15" outlineLevel="1">
      <c r="A304" s="299"/>
      <c r="B304" s="4293" t="s">
        <v>1568</v>
      </c>
      <c r="C304" s="4294" t="s">
        <v>1568</v>
      </c>
      <c r="D304" s="486">
        <v>2000</v>
      </c>
      <c r="E304" s="485">
        <v>224</v>
      </c>
      <c r="F304" s="485">
        <v>2021</v>
      </c>
      <c r="G304" s="485">
        <v>2026</v>
      </c>
      <c r="H304" s="491">
        <f t="shared" si="147"/>
        <v>26</v>
      </c>
      <c r="I304" s="3558"/>
      <c r="J304" s="3558"/>
      <c r="K304" s="3558"/>
      <c r="L304" s="3558"/>
      <c r="M304" s="3558"/>
      <c r="N304" s="3558"/>
      <c r="O304" s="3558"/>
      <c r="P304" s="3558"/>
      <c r="Q304" s="3558"/>
      <c r="R304" s="3558"/>
      <c r="S304" s="1266"/>
      <c r="T304" s="1266"/>
      <c r="U304" s="1266"/>
      <c r="V304" s="1266"/>
      <c r="W304" s="1266"/>
      <c r="X304" s="1266"/>
      <c r="Y304" s="1266"/>
      <c r="Z304" s="1266"/>
      <c r="AA304" s="1266"/>
      <c r="AB304" s="1266"/>
      <c r="AC304" s="1266"/>
      <c r="AD304" s="1266"/>
    </row>
    <row r="305" spans="1:30" s="501" customFormat="1" ht="15" outlineLevel="1">
      <c r="A305" s="299"/>
      <c r="B305" s="4293" t="s">
        <v>1568</v>
      </c>
      <c r="C305" s="4294" t="s">
        <v>1568</v>
      </c>
      <c r="D305" s="486">
        <v>2001</v>
      </c>
      <c r="E305" s="485">
        <v>468</v>
      </c>
      <c r="F305" s="485">
        <v>2017</v>
      </c>
      <c r="G305" s="485">
        <v>2027</v>
      </c>
      <c r="H305" s="491">
        <f t="shared" si="147"/>
        <v>26</v>
      </c>
      <c r="I305" s="3558"/>
      <c r="J305" s="3558"/>
      <c r="K305" s="3558"/>
      <c r="L305" s="3558"/>
      <c r="M305" s="3558"/>
      <c r="N305" s="3558"/>
      <c r="O305" s="3558"/>
      <c r="P305" s="3558"/>
      <c r="Q305" s="3558"/>
      <c r="R305" s="3558"/>
      <c r="S305" s="1266"/>
      <c r="T305" s="1266"/>
      <c r="U305" s="1266"/>
      <c r="V305" s="1266"/>
      <c r="W305" s="1266"/>
      <c r="X305" s="1266"/>
      <c r="Y305" s="1266"/>
      <c r="Z305" s="1266"/>
      <c r="AA305" s="1266"/>
      <c r="AB305" s="1266"/>
      <c r="AC305" s="1266"/>
      <c r="AD305" s="1266"/>
    </row>
    <row r="306" spans="1:30" s="501" customFormat="1" ht="15" outlineLevel="1">
      <c r="A306" s="299"/>
      <c r="B306" s="4293" t="s">
        <v>1568</v>
      </c>
      <c r="C306" s="4294" t="s">
        <v>1568</v>
      </c>
      <c r="D306" s="486">
        <v>2002</v>
      </c>
      <c r="E306" s="485">
        <v>348</v>
      </c>
      <c r="F306" s="485">
        <v>2018</v>
      </c>
      <c r="G306" s="485">
        <v>2028</v>
      </c>
      <c r="H306" s="491">
        <f t="shared" si="147"/>
        <v>26</v>
      </c>
      <c r="I306" s="3558"/>
      <c r="J306" s="3558"/>
      <c r="K306" s="3558"/>
      <c r="L306" s="3558"/>
      <c r="M306" s="3558"/>
      <c r="N306" s="3558"/>
      <c r="O306" s="3558"/>
      <c r="P306" s="3558"/>
      <c r="Q306" s="3558"/>
      <c r="R306" s="3558"/>
      <c r="S306" s="1266"/>
      <c r="T306" s="1266"/>
      <c r="U306" s="1266"/>
      <c r="V306" s="1266"/>
      <c r="W306" s="1266"/>
      <c r="X306" s="1266"/>
      <c r="Y306" s="1266"/>
      <c r="Z306" s="1266"/>
      <c r="AA306" s="1266"/>
      <c r="AB306" s="1266"/>
      <c r="AC306" s="1266"/>
      <c r="AD306" s="1266"/>
    </row>
    <row r="307" spans="1:30" s="501" customFormat="1" ht="15" outlineLevel="1">
      <c r="A307" s="299"/>
      <c r="B307" s="4293" t="s">
        <v>1568</v>
      </c>
      <c r="C307" s="4294" t="s">
        <v>1568</v>
      </c>
      <c r="D307" s="486">
        <v>2003</v>
      </c>
      <c r="E307" s="485">
        <v>436</v>
      </c>
      <c r="F307" s="485">
        <v>2019</v>
      </c>
      <c r="G307" s="485">
        <v>2029</v>
      </c>
      <c r="H307" s="491">
        <f t="shared" si="147"/>
        <v>26</v>
      </c>
      <c r="I307" s="3558"/>
      <c r="J307" s="3558"/>
      <c r="K307" s="3558"/>
      <c r="L307" s="3558"/>
      <c r="M307" s="3558"/>
      <c r="N307" s="3558"/>
      <c r="O307" s="3558"/>
      <c r="P307" s="3558"/>
      <c r="Q307" s="3558"/>
      <c r="R307" s="3558"/>
      <c r="S307" s="1266"/>
      <c r="T307" s="1266"/>
      <c r="U307" s="1266"/>
      <c r="V307" s="1266"/>
      <c r="W307" s="1266"/>
      <c r="X307" s="1266"/>
      <c r="Y307" s="1266"/>
      <c r="Z307" s="1266"/>
      <c r="AA307" s="1266"/>
      <c r="AB307" s="1266"/>
      <c r="AC307" s="1266"/>
      <c r="AD307" s="1266"/>
    </row>
    <row r="308" spans="1:30" s="501" customFormat="1" ht="15" outlineLevel="1">
      <c r="A308" s="299"/>
      <c r="B308" s="4293" t="s">
        <v>1568</v>
      </c>
      <c r="C308" s="4294" t="s">
        <v>1568</v>
      </c>
      <c r="D308" s="486">
        <v>2004</v>
      </c>
      <c r="E308" s="485">
        <v>659</v>
      </c>
      <c r="F308" s="485">
        <v>2020</v>
      </c>
      <c r="G308" s="485">
        <v>2030</v>
      </c>
      <c r="H308" s="491">
        <f t="shared" si="147"/>
        <v>26</v>
      </c>
      <c r="I308" s="3558"/>
      <c r="J308" s="3558"/>
      <c r="K308" s="3558"/>
      <c r="L308" s="3558"/>
      <c r="M308" s="3558"/>
      <c r="N308" s="3558"/>
      <c r="O308" s="3558"/>
      <c r="P308" s="3558"/>
      <c r="Q308" s="3558"/>
      <c r="R308" s="3558"/>
      <c r="S308" s="1266"/>
      <c r="T308" s="1266"/>
      <c r="U308" s="1266"/>
      <c r="V308" s="1266"/>
      <c r="W308" s="1266"/>
      <c r="X308" s="1266"/>
      <c r="Y308" s="1266"/>
      <c r="Z308" s="1266"/>
      <c r="AA308" s="1266"/>
      <c r="AB308" s="1266"/>
      <c r="AC308" s="1266"/>
      <c r="AD308" s="1266"/>
    </row>
    <row r="309" spans="1:30" s="501" customFormat="1" ht="15" outlineLevel="1">
      <c r="A309" s="299"/>
      <c r="B309" s="4293" t="s">
        <v>1568</v>
      </c>
      <c r="C309" s="4294" t="s">
        <v>1568</v>
      </c>
      <c r="D309" s="486">
        <v>2005</v>
      </c>
      <c r="E309" s="485">
        <v>139</v>
      </c>
      <c r="F309" s="485">
        <v>2021</v>
      </c>
      <c r="G309" s="485">
        <v>2031</v>
      </c>
      <c r="H309" s="491">
        <f t="shared" si="147"/>
        <v>26</v>
      </c>
      <c r="I309" s="3558"/>
      <c r="J309" s="3558"/>
      <c r="K309" s="3558"/>
      <c r="L309" s="3558"/>
      <c r="M309" s="3558"/>
      <c r="N309" s="3558"/>
      <c r="O309" s="3558"/>
      <c r="P309" s="3558"/>
      <c r="Q309" s="3558"/>
      <c r="R309" s="3558"/>
      <c r="S309" s="1266"/>
      <c r="T309" s="1266"/>
      <c r="U309" s="1266"/>
      <c r="V309" s="1266"/>
      <c r="W309" s="1266"/>
      <c r="X309" s="1266"/>
      <c r="Y309" s="1266"/>
      <c r="Z309" s="1266"/>
      <c r="AA309" s="1266"/>
      <c r="AB309" s="1266"/>
      <c r="AC309" s="1266"/>
      <c r="AD309" s="1266"/>
    </row>
    <row r="310" spans="1:30" s="501" customFormat="1" ht="15" outlineLevel="1">
      <c r="A310" s="299"/>
      <c r="B310" s="4293" t="s">
        <v>1568</v>
      </c>
      <c r="C310" s="4294" t="s">
        <v>1568</v>
      </c>
      <c r="D310" s="486">
        <v>2006</v>
      </c>
      <c r="E310" s="485">
        <v>176</v>
      </c>
      <c r="F310" s="485">
        <v>2022</v>
      </c>
      <c r="G310" s="485">
        <v>2032</v>
      </c>
      <c r="H310" s="491">
        <f t="shared" si="147"/>
        <v>26</v>
      </c>
      <c r="I310" s="3558"/>
      <c r="J310" s="3558"/>
      <c r="K310" s="3558"/>
      <c r="L310" s="3558"/>
      <c r="M310" s="3558"/>
      <c r="N310" s="3558"/>
      <c r="O310" s="3558"/>
      <c r="P310" s="3558"/>
      <c r="Q310" s="3558"/>
      <c r="R310" s="3558"/>
      <c r="S310" s="1266"/>
      <c r="T310" s="1266"/>
      <c r="U310" s="1266"/>
      <c r="V310" s="1266"/>
      <c r="W310" s="1266"/>
      <c r="X310" s="1266"/>
      <c r="Y310" s="1266"/>
      <c r="Z310" s="1266"/>
      <c r="AA310" s="1266"/>
      <c r="AB310" s="1266"/>
      <c r="AC310" s="1266"/>
      <c r="AD310" s="1266"/>
    </row>
    <row r="311" spans="1:30" s="501" customFormat="1" ht="15" outlineLevel="1">
      <c r="A311" s="299"/>
      <c r="B311" s="4293" t="s">
        <v>1569</v>
      </c>
      <c r="C311" s="4294" t="s">
        <v>1569</v>
      </c>
      <c r="D311" s="486">
        <v>1990</v>
      </c>
      <c r="E311" s="485">
        <v>195</v>
      </c>
      <c r="F311" s="485">
        <v>2018</v>
      </c>
      <c r="G311" s="485">
        <v>2023</v>
      </c>
      <c r="H311" s="491">
        <f t="shared" si="147"/>
        <v>33</v>
      </c>
      <c r="I311" s="3558"/>
      <c r="J311" s="3558"/>
      <c r="K311" s="3558"/>
      <c r="L311" s="3558"/>
      <c r="M311" s="3558"/>
      <c r="N311" s="3558"/>
      <c r="O311" s="3558"/>
      <c r="P311" s="3558"/>
      <c r="Q311" s="3558"/>
      <c r="R311" s="3558"/>
      <c r="S311" s="1266"/>
      <c r="T311" s="1266"/>
      <c r="U311" s="1266"/>
      <c r="V311" s="1266"/>
      <c r="W311" s="1266"/>
      <c r="X311" s="1266"/>
      <c r="Y311" s="1266"/>
      <c r="Z311" s="1266"/>
      <c r="AA311" s="1266"/>
      <c r="AB311" s="1266"/>
      <c r="AC311" s="1266"/>
      <c r="AD311" s="1266"/>
    </row>
    <row r="312" spans="1:30" s="501" customFormat="1" ht="15" outlineLevel="1">
      <c r="A312" s="299"/>
      <c r="B312" s="4293" t="s">
        <v>1569</v>
      </c>
      <c r="C312" s="4294" t="s">
        <v>1569</v>
      </c>
      <c r="D312" s="486">
        <v>1991</v>
      </c>
      <c r="E312" s="485">
        <v>242</v>
      </c>
      <c r="F312" s="485">
        <v>2017</v>
      </c>
      <c r="G312" s="485">
        <v>2019</v>
      </c>
      <c r="H312" s="491">
        <f t="shared" si="147"/>
        <v>28</v>
      </c>
      <c r="I312" s="3558"/>
      <c r="J312" s="3558"/>
      <c r="K312" s="3558"/>
      <c r="L312" s="3558"/>
      <c r="M312" s="3558"/>
      <c r="N312" s="3558"/>
      <c r="O312" s="3558"/>
      <c r="P312" s="3558"/>
      <c r="Q312" s="3558"/>
      <c r="R312" s="3558"/>
      <c r="S312" s="1266"/>
      <c r="T312" s="1266"/>
      <c r="U312" s="1266"/>
      <c r="V312" s="1266"/>
      <c r="W312" s="1266"/>
      <c r="X312" s="1266"/>
      <c r="Y312" s="1266"/>
      <c r="Z312" s="1266"/>
      <c r="AA312" s="1266"/>
      <c r="AB312" s="1266"/>
      <c r="AC312" s="1266"/>
      <c r="AD312" s="1266"/>
    </row>
    <row r="313" spans="1:30" s="501" customFormat="1" ht="15" outlineLevel="1">
      <c r="A313" s="299"/>
      <c r="B313" s="4293" t="s">
        <v>1569</v>
      </c>
      <c r="C313" s="4294" t="s">
        <v>1569</v>
      </c>
      <c r="D313" s="486">
        <v>1992</v>
      </c>
      <c r="E313" s="485">
        <v>276</v>
      </c>
      <c r="F313" s="485">
        <v>2019</v>
      </c>
      <c r="G313" s="485">
        <v>2024</v>
      </c>
      <c r="H313" s="491">
        <f t="shared" si="147"/>
        <v>32</v>
      </c>
      <c r="I313" s="3558"/>
      <c r="J313" s="3558"/>
      <c r="K313" s="3558"/>
      <c r="L313" s="3558"/>
      <c r="M313" s="3558"/>
      <c r="N313" s="3558"/>
      <c r="O313" s="3558"/>
      <c r="P313" s="3558"/>
      <c r="Q313" s="3558"/>
      <c r="R313" s="3558"/>
      <c r="S313" s="1266"/>
      <c r="T313" s="1266"/>
      <c r="U313" s="1266"/>
      <c r="V313" s="1266"/>
      <c r="W313" s="1266"/>
      <c r="X313" s="1266"/>
      <c r="Y313" s="1266"/>
      <c r="Z313" s="1266"/>
      <c r="AA313" s="1266"/>
      <c r="AB313" s="1266"/>
      <c r="AC313" s="1266"/>
      <c r="AD313" s="1266"/>
    </row>
    <row r="314" spans="1:30" s="501" customFormat="1" ht="15" outlineLevel="1">
      <c r="A314" s="299"/>
      <c r="B314" s="4293" t="s">
        <v>1569</v>
      </c>
      <c r="C314" s="4294" t="s">
        <v>1569</v>
      </c>
      <c r="D314" s="486">
        <v>1993</v>
      </c>
      <c r="E314" s="485">
        <v>357</v>
      </c>
      <c r="F314" s="485">
        <v>2019</v>
      </c>
      <c r="G314" s="485">
        <v>2024</v>
      </c>
      <c r="H314" s="491">
        <f t="shared" si="147"/>
        <v>31</v>
      </c>
      <c r="I314" s="3558"/>
      <c r="J314" s="3558"/>
      <c r="K314" s="3558"/>
      <c r="L314" s="3558"/>
      <c r="M314" s="3558"/>
      <c r="N314" s="3558"/>
      <c r="O314" s="3558"/>
      <c r="P314" s="3558"/>
      <c r="Q314" s="3558"/>
      <c r="R314" s="3558"/>
      <c r="S314" s="1266"/>
      <c r="T314" s="1266"/>
      <c r="U314" s="1266"/>
      <c r="V314" s="1266"/>
      <c r="W314" s="1266"/>
      <c r="X314" s="1266"/>
      <c r="Y314" s="1266"/>
      <c r="Z314" s="1266"/>
      <c r="AA314" s="1266"/>
      <c r="AB314" s="1266"/>
      <c r="AC314" s="1266"/>
      <c r="AD314" s="1266"/>
    </row>
    <row r="315" spans="1:30" s="501" customFormat="1" ht="15" outlineLevel="1">
      <c r="A315" s="299"/>
      <c r="B315" s="4293" t="s">
        <v>1569</v>
      </c>
      <c r="C315" s="4294" t="s">
        <v>1569</v>
      </c>
      <c r="D315" s="486">
        <v>1994</v>
      </c>
      <c r="E315" s="485">
        <v>303</v>
      </c>
      <c r="F315" s="485">
        <v>2018</v>
      </c>
      <c r="G315" s="485">
        <v>2023</v>
      </c>
      <c r="H315" s="491">
        <f t="shared" si="147"/>
        <v>29</v>
      </c>
      <c r="I315" s="3558"/>
      <c r="J315" s="3558"/>
      <c r="K315" s="3558"/>
      <c r="L315" s="3558"/>
      <c r="M315" s="3558"/>
      <c r="N315" s="3558"/>
      <c r="O315" s="3558"/>
      <c r="P315" s="3558"/>
      <c r="Q315" s="3558"/>
      <c r="R315" s="3558"/>
      <c r="S315" s="1266"/>
      <c r="T315" s="1266"/>
      <c r="U315" s="1266"/>
      <c r="V315" s="1266"/>
      <c r="W315" s="1266"/>
      <c r="X315" s="1266"/>
      <c r="Y315" s="1266"/>
      <c r="Z315" s="1266"/>
      <c r="AA315" s="1266"/>
      <c r="AB315" s="1266"/>
      <c r="AC315" s="1266"/>
      <c r="AD315" s="1266"/>
    </row>
    <row r="316" spans="1:30" s="501" customFormat="1" ht="15" outlineLevel="1">
      <c r="A316" s="299"/>
      <c r="B316" s="4293" t="s">
        <v>1569</v>
      </c>
      <c r="C316" s="4294" t="s">
        <v>1569</v>
      </c>
      <c r="D316" s="486">
        <v>1995</v>
      </c>
      <c r="E316" s="485">
        <v>493</v>
      </c>
      <c r="F316" s="485">
        <v>2020</v>
      </c>
      <c r="G316" s="485">
        <v>2025</v>
      </c>
      <c r="H316" s="491">
        <f t="shared" si="147"/>
        <v>30</v>
      </c>
      <c r="I316" s="3558"/>
      <c r="J316" s="3558"/>
      <c r="K316" s="3558"/>
      <c r="L316" s="3558"/>
      <c r="M316" s="3558"/>
      <c r="N316" s="3558"/>
      <c r="O316" s="3558"/>
      <c r="P316" s="3558"/>
      <c r="Q316" s="3558"/>
      <c r="R316" s="3558"/>
      <c r="S316" s="1266"/>
      <c r="T316" s="1266"/>
      <c r="U316" s="1266"/>
      <c r="V316" s="1266"/>
      <c r="W316" s="1266"/>
      <c r="X316" s="1266"/>
      <c r="Y316" s="1266"/>
      <c r="Z316" s="1266"/>
      <c r="AA316" s="1266"/>
      <c r="AB316" s="1266"/>
      <c r="AC316" s="1266"/>
      <c r="AD316" s="1266"/>
    </row>
    <row r="317" spans="1:30" s="501" customFormat="1" ht="15" outlineLevel="1">
      <c r="A317" s="299"/>
      <c r="B317" s="4293" t="s">
        <v>1569</v>
      </c>
      <c r="C317" s="4294" t="s">
        <v>1569</v>
      </c>
      <c r="D317" s="486">
        <v>1996</v>
      </c>
      <c r="E317" s="485">
        <v>826</v>
      </c>
      <c r="F317" s="485">
        <v>2017</v>
      </c>
      <c r="G317" s="485">
        <v>2022</v>
      </c>
      <c r="H317" s="491">
        <f t="shared" si="147"/>
        <v>26</v>
      </c>
      <c r="I317" s="3558"/>
      <c r="J317" s="3558"/>
      <c r="K317" s="3558"/>
      <c r="L317" s="3558"/>
      <c r="M317" s="3558"/>
      <c r="N317" s="3558"/>
      <c r="O317" s="3558"/>
      <c r="P317" s="3558"/>
      <c r="Q317" s="3558"/>
      <c r="R317" s="3558"/>
      <c r="S317" s="1266"/>
      <c r="T317" s="1266"/>
      <c r="U317" s="1266"/>
      <c r="V317" s="1266"/>
      <c r="W317" s="1266"/>
      <c r="X317" s="1266"/>
      <c r="Y317" s="1266"/>
      <c r="Z317" s="1266"/>
      <c r="AA317" s="1266"/>
      <c r="AB317" s="1266"/>
      <c r="AC317" s="1266"/>
      <c r="AD317" s="1266"/>
    </row>
    <row r="318" spans="1:30" s="501" customFormat="1" ht="15" outlineLevel="1">
      <c r="A318" s="299"/>
      <c r="B318" s="4293" t="s">
        <v>1569</v>
      </c>
      <c r="C318" s="4294" t="s">
        <v>1569</v>
      </c>
      <c r="D318" s="486">
        <v>1997</v>
      </c>
      <c r="E318" s="485">
        <v>1142</v>
      </c>
      <c r="F318" s="485">
        <v>2018</v>
      </c>
      <c r="G318" s="485">
        <v>2023</v>
      </c>
      <c r="H318" s="491">
        <f t="shared" si="147"/>
        <v>26</v>
      </c>
      <c r="I318" s="3558"/>
      <c r="J318" s="3558"/>
      <c r="K318" s="3558"/>
      <c r="L318" s="3558"/>
      <c r="M318" s="3558"/>
      <c r="N318" s="3558"/>
      <c r="O318" s="3558"/>
      <c r="P318" s="3558"/>
      <c r="Q318" s="3558"/>
      <c r="R318" s="3558"/>
      <c r="S318" s="1266"/>
      <c r="T318" s="1266"/>
      <c r="U318" s="1266"/>
      <c r="V318" s="1266"/>
      <c r="W318" s="1266"/>
      <c r="X318" s="1266"/>
      <c r="Y318" s="1266"/>
      <c r="Z318" s="1266"/>
      <c r="AA318" s="1266"/>
      <c r="AB318" s="1266"/>
      <c r="AC318" s="1266"/>
      <c r="AD318" s="1266"/>
    </row>
    <row r="319" spans="1:30" s="501" customFormat="1" ht="15" outlineLevel="1">
      <c r="A319" s="299"/>
      <c r="B319" s="4293" t="s">
        <v>1569</v>
      </c>
      <c r="C319" s="4294" t="s">
        <v>1569</v>
      </c>
      <c r="D319" s="486">
        <v>1998</v>
      </c>
      <c r="E319" s="485">
        <v>511</v>
      </c>
      <c r="F319" s="485">
        <v>2019</v>
      </c>
      <c r="G319" s="485">
        <v>2024</v>
      </c>
      <c r="H319" s="491">
        <f t="shared" si="147"/>
        <v>26</v>
      </c>
      <c r="I319" s="3558"/>
      <c r="J319" s="3558"/>
      <c r="K319" s="3558"/>
      <c r="L319" s="3558"/>
      <c r="M319" s="3558"/>
      <c r="N319" s="3558"/>
      <c r="O319" s="3558"/>
      <c r="P319" s="3558"/>
      <c r="Q319" s="3558"/>
      <c r="R319" s="3558"/>
      <c r="S319" s="1266"/>
      <c r="T319" s="1266"/>
      <c r="U319" s="1266"/>
      <c r="V319" s="1266"/>
      <c r="W319" s="1266"/>
      <c r="X319" s="1266"/>
      <c r="Y319" s="1266"/>
      <c r="Z319" s="1266"/>
      <c r="AA319" s="1266"/>
      <c r="AB319" s="1266"/>
      <c r="AC319" s="1266"/>
      <c r="AD319" s="1266"/>
    </row>
    <row r="320" spans="1:30" s="501" customFormat="1" ht="15" outlineLevel="1">
      <c r="A320" s="299"/>
      <c r="B320" s="4293" t="s">
        <v>1569</v>
      </c>
      <c r="C320" s="4294" t="s">
        <v>1569</v>
      </c>
      <c r="D320" s="486">
        <v>1999</v>
      </c>
      <c r="E320" s="485">
        <v>265</v>
      </c>
      <c r="F320" s="485">
        <v>2020</v>
      </c>
      <c r="G320" s="485">
        <v>2025</v>
      </c>
      <c r="H320" s="491">
        <f t="shared" si="147"/>
        <v>26</v>
      </c>
      <c r="I320" s="3558"/>
      <c r="J320" s="3558"/>
      <c r="K320" s="3558"/>
      <c r="L320" s="3558"/>
      <c r="M320" s="3558"/>
      <c r="N320" s="3558"/>
      <c r="O320" s="3558"/>
      <c r="P320" s="3558"/>
      <c r="Q320" s="3558"/>
      <c r="R320" s="3558"/>
      <c r="S320" s="1266"/>
      <c r="T320" s="1266"/>
      <c r="U320" s="1266"/>
      <c r="V320" s="1266"/>
      <c r="W320" s="1266"/>
      <c r="X320" s="1266"/>
      <c r="Y320" s="1266"/>
      <c r="Z320" s="1266"/>
      <c r="AA320" s="1266"/>
      <c r="AB320" s="1266"/>
      <c r="AC320" s="1266"/>
      <c r="AD320" s="1266"/>
    </row>
    <row r="321" spans="1:30" s="501" customFormat="1" ht="15" outlineLevel="1">
      <c r="A321" s="299"/>
      <c r="B321" s="4293" t="s">
        <v>1569</v>
      </c>
      <c r="C321" s="4294" t="s">
        <v>1569</v>
      </c>
      <c r="D321" s="486">
        <v>2000</v>
      </c>
      <c r="E321" s="485">
        <v>208</v>
      </c>
      <c r="F321" s="485">
        <v>2021</v>
      </c>
      <c r="G321" s="485">
        <v>2026</v>
      </c>
      <c r="H321" s="491">
        <f t="shared" si="147"/>
        <v>26</v>
      </c>
      <c r="I321" s="3558"/>
      <c r="J321" s="3558"/>
      <c r="K321" s="3558"/>
      <c r="L321" s="3558"/>
      <c r="M321" s="3558"/>
      <c r="N321" s="3558"/>
      <c r="O321" s="3558"/>
      <c r="P321" s="3558"/>
      <c r="Q321" s="3558"/>
      <c r="R321" s="3558"/>
      <c r="S321" s="1266"/>
      <c r="T321" s="1266"/>
      <c r="U321" s="1266"/>
      <c r="V321" s="1266"/>
      <c r="W321" s="1266"/>
      <c r="X321" s="1266"/>
      <c r="Y321" s="1266"/>
      <c r="Z321" s="1266"/>
      <c r="AA321" s="1266"/>
      <c r="AB321" s="1266"/>
      <c r="AC321" s="1266"/>
      <c r="AD321" s="1266"/>
    </row>
    <row r="322" spans="1:30" s="501" customFormat="1" ht="15" outlineLevel="1">
      <c r="A322" s="299"/>
      <c r="B322" s="4293" t="s">
        <v>1569</v>
      </c>
      <c r="C322" s="4294" t="s">
        <v>1569</v>
      </c>
      <c r="D322" s="486">
        <v>2001</v>
      </c>
      <c r="E322" s="485">
        <v>424</v>
      </c>
      <c r="F322" s="485">
        <v>2017</v>
      </c>
      <c r="G322" s="485">
        <v>2027</v>
      </c>
      <c r="H322" s="491">
        <f t="shared" si="147"/>
        <v>26</v>
      </c>
      <c r="I322" s="3558"/>
      <c r="J322" s="3558"/>
      <c r="K322" s="3558"/>
      <c r="L322" s="3558"/>
      <c r="M322" s="3558"/>
      <c r="N322" s="3558"/>
      <c r="O322" s="3558"/>
      <c r="P322" s="3558"/>
      <c r="Q322" s="3558"/>
      <c r="R322" s="3558"/>
      <c r="S322" s="1266"/>
      <c r="T322" s="1266"/>
      <c r="U322" s="1266"/>
      <c r="V322" s="1266"/>
      <c r="W322" s="1266"/>
      <c r="X322" s="1266"/>
      <c r="Y322" s="1266"/>
      <c r="Z322" s="1266"/>
      <c r="AA322" s="1266"/>
      <c r="AB322" s="1266"/>
      <c r="AC322" s="1266"/>
      <c r="AD322" s="1266"/>
    </row>
    <row r="323" spans="1:30" s="501" customFormat="1" ht="15" outlineLevel="1">
      <c r="A323" s="299"/>
      <c r="B323" s="4293" t="s">
        <v>1569</v>
      </c>
      <c r="C323" s="4294" t="s">
        <v>1569</v>
      </c>
      <c r="D323" s="486">
        <v>2002</v>
      </c>
      <c r="E323" s="485">
        <v>388</v>
      </c>
      <c r="F323" s="485">
        <v>2018</v>
      </c>
      <c r="G323" s="485">
        <v>2028</v>
      </c>
      <c r="H323" s="491">
        <f t="shared" si="147"/>
        <v>26</v>
      </c>
      <c r="I323" s="3558"/>
      <c r="J323" s="3558"/>
      <c r="K323" s="3558"/>
      <c r="L323" s="3558"/>
      <c r="M323" s="3558"/>
      <c r="N323" s="3558"/>
      <c r="O323" s="3558"/>
      <c r="P323" s="3558"/>
      <c r="Q323" s="3558"/>
      <c r="R323" s="3558"/>
      <c r="S323" s="1266"/>
      <c r="T323" s="1266"/>
      <c r="U323" s="1266"/>
      <c r="V323" s="1266"/>
      <c r="W323" s="1266"/>
      <c r="X323" s="1266"/>
      <c r="Y323" s="1266"/>
      <c r="Z323" s="1266"/>
      <c r="AA323" s="1266"/>
      <c r="AB323" s="1266"/>
      <c r="AC323" s="1266"/>
      <c r="AD323" s="1266"/>
    </row>
    <row r="324" spans="1:30" s="501" customFormat="1" ht="15" outlineLevel="1">
      <c r="A324" s="299"/>
      <c r="B324" s="4293" t="s">
        <v>1569</v>
      </c>
      <c r="C324" s="4294" t="s">
        <v>1569</v>
      </c>
      <c r="D324" s="486">
        <v>2003</v>
      </c>
      <c r="E324" s="485">
        <v>583</v>
      </c>
      <c r="F324" s="485">
        <v>2019</v>
      </c>
      <c r="G324" s="485">
        <v>2029</v>
      </c>
      <c r="H324" s="491">
        <f t="shared" si="147"/>
        <v>26</v>
      </c>
      <c r="I324" s="3558"/>
      <c r="J324" s="3558"/>
      <c r="K324" s="3558"/>
      <c r="L324" s="3558"/>
      <c r="M324" s="3558"/>
      <c r="N324" s="3558"/>
      <c r="O324" s="3558"/>
      <c r="P324" s="3558"/>
      <c r="Q324" s="3558"/>
      <c r="R324" s="3558"/>
      <c r="S324" s="1266"/>
      <c r="T324" s="1266"/>
      <c r="U324" s="1266"/>
      <c r="V324" s="1266"/>
      <c r="W324" s="1266"/>
      <c r="X324" s="1266"/>
      <c r="Y324" s="1266"/>
      <c r="Z324" s="1266"/>
      <c r="AA324" s="1266"/>
      <c r="AB324" s="1266"/>
      <c r="AC324" s="1266"/>
      <c r="AD324" s="1266"/>
    </row>
    <row r="325" spans="1:30" s="501" customFormat="1" ht="15" outlineLevel="1">
      <c r="A325" s="299"/>
      <c r="B325" s="4293" t="s">
        <v>1569</v>
      </c>
      <c r="C325" s="4294" t="s">
        <v>1569</v>
      </c>
      <c r="D325" s="486">
        <v>2004</v>
      </c>
      <c r="E325" s="485">
        <v>655</v>
      </c>
      <c r="F325" s="485">
        <v>2020</v>
      </c>
      <c r="G325" s="485">
        <v>2030</v>
      </c>
      <c r="H325" s="491">
        <f t="shared" si="147"/>
        <v>26</v>
      </c>
      <c r="I325" s="3558"/>
      <c r="J325" s="3558"/>
      <c r="K325" s="3558"/>
      <c r="L325" s="3558"/>
      <c r="M325" s="3558"/>
      <c r="N325" s="3558"/>
      <c r="O325" s="3558"/>
      <c r="P325" s="3558"/>
      <c r="Q325" s="3558"/>
      <c r="R325" s="3558"/>
      <c r="S325" s="1266"/>
      <c r="T325" s="1266"/>
      <c r="U325" s="1266"/>
      <c r="V325" s="1266"/>
      <c r="W325" s="1266"/>
      <c r="X325" s="1266"/>
      <c r="Y325" s="1266"/>
      <c r="Z325" s="1266"/>
      <c r="AA325" s="1266"/>
      <c r="AB325" s="1266"/>
      <c r="AC325" s="1266"/>
      <c r="AD325" s="1266"/>
    </row>
    <row r="326" spans="1:30" s="501" customFormat="1" ht="15" outlineLevel="1">
      <c r="A326" s="299"/>
      <c r="B326" s="4293" t="s">
        <v>1569</v>
      </c>
      <c r="C326" s="4294" t="s">
        <v>1569</v>
      </c>
      <c r="D326" s="486">
        <v>2005</v>
      </c>
      <c r="E326" s="485">
        <v>504</v>
      </c>
      <c r="F326" s="485">
        <v>2021</v>
      </c>
      <c r="G326" s="485">
        <v>2031</v>
      </c>
      <c r="H326" s="491">
        <f t="shared" si="147"/>
        <v>26</v>
      </c>
      <c r="I326" s="3558"/>
      <c r="J326" s="3558"/>
      <c r="K326" s="3558"/>
      <c r="L326" s="3558"/>
      <c r="M326" s="3558"/>
      <c r="N326" s="3558"/>
      <c r="O326" s="3558"/>
      <c r="P326" s="3558"/>
      <c r="Q326" s="3558"/>
      <c r="R326" s="3558"/>
      <c r="S326" s="1266"/>
      <c r="T326" s="1266"/>
      <c r="U326" s="1266"/>
      <c r="V326" s="1266"/>
      <c r="W326" s="1266"/>
      <c r="X326" s="1266"/>
      <c r="Y326" s="1266"/>
      <c r="Z326" s="1266"/>
      <c r="AA326" s="1266"/>
      <c r="AB326" s="1266"/>
      <c r="AC326" s="1266"/>
      <c r="AD326" s="1266"/>
    </row>
    <row r="327" spans="1:30" s="501" customFormat="1" ht="15" outlineLevel="1">
      <c r="A327" s="299"/>
      <c r="B327" s="4293" t="s">
        <v>1569</v>
      </c>
      <c r="C327" s="4294" t="s">
        <v>1569</v>
      </c>
      <c r="D327" s="486">
        <v>2006</v>
      </c>
      <c r="E327" s="485">
        <v>907</v>
      </c>
      <c r="F327" s="485">
        <v>2022</v>
      </c>
      <c r="G327" s="485">
        <v>2032</v>
      </c>
      <c r="H327" s="491">
        <f t="shared" si="147"/>
        <v>26</v>
      </c>
      <c r="I327" s="3558"/>
      <c r="J327" s="3558"/>
      <c r="K327" s="3558"/>
      <c r="L327" s="3558"/>
      <c r="M327" s="3558"/>
      <c r="N327" s="3558"/>
      <c r="O327" s="3558"/>
      <c r="P327" s="3558"/>
      <c r="Q327" s="3558"/>
      <c r="R327" s="3558"/>
      <c r="S327" s="1266"/>
      <c r="T327" s="1266"/>
      <c r="U327" s="1266"/>
      <c r="V327" s="1266"/>
      <c r="W327" s="1266"/>
      <c r="X327" s="1266"/>
      <c r="Y327" s="1266"/>
      <c r="Z327" s="1266"/>
      <c r="AA327" s="1266"/>
      <c r="AB327" s="1266"/>
      <c r="AC327" s="1266"/>
      <c r="AD327" s="1266"/>
    </row>
    <row r="328" spans="1:30" s="501" customFormat="1" ht="15" outlineLevel="1">
      <c r="A328" s="299"/>
      <c r="B328" s="4293" t="s">
        <v>1570</v>
      </c>
      <c r="C328" s="4294" t="s">
        <v>1570</v>
      </c>
      <c r="D328" s="486">
        <v>2003</v>
      </c>
      <c r="E328" s="485">
        <v>71</v>
      </c>
      <c r="F328" s="485">
        <v>2019</v>
      </c>
      <c r="G328" s="485">
        <v>2029</v>
      </c>
      <c r="H328" s="491">
        <f t="shared" si="147"/>
        <v>26</v>
      </c>
      <c r="I328" s="3558"/>
      <c r="J328" s="3558"/>
      <c r="K328" s="3558"/>
      <c r="L328" s="3558"/>
      <c r="M328" s="3558"/>
      <c r="N328" s="3558"/>
      <c r="O328" s="3558"/>
      <c r="P328" s="3558"/>
      <c r="Q328" s="3558"/>
      <c r="R328" s="3558"/>
      <c r="S328" s="1266"/>
      <c r="T328" s="1266"/>
      <c r="U328" s="1266"/>
      <c r="V328" s="1266"/>
      <c r="W328" s="1266"/>
      <c r="X328" s="1266"/>
      <c r="Y328" s="1266"/>
      <c r="Z328" s="1266"/>
      <c r="AA328" s="1266"/>
      <c r="AB328" s="1266"/>
      <c r="AC328" s="1266"/>
      <c r="AD328" s="1266"/>
    </row>
    <row r="329" spans="1:30" s="501" customFormat="1" ht="15" outlineLevel="1">
      <c r="A329" s="299"/>
      <c r="B329" s="4293" t="s">
        <v>1570</v>
      </c>
      <c r="C329" s="4294" t="s">
        <v>1570</v>
      </c>
      <c r="D329" s="486">
        <v>2004</v>
      </c>
      <c r="E329" s="485">
        <v>114</v>
      </c>
      <c r="F329" s="485">
        <v>2020</v>
      </c>
      <c r="G329" s="485">
        <v>2030</v>
      </c>
      <c r="H329" s="491">
        <f t="shared" si="147"/>
        <v>26</v>
      </c>
      <c r="I329" s="3558"/>
      <c r="J329" s="3558"/>
      <c r="K329" s="3558"/>
      <c r="L329" s="3558"/>
      <c r="M329" s="3558"/>
      <c r="N329" s="3558"/>
      <c r="O329" s="3558"/>
      <c r="P329" s="3558"/>
      <c r="Q329" s="3558"/>
      <c r="R329" s="3558"/>
      <c r="S329" s="1266"/>
      <c r="T329" s="1266"/>
      <c r="U329" s="1266"/>
      <c r="V329" s="1266"/>
      <c r="W329" s="1266"/>
      <c r="X329" s="1266"/>
      <c r="Y329" s="1266"/>
      <c r="Z329" s="1266"/>
      <c r="AA329" s="1266"/>
      <c r="AB329" s="1266"/>
      <c r="AC329" s="1266"/>
      <c r="AD329" s="1266"/>
    </row>
    <row r="330" spans="1:30" s="501" customFormat="1" ht="15" outlineLevel="1">
      <c r="A330" s="299"/>
      <c r="B330" s="4293" t="s">
        <v>1570</v>
      </c>
      <c r="C330" s="4294" t="s">
        <v>1570</v>
      </c>
      <c r="D330" s="486">
        <v>2005</v>
      </c>
      <c r="E330" s="485">
        <v>83</v>
      </c>
      <c r="F330" s="485">
        <v>2021</v>
      </c>
      <c r="G330" s="485">
        <v>2031</v>
      </c>
      <c r="H330" s="491">
        <f t="shared" si="147"/>
        <v>26</v>
      </c>
      <c r="I330" s="3558"/>
      <c r="J330" s="3558"/>
      <c r="K330" s="3558"/>
      <c r="L330" s="3558"/>
      <c r="M330" s="3558"/>
      <c r="N330" s="3558"/>
      <c r="O330" s="3558"/>
      <c r="P330" s="3558"/>
      <c r="Q330" s="3558"/>
      <c r="R330" s="3558"/>
      <c r="S330" s="1266"/>
      <c r="T330" s="1266"/>
      <c r="U330" s="1266"/>
      <c r="V330" s="1266"/>
      <c r="W330" s="1266"/>
      <c r="X330" s="1266"/>
      <c r="Y330" s="1266"/>
      <c r="Z330" s="1266"/>
      <c r="AA330" s="1266"/>
      <c r="AB330" s="1266"/>
      <c r="AC330" s="1266"/>
      <c r="AD330" s="1266"/>
    </row>
    <row r="331" spans="1:30" s="501" customFormat="1" ht="15" outlineLevel="1">
      <c r="A331" s="299"/>
      <c r="B331" s="4293" t="s">
        <v>1570</v>
      </c>
      <c r="C331" s="4294" t="s">
        <v>1570</v>
      </c>
      <c r="D331" s="486">
        <v>2006</v>
      </c>
      <c r="E331" s="485">
        <v>68</v>
      </c>
      <c r="F331" s="485">
        <v>2022</v>
      </c>
      <c r="G331" s="485">
        <v>2032</v>
      </c>
      <c r="H331" s="491">
        <f t="shared" si="147"/>
        <v>26</v>
      </c>
      <c r="I331" s="3558"/>
      <c r="J331" s="3558"/>
      <c r="K331" s="3558"/>
      <c r="L331" s="3558"/>
      <c r="M331" s="3558"/>
      <c r="N331" s="3558"/>
      <c r="O331" s="3558"/>
      <c r="P331" s="3558"/>
      <c r="Q331" s="3558"/>
      <c r="R331" s="3558"/>
      <c r="S331" s="1266"/>
      <c r="T331" s="1266"/>
      <c r="U331" s="1266"/>
      <c r="V331" s="1266"/>
      <c r="W331" s="1266"/>
      <c r="X331" s="1266"/>
      <c r="Y331" s="1266"/>
      <c r="Z331" s="1266"/>
      <c r="AA331" s="1266"/>
      <c r="AB331" s="1266"/>
      <c r="AC331" s="1266"/>
      <c r="AD331" s="1266"/>
    </row>
    <row r="332" spans="1:30" s="501" customFormat="1" ht="15" outlineLevel="1">
      <c r="A332" s="299"/>
      <c r="B332" s="4293" t="s">
        <v>1571</v>
      </c>
      <c r="C332" s="4294" t="s">
        <v>1571</v>
      </c>
      <c r="D332" s="486">
        <v>1997</v>
      </c>
      <c r="E332" s="485">
        <v>328</v>
      </c>
      <c r="F332" s="485">
        <v>2018</v>
      </c>
      <c r="G332" s="485">
        <v>2023</v>
      </c>
      <c r="H332" s="491">
        <f t="shared" si="147"/>
        <v>26</v>
      </c>
      <c r="I332" s="3558"/>
      <c r="J332" s="3558"/>
      <c r="K332" s="3558"/>
      <c r="L332" s="3558"/>
      <c r="M332" s="3558"/>
      <c r="N332" s="3558"/>
      <c r="O332" s="3558"/>
      <c r="P332" s="3558"/>
      <c r="Q332" s="3558"/>
      <c r="R332" s="3558"/>
      <c r="S332" s="1266"/>
      <c r="T332" s="1266"/>
      <c r="U332" s="1266"/>
      <c r="V332" s="1266"/>
      <c r="W332" s="1266"/>
      <c r="X332" s="1266"/>
      <c r="Y332" s="1266"/>
      <c r="Z332" s="1266"/>
      <c r="AA332" s="1266"/>
      <c r="AB332" s="1266"/>
      <c r="AC332" s="1266"/>
      <c r="AD332" s="1266"/>
    </row>
    <row r="333" spans="1:30" s="501" customFormat="1" ht="15" outlineLevel="1">
      <c r="A333" s="299"/>
      <c r="B333" s="4293" t="s">
        <v>1571</v>
      </c>
      <c r="C333" s="4294" t="s">
        <v>1571</v>
      </c>
      <c r="D333" s="486">
        <v>1998</v>
      </c>
      <c r="E333" s="485">
        <v>2665</v>
      </c>
      <c r="F333" s="485">
        <v>2019</v>
      </c>
      <c r="G333" s="485">
        <v>2024</v>
      </c>
      <c r="H333" s="491">
        <f t="shared" si="147"/>
        <v>26</v>
      </c>
      <c r="I333" s="3558"/>
      <c r="J333" s="3558"/>
      <c r="K333" s="3558"/>
      <c r="L333" s="3558"/>
      <c r="M333" s="3558"/>
      <c r="N333" s="3558"/>
      <c r="O333" s="3558"/>
      <c r="P333" s="3558"/>
      <c r="Q333" s="3558"/>
      <c r="R333" s="3558"/>
      <c r="S333" s="1266"/>
      <c r="T333" s="1266"/>
      <c r="U333" s="1266"/>
      <c r="V333" s="1266"/>
      <c r="W333" s="1266"/>
      <c r="X333" s="1266"/>
      <c r="Y333" s="1266"/>
      <c r="Z333" s="1266"/>
      <c r="AA333" s="1266"/>
      <c r="AB333" s="1266"/>
      <c r="AC333" s="1266"/>
      <c r="AD333" s="1266"/>
    </row>
    <row r="334" spans="1:30" s="501" customFormat="1" ht="15" outlineLevel="1">
      <c r="A334" s="299"/>
      <c r="B334" s="4293" t="s">
        <v>1571</v>
      </c>
      <c r="C334" s="4294" t="s">
        <v>1571</v>
      </c>
      <c r="D334" s="486">
        <v>1999</v>
      </c>
      <c r="E334" s="485">
        <v>3993</v>
      </c>
      <c r="F334" s="485">
        <v>2020</v>
      </c>
      <c r="G334" s="485">
        <v>2025</v>
      </c>
      <c r="H334" s="491">
        <f t="shared" si="147"/>
        <v>26</v>
      </c>
      <c r="I334" s="3558"/>
      <c r="J334" s="3558"/>
      <c r="K334" s="3558"/>
      <c r="L334" s="3558"/>
      <c r="M334" s="3558"/>
      <c r="N334" s="3558"/>
      <c r="O334" s="3558"/>
      <c r="P334" s="3558"/>
      <c r="Q334" s="3558"/>
      <c r="R334" s="3558"/>
      <c r="S334" s="1266"/>
      <c r="T334" s="1266"/>
      <c r="U334" s="1266"/>
      <c r="V334" s="1266"/>
      <c r="W334" s="1266"/>
      <c r="X334" s="1266"/>
      <c r="Y334" s="1266"/>
      <c r="Z334" s="1266"/>
      <c r="AA334" s="1266"/>
      <c r="AB334" s="1266"/>
      <c r="AC334" s="1266"/>
      <c r="AD334" s="1266"/>
    </row>
    <row r="335" spans="1:30" s="501" customFormat="1" ht="15" outlineLevel="1">
      <c r="A335" s="299"/>
      <c r="B335" s="4293" t="s">
        <v>1571</v>
      </c>
      <c r="C335" s="4294" t="s">
        <v>1571</v>
      </c>
      <c r="D335" s="486">
        <v>2000</v>
      </c>
      <c r="E335" s="485">
        <v>4435</v>
      </c>
      <c r="F335" s="485">
        <v>2021</v>
      </c>
      <c r="G335" s="485">
        <v>2026</v>
      </c>
      <c r="H335" s="491">
        <f t="shared" si="147"/>
        <v>26</v>
      </c>
      <c r="I335" s="3558"/>
      <c r="J335" s="3558"/>
      <c r="K335" s="3558"/>
      <c r="L335" s="3558"/>
      <c r="M335" s="3558"/>
      <c r="N335" s="3558"/>
      <c r="O335" s="3558"/>
      <c r="P335" s="3558"/>
      <c r="Q335" s="3558"/>
      <c r="R335" s="3558"/>
      <c r="S335" s="1266"/>
      <c r="T335" s="1266"/>
      <c r="U335" s="1266"/>
      <c r="V335" s="1266"/>
      <c r="W335" s="1266"/>
      <c r="X335" s="1266"/>
      <c r="Y335" s="1266"/>
      <c r="Z335" s="1266"/>
      <c r="AA335" s="1266"/>
      <c r="AB335" s="1266"/>
      <c r="AC335" s="1266"/>
      <c r="AD335" s="1266"/>
    </row>
    <row r="336" spans="1:30" s="501" customFormat="1" ht="15" outlineLevel="1">
      <c r="A336" s="299"/>
      <c r="B336" s="4293" t="s">
        <v>1571</v>
      </c>
      <c r="C336" s="4294" t="s">
        <v>1571</v>
      </c>
      <c r="D336" s="486">
        <v>2001</v>
      </c>
      <c r="E336" s="485">
        <v>298</v>
      </c>
      <c r="F336" s="485">
        <v>2017</v>
      </c>
      <c r="G336" s="485">
        <v>2027</v>
      </c>
      <c r="H336" s="491">
        <f t="shared" si="147"/>
        <v>26</v>
      </c>
      <c r="I336" s="3558"/>
      <c r="J336" s="3558"/>
      <c r="K336" s="3558"/>
      <c r="L336" s="3558"/>
      <c r="M336" s="3558"/>
      <c r="N336" s="3558"/>
      <c r="O336" s="3558"/>
      <c r="P336" s="3558"/>
      <c r="Q336" s="3558"/>
      <c r="R336" s="3558"/>
      <c r="S336" s="1266"/>
      <c r="T336" s="1266"/>
      <c r="U336" s="1266"/>
      <c r="V336" s="1266"/>
      <c r="W336" s="1266"/>
      <c r="X336" s="1266"/>
      <c r="Y336" s="1266"/>
      <c r="Z336" s="1266"/>
      <c r="AA336" s="1266"/>
      <c r="AB336" s="1266"/>
      <c r="AC336" s="1266"/>
      <c r="AD336" s="1266"/>
    </row>
    <row r="337" spans="1:30" s="501" customFormat="1" ht="15" outlineLevel="1">
      <c r="A337" s="299"/>
      <c r="B337" s="4293" t="s">
        <v>1572</v>
      </c>
      <c r="C337" s="4294" t="s">
        <v>1572</v>
      </c>
      <c r="D337" s="486">
        <v>1985</v>
      </c>
      <c r="E337" s="485">
        <v>9599</v>
      </c>
      <c r="F337" s="485">
        <v>2017</v>
      </c>
      <c r="G337" s="485">
        <v>2018</v>
      </c>
      <c r="H337" s="491">
        <f t="shared" si="147"/>
        <v>33</v>
      </c>
      <c r="I337" s="3558"/>
      <c r="J337" s="3558"/>
      <c r="K337" s="3558"/>
      <c r="L337" s="3558"/>
      <c r="M337" s="3558"/>
      <c r="N337" s="3558"/>
      <c r="O337" s="3558"/>
      <c r="P337" s="3558"/>
      <c r="Q337" s="3558"/>
      <c r="R337" s="3558"/>
      <c r="S337" s="1266"/>
      <c r="T337" s="1266"/>
      <c r="U337" s="1266"/>
      <c r="V337" s="1266"/>
      <c r="W337" s="1266"/>
      <c r="X337" s="1266"/>
      <c r="Y337" s="1266"/>
      <c r="Z337" s="1266"/>
      <c r="AA337" s="1266"/>
      <c r="AB337" s="1266"/>
      <c r="AC337" s="1266"/>
      <c r="AD337" s="1266"/>
    </row>
    <row r="338" spans="1:30" s="501" customFormat="1" ht="15" outlineLevel="1">
      <c r="A338" s="299"/>
      <c r="B338" s="4293" t="s">
        <v>1572</v>
      </c>
      <c r="C338" s="4294" t="s">
        <v>1572</v>
      </c>
      <c r="D338" s="486">
        <v>1988</v>
      </c>
      <c r="E338" s="485">
        <v>23401</v>
      </c>
      <c r="F338" s="485">
        <v>2017</v>
      </c>
      <c r="G338" s="485">
        <v>2018</v>
      </c>
      <c r="H338" s="491">
        <f t="shared" si="147"/>
        <v>30</v>
      </c>
      <c r="I338" s="3558"/>
      <c r="J338" s="3558"/>
      <c r="K338" s="3558"/>
      <c r="L338" s="3558"/>
      <c r="M338" s="3558"/>
      <c r="N338" s="3558"/>
      <c r="O338" s="3558"/>
      <c r="P338" s="3558"/>
      <c r="Q338" s="3558"/>
      <c r="R338" s="3558"/>
      <c r="S338" s="1266"/>
      <c r="T338" s="1266"/>
      <c r="U338" s="1266"/>
      <c r="V338" s="1266"/>
      <c r="W338" s="1266"/>
      <c r="X338" s="1266"/>
      <c r="Y338" s="1266"/>
      <c r="Z338" s="1266"/>
      <c r="AA338" s="1266"/>
      <c r="AB338" s="1266"/>
      <c r="AC338" s="1266"/>
      <c r="AD338" s="1266"/>
    </row>
    <row r="339" spans="1:30" s="501" customFormat="1" ht="15" outlineLevel="1">
      <c r="A339" s="299"/>
      <c r="B339" s="4293" t="s">
        <v>1572</v>
      </c>
      <c r="C339" s="4294" t="s">
        <v>1572</v>
      </c>
      <c r="D339" s="486">
        <v>1991</v>
      </c>
      <c r="E339" s="485">
        <v>16146</v>
      </c>
      <c r="F339" s="485">
        <v>2019</v>
      </c>
      <c r="G339" s="485">
        <v>2021</v>
      </c>
      <c r="H339" s="491">
        <f t="shared" si="147"/>
        <v>30</v>
      </c>
      <c r="I339" s="3558"/>
      <c r="J339" s="3558"/>
      <c r="K339" s="3558"/>
      <c r="L339" s="3558"/>
      <c r="M339" s="3558"/>
      <c r="N339" s="3558"/>
      <c r="O339" s="3558"/>
      <c r="P339" s="3558"/>
      <c r="Q339" s="3558"/>
      <c r="R339" s="3558"/>
      <c r="S339" s="1266"/>
      <c r="T339" s="1266"/>
      <c r="U339" s="1266"/>
      <c r="V339" s="1266"/>
      <c r="W339" s="1266"/>
      <c r="X339" s="1266"/>
      <c r="Y339" s="1266"/>
      <c r="Z339" s="1266"/>
      <c r="AA339" s="1266"/>
      <c r="AB339" s="1266"/>
      <c r="AC339" s="1266"/>
      <c r="AD339" s="1266"/>
    </row>
    <row r="340" spans="1:30" s="501" customFormat="1" ht="15" outlineLevel="1">
      <c r="A340" s="299"/>
      <c r="B340" s="4293" t="s">
        <v>1572</v>
      </c>
      <c r="C340" s="4294" t="s">
        <v>1572</v>
      </c>
      <c r="D340" s="486">
        <v>1992</v>
      </c>
      <c r="E340" s="485">
        <v>23226</v>
      </c>
      <c r="F340" s="485">
        <v>2019</v>
      </c>
      <c r="G340" s="485">
        <v>2024</v>
      </c>
      <c r="H340" s="491">
        <f t="shared" si="147"/>
        <v>32</v>
      </c>
      <c r="I340" s="3558"/>
      <c r="J340" s="3558"/>
      <c r="K340" s="3558"/>
      <c r="L340" s="3558"/>
      <c r="M340" s="3558"/>
      <c r="N340" s="3558"/>
      <c r="O340" s="3558"/>
      <c r="P340" s="3558"/>
      <c r="Q340" s="3558"/>
      <c r="R340" s="3558"/>
      <c r="S340" s="1266"/>
      <c r="T340" s="1266"/>
      <c r="U340" s="1266"/>
      <c r="V340" s="1266"/>
      <c r="W340" s="1266"/>
      <c r="X340" s="1266"/>
      <c r="Y340" s="1266"/>
      <c r="Z340" s="1266"/>
      <c r="AA340" s="1266"/>
      <c r="AB340" s="1266"/>
      <c r="AC340" s="1266"/>
      <c r="AD340" s="1266"/>
    </row>
    <row r="341" spans="1:30" s="501" customFormat="1" ht="15" outlineLevel="1">
      <c r="A341" s="299"/>
      <c r="B341" s="4293" t="s">
        <v>1572</v>
      </c>
      <c r="C341" s="4294" t="s">
        <v>1572</v>
      </c>
      <c r="D341" s="486">
        <v>1994</v>
      </c>
      <c r="E341" s="485">
        <v>16416</v>
      </c>
      <c r="F341" s="485">
        <v>2019</v>
      </c>
      <c r="G341" s="485">
        <v>2021</v>
      </c>
      <c r="H341" s="491">
        <f t="shared" si="147"/>
        <v>27</v>
      </c>
      <c r="I341" s="3558"/>
      <c r="J341" s="3558"/>
      <c r="K341" s="3558"/>
      <c r="L341" s="3558"/>
      <c r="M341" s="3558"/>
      <c r="N341" s="3558"/>
      <c r="O341" s="3558"/>
      <c r="P341" s="3558"/>
      <c r="Q341" s="3558"/>
      <c r="R341" s="3558"/>
      <c r="S341" s="1266"/>
      <c r="T341" s="1266"/>
      <c r="U341" s="1266"/>
      <c r="V341" s="1266"/>
      <c r="W341" s="1266"/>
      <c r="X341" s="1266"/>
      <c r="Y341" s="1266"/>
      <c r="Z341" s="1266"/>
      <c r="AA341" s="1266"/>
      <c r="AB341" s="1266"/>
      <c r="AC341" s="1266"/>
      <c r="AD341" s="1266"/>
    </row>
    <row r="342" spans="1:30" s="501" customFormat="1" ht="15" outlineLevel="1">
      <c r="A342" s="299"/>
      <c r="B342" s="4293" t="s">
        <v>1572</v>
      </c>
      <c r="C342" s="4294" t="s">
        <v>1572</v>
      </c>
      <c r="D342" s="486">
        <v>1996</v>
      </c>
      <c r="E342" s="485">
        <v>1794</v>
      </c>
      <c r="F342" s="485">
        <v>2017</v>
      </c>
      <c r="G342" s="485">
        <v>2022</v>
      </c>
      <c r="H342" s="491">
        <f t="shared" si="147"/>
        <v>26</v>
      </c>
      <c r="I342" s="3558"/>
      <c r="J342" s="3558"/>
      <c r="K342" s="3558"/>
      <c r="L342" s="3558"/>
      <c r="M342" s="3558"/>
      <c r="N342" s="3558"/>
      <c r="O342" s="3558"/>
      <c r="P342" s="3558"/>
      <c r="Q342" s="3558"/>
      <c r="R342" s="3558"/>
      <c r="S342" s="1266"/>
      <c r="T342" s="1266"/>
      <c r="U342" s="1266"/>
      <c r="V342" s="1266"/>
      <c r="W342" s="1266"/>
      <c r="X342" s="1266"/>
      <c r="Y342" s="1266"/>
      <c r="Z342" s="1266"/>
      <c r="AA342" s="1266"/>
      <c r="AB342" s="1266"/>
      <c r="AC342" s="1266"/>
      <c r="AD342" s="1266"/>
    </row>
    <row r="343" spans="1:30" s="501" customFormat="1" ht="15" outlineLevel="1">
      <c r="A343" s="299"/>
      <c r="B343" s="4293" t="s">
        <v>1572</v>
      </c>
      <c r="C343" s="4294" t="s">
        <v>1572</v>
      </c>
      <c r="D343" s="486">
        <v>1997</v>
      </c>
      <c r="E343" s="485">
        <v>1154</v>
      </c>
      <c r="F343" s="485">
        <v>2018</v>
      </c>
      <c r="G343" s="485">
        <v>2020</v>
      </c>
      <c r="H343" s="491">
        <f t="shared" si="147"/>
        <v>23</v>
      </c>
      <c r="I343" s="3558"/>
      <c r="J343" s="3558"/>
      <c r="K343" s="3558"/>
      <c r="L343" s="3558"/>
      <c r="M343" s="3558"/>
      <c r="N343" s="3558"/>
      <c r="O343" s="3558"/>
      <c r="P343" s="3558"/>
      <c r="Q343" s="3558"/>
      <c r="R343" s="3558"/>
      <c r="S343" s="1266"/>
      <c r="T343" s="1266"/>
      <c r="U343" s="1266"/>
      <c r="V343" s="1266"/>
      <c r="W343" s="1266"/>
      <c r="X343" s="1266"/>
      <c r="Y343" s="1266"/>
      <c r="Z343" s="1266"/>
      <c r="AA343" s="1266"/>
      <c r="AB343" s="1266"/>
      <c r="AC343" s="1266"/>
      <c r="AD343" s="1266"/>
    </row>
    <row r="344" spans="1:30" s="501" customFormat="1" ht="15" outlineLevel="1">
      <c r="A344" s="299"/>
      <c r="B344" s="4293" t="s">
        <v>1573</v>
      </c>
      <c r="C344" s="4294" t="s">
        <v>1573</v>
      </c>
      <c r="D344" s="486">
        <v>1990</v>
      </c>
      <c r="E344" s="485">
        <v>2733</v>
      </c>
      <c r="F344" s="485">
        <v>2017</v>
      </c>
      <c r="G344" s="485">
        <v>2022</v>
      </c>
      <c r="H344" s="491">
        <f t="shared" si="147"/>
        <v>32</v>
      </c>
      <c r="I344" s="3558"/>
      <c r="J344" s="3558"/>
      <c r="K344" s="3558"/>
      <c r="L344" s="3558"/>
      <c r="M344" s="3558"/>
      <c r="N344" s="3558"/>
      <c r="O344" s="3558"/>
      <c r="P344" s="3558"/>
      <c r="Q344" s="3558"/>
      <c r="R344" s="3558"/>
      <c r="S344" s="1266"/>
      <c r="T344" s="1266"/>
      <c r="U344" s="1266"/>
      <c r="V344" s="1266"/>
      <c r="W344" s="1266"/>
      <c r="X344" s="1266"/>
      <c r="Y344" s="1266"/>
      <c r="Z344" s="1266"/>
      <c r="AA344" s="1266"/>
      <c r="AB344" s="1266"/>
      <c r="AC344" s="1266"/>
      <c r="AD344" s="1266"/>
    </row>
    <row r="345" spans="1:30" s="501" customFormat="1" ht="15" outlineLevel="1">
      <c r="A345" s="299"/>
      <c r="B345" s="4293" t="s">
        <v>1573</v>
      </c>
      <c r="C345" s="4294" t="s">
        <v>1573</v>
      </c>
      <c r="D345" s="486">
        <v>1991</v>
      </c>
      <c r="E345" s="485">
        <v>11999</v>
      </c>
      <c r="F345" s="485">
        <v>2018</v>
      </c>
      <c r="G345" s="485">
        <v>2020</v>
      </c>
      <c r="H345" s="491">
        <f t="shared" si="147"/>
        <v>29</v>
      </c>
      <c r="I345" s="3558"/>
      <c r="J345" s="3558"/>
      <c r="K345" s="3558"/>
      <c r="L345" s="3558"/>
      <c r="M345" s="3558"/>
      <c r="N345" s="3558"/>
      <c r="O345" s="3558"/>
      <c r="P345" s="3558"/>
      <c r="Q345" s="3558"/>
      <c r="R345" s="3558"/>
      <c r="S345" s="1266"/>
      <c r="T345" s="1266"/>
      <c r="U345" s="1266"/>
      <c r="V345" s="1266"/>
      <c r="W345" s="1266"/>
      <c r="X345" s="1266"/>
      <c r="Y345" s="1266"/>
      <c r="Z345" s="1266"/>
      <c r="AA345" s="1266"/>
      <c r="AB345" s="1266"/>
      <c r="AC345" s="1266"/>
      <c r="AD345" s="1266"/>
    </row>
    <row r="346" spans="1:30" s="501" customFormat="1" ht="15" outlineLevel="1">
      <c r="A346" s="299"/>
      <c r="B346" s="4293" t="s">
        <v>1573</v>
      </c>
      <c r="C346" s="4294" t="s">
        <v>1573</v>
      </c>
      <c r="D346" s="486">
        <v>1995</v>
      </c>
      <c r="E346" s="485">
        <v>930</v>
      </c>
      <c r="F346" s="485">
        <v>2018</v>
      </c>
      <c r="G346" s="485">
        <v>2023</v>
      </c>
      <c r="H346" s="491">
        <f t="shared" si="147"/>
        <v>28</v>
      </c>
      <c r="I346" s="3558"/>
      <c r="J346" s="3558"/>
      <c r="K346" s="3558"/>
      <c r="L346" s="3558"/>
      <c r="M346" s="3558"/>
      <c r="N346" s="3558"/>
      <c r="O346" s="3558"/>
      <c r="P346" s="3558"/>
      <c r="Q346" s="3558"/>
      <c r="R346" s="3558"/>
      <c r="S346" s="1266"/>
      <c r="T346" s="1266"/>
      <c r="U346" s="1266"/>
      <c r="V346" s="1266"/>
      <c r="W346" s="1266"/>
      <c r="X346" s="1266"/>
      <c r="Y346" s="1266"/>
      <c r="Z346" s="1266"/>
      <c r="AA346" s="1266"/>
      <c r="AB346" s="1266"/>
      <c r="AC346" s="1266"/>
      <c r="AD346" s="1266"/>
    </row>
    <row r="347" spans="1:30" s="501" customFormat="1" ht="15" outlineLevel="1">
      <c r="A347" s="299"/>
      <c r="B347" s="4293" t="s">
        <v>1573</v>
      </c>
      <c r="C347" s="4294" t="s">
        <v>1573</v>
      </c>
      <c r="D347" s="486">
        <v>1996</v>
      </c>
      <c r="E347" s="485">
        <v>1438</v>
      </c>
      <c r="F347" s="485">
        <v>2020</v>
      </c>
      <c r="G347" s="485">
        <v>2025</v>
      </c>
      <c r="H347" s="491">
        <f t="shared" si="147"/>
        <v>29</v>
      </c>
      <c r="I347" s="3558"/>
      <c r="J347" s="3558"/>
      <c r="K347" s="3558"/>
      <c r="L347" s="3558"/>
      <c r="M347" s="3558"/>
      <c r="N347" s="3558"/>
      <c r="O347" s="3558"/>
      <c r="P347" s="3558"/>
      <c r="Q347" s="3558"/>
      <c r="R347" s="3558"/>
      <c r="S347" s="1266"/>
      <c r="T347" s="1266"/>
      <c r="U347" s="1266"/>
      <c r="V347" s="1266"/>
      <c r="W347" s="1266"/>
      <c r="X347" s="1266"/>
      <c r="Y347" s="1266"/>
      <c r="Z347" s="1266"/>
      <c r="AA347" s="1266"/>
      <c r="AB347" s="1266"/>
      <c r="AC347" s="1266"/>
      <c r="AD347" s="1266"/>
    </row>
    <row r="348" spans="1:30" s="501" customFormat="1" ht="15" outlineLevel="1">
      <c r="A348" s="299"/>
      <c r="B348" s="4293" t="s">
        <v>1573</v>
      </c>
      <c r="C348" s="4294" t="s">
        <v>1573</v>
      </c>
      <c r="D348" s="486">
        <v>1997</v>
      </c>
      <c r="E348" s="485">
        <v>1584</v>
      </c>
      <c r="F348" s="485">
        <v>2019</v>
      </c>
      <c r="G348" s="485">
        <v>2021</v>
      </c>
      <c r="H348" s="491">
        <f t="shared" si="147"/>
        <v>24</v>
      </c>
      <c r="I348" s="3558"/>
      <c r="J348" s="3558"/>
      <c r="K348" s="3558"/>
      <c r="L348" s="3558"/>
      <c r="M348" s="3558"/>
      <c r="N348" s="3558"/>
      <c r="O348" s="3558"/>
      <c r="P348" s="3558"/>
      <c r="Q348" s="3558"/>
      <c r="R348" s="3558"/>
      <c r="S348" s="1266"/>
      <c r="T348" s="1266"/>
      <c r="U348" s="1266"/>
      <c r="V348" s="1266"/>
      <c r="W348" s="1266"/>
      <c r="X348" s="1266"/>
      <c r="Y348" s="1266"/>
      <c r="Z348" s="1266"/>
      <c r="AA348" s="1266"/>
      <c r="AB348" s="1266"/>
      <c r="AC348" s="1266"/>
      <c r="AD348" s="1266"/>
    </row>
    <row r="349" spans="1:30" s="501" customFormat="1" ht="15" outlineLevel="1">
      <c r="A349" s="299"/>
      <c r="B349" s="4293" t="s">
        <v>1573</v>
      </c>
      <c r="C349" s="4294" t="s">
        <v>1573</v>
      </c>
      <c r="D349" s="486">
        <v>1999</v>
      </c>
      <c r="E349" s="485">
        <v>7603</v>
      </c>
      <c r="F349" s="485">
        <v>2019</v>
      </c>
      <c r="G349" s="485">
        <v>2021</v>
      </c>
      <c r="H349" s="491">
        <f t="shared" si="147"/>
        <v>22</v>
      </c>
      <c r="I349" s="3558"/>
      <c r="J349" s="3558"/>
      <c r="K349" s="3558"/>
      <c r="L349" s="3558"/>
      <c r="M349" s="3558"/>
      <c r="N349" s="3558"/>
      <c r="O349" s="3558"/>
      <c r="P349" s="3558"/>
      <c r="Q349" s="3558"/>
      <c r="R349" s="3558"/>
      <c r="S349" s="1266"/>
      <c r="T349" s="1266"/>
      <c r="U349" s="1266"/>
      <c r="V349" s="1266"/>
      <c r="W349" s="1266"/>
      <c r="X349" s="1266"/>
      <c r="Y349" s="1266"/>
      <c r="Z349" s="1266"/>
      <c r="AA349" s="1266"/>
      <c r="AB349" s="1266"/>
      <c r="AC349" s="1266"/>
      <c r="AD349" s="1266"/>
    </row>
    <row r="350" spans="1:30" s="501" customFormat="1" ht="15" outlineLevel="1">
      <c r="A350" s="299"/>
      <c r="B350" s="4293" t="s">
        <v>1573</v>
      </c>
      <c r="C350" s="4294" t="s">
        <v>1573</v>
      </c>
      <c r="D350" s="486">
        <v>2000</v>
      </c>
      <c r="E350" s="485">
        <v>4084</v>
      </c>
      <c r="F350" s="485">
        <v>2017</v>
      </c>
      <c r="G350" s="485">
        <v>2018</v>
      </c>
      <c r="H350" s="491">
        <f t="shared" si="147"/>
        <v>18</v>
      </c>
      <c r="I350" s="3558"/>
      <c r="J350" s="3558"/>
      <c r="K350" s="3558"/>
      <c r="L350" s="3558"/>
      <c r="M350" s="3558"/>
      <c r="N350" s="3558"/>
      <c r="O350" s="3558"/>
      <c r="P350" s="3558"/>
      <c r="Q350" s="3558"/>
      <c r="R350" s="3558"/>
      <c r="S350" s="1266"/>
      <c r="T350" s="1266"/>
      <c r="U350" s="1266"/>
      <c r="V350" s="1266"/>
      <c r="W350" s="1266"/>
      <c r="X350" s="1266"/>
      <c r="Y350" s="1266"/>
      <c r="Z350" s="1266"/>
      <c r="AA350" s="1266"/>
      <c r="AB350" s="1266"/>
      <c r="AC350" s="1266"/>
      <c r="AD350" s="1266"/>
    </row>
    <row r="351" spans="1:30" s="501" customFormat="1" ht="15" outlineLevel="1">
      <c r="A351" s="299"/>
      <c r="B351" s="4293" t="s">
        <v>1573</v>
      </c>
      <c r="C351" s="4294" t="s">
        <v>1573</v>
      </c>
      <c r="D351" s="486">
        <v>2001</v>
      </c>
      <c r="E351" s="485">
        <v>10506</v>
      </c>
      <c r="F351" s="485">
        <v>2017</v>
      </c>
      <c r="G351" s="485">
        <v>2027</v>
      </c>
      <c r="H351" s="491">
        <f t="shared" si="147"/>
        <v>26</v>
      </c>
      <c r="I351" s="3558"/>
      <c r="J351" s="3558"/>
      <c r="K351" s="3558"/>
      <c r="L351" s="3558"/>
      <c r="M351" s="3558"/>
      <c r="N351" s="3558"/>
      <c r="O351" s="3558"/>
      <c r="P351" s="3558"/>
      <c r="Q351" s="3558"/>
      <c r="R351" s="3558"/>
      <c r="S351" s="1266"/>
      <c r="T351" s="1266"/>
      <c r="U351" s="1266"/>
      <c r="V351" s="1266"/>
      <c r="W351" s="1266"/>
      <c r="X351" s="1266"/>
      <c r="Y351" s="1266"/>
      <c r="Z351" s="1266"/>
      <c r="AA351" s="1266"/>
      <c r="AB351" s="1266"/>
      <c r="AC351" s="1266"/>
      <c r="AD351" s="1266"/>
    </row>
    <row r="352" spans="1:30" s="501" customFormat="1" ht="15" outlineLevel="1">
      <c r="A352" s="299"/>
      <c r="B352" s="4293" t="s">
        <v>1573</v>
      </c>
      <c r="C352" s="4294" t="s">
        <v>1573</v>
      </c>
      <c r="D352" s="486">
        <v>2002</v>
      </c>
      <c r="E352" s="485">
        <v>2264</v>
      </c>
      <c r="F352" s="485">
        <v>2018</v>
      </c>
      <c r="G352" s="485">
        <v>2028</v>
      </c>
      <c r="H352" s="491">
        <f t="shared" si="147"/>
        <v>26</v>
      </c>
      <c r="I352" s="3558"/>
      <c r="J352" s="3558"/>
      <c r="K352" s="3558"/>
      <c r="L352" s="3558"/>
      <c r="M352" s="3558"/>
      <c r="N352" s="3558"/>
      <c r="O352" s="3558"/>
      <c r="P352" s="3558"/>
      <c r="Q352" s="3558"/>
      <c r="R352" s="3558"/>
      <c r="S352" s="1266"/>
      <c r="T352" s="1266"/>
      <c r="U352" s="1266"/>
      <c r="V352" s="1266"/>
      <c r="W352" s="1266"/>
      <c r="X352" s="1266"/>
      <c r="Y352" s="1266"/>
      <c r="Z352" s="1266"/>
      <c r="AA352" s="1266"/>
      <c r="AB352" s="1266"/>
      <c r="AC352" s="1266"/>
      <c r="AD352" s="1266"/>
    </row>
    <row r="353" spans="1:30" s="501" customFormat="1" ht="15" outlineLevel="1">
      <c r="A353" s="299"/>
      <c r="B353" s="4293" t="s">
        <v>1573</v>
      </c>
      <c r="C353" s="4294" t="s">
        <v>1573</v>
      </c>
      <c r="D353" s="486">
        <v>2003</v>
      </c>
      <c r="E353" s="485">
        <v>5673</v>
      </c>
      <c r="F353" s="485">
        <v>2019</v>
      </c>
      <c r="G353" s="485">
        <v>2029</v>
      </c>
      <c r="H353" s="491">
        <f t="shared" si="147"/>
        <v>26</v>
      </c>
      <c r="I353" s="3558"/>
      <c r="J353" s="3558"/>
      <c r="K353" s="3558"/>
      <c r="L353" s="3558"/>
      <c r="M353" s="3558"/>
      <c r="N353" s="3558"/>
      <c r="O353" s="3558"/>
      <c r="P353" s="3558"/>
      <c r="Q353" s="3558"/>
      <c r="R353" s="3558"/>
      <c r="S353" s="1266"/>
      <c r="T353" s="1266"/>
      <c r="U353" s="1266"/>
      <c r="V353" s="1266"/>
      <c r="W353" s="1266"/>
      <c r="X353" s="1266"/>
      <c r="Y353" s="1266"/>
      <c r="Z353" s="1266"/>
      <c r="AA353" s="1266"/>
      <c r="AB353" s="1266"/>
      <c r="AC353" s="1266"/>
      <c r="AD353" s="1266"/>
    </row>
    <row r="354" spans="1:30" s="501" customFormat="1" ht="15" outlineLevel="1">
      <c r="A354" s="299"/>
      <c r="B354" s="4293" t="s">
        <v>1573</v>
      </c>
      <c r="C354" s="4294" t="s">
        <v>1573</v>
      </c>
      <c r="D354" s="486">
        <v>2004</v>
      </c>
      <c r="E354" s="485">
        <v>2760</v>
      </c>
      <c r="F354" s="485">
        <v>2020</v>
      </c>
      <c r="G354" s="485">
        <v>2030</v>
      </c>
      <c r="H354" s="491">
        <f t="shared" si="147"/>
        <v>26</v>
      </c>
      <c r="I354" s="3558"/>
      <c r="J354" s="3558"/>
      <c r="K354" s="3558"/>
      <c r="L354" s="3558"/>
      <c r="M354" s="3558"/>
      <c r="N354" s="3558"/>
      <c r="O354" s="3558"/>
      <c r="P354" s="3558"/>
      <c r="Q354" s="3558"/>
      <c r="R354" s="3558"/>
      <c r="S354" s="1266"/>
      <c r="T354" s="1266"/>
      <c r="U354" s="1266"/>
      <c r="V354" s="1266"/>
      <c r="W354" s="1266"/>
      <c r="X354" s="1266"/>
      <c r="Y354" s="1266"/>
      <c r="Z354" s="1266"/>
      <c r="AA354" s="1266"/>
      <c r="AB354" s="1266"/>
      <c r="AC354" s="1266"/>
      <c r="AD354" s="1266"/>
    </row>
    <row r="355" spans="1:30" s="501" customFormat="1" ht="15" outlineLevel="1">
      <c r="A355" s="299"/>
      <c r="B355" s="4293" t="s">
        <v>1573</v>
      </c>
      <c r="C355" s="4294" t="s">
        <v>1573</v>
      </c>
      <c r="D355" s="486">
        <v>2005</v>
      </c>
      <c r="E355" s="485">
        <v>2688</v>
      </c>
      <c r="F355" s="485">
        <v>2021</v>
      </c>
      <c r="G355" s="485">
        <v>2031</v>
      </c>
      <c r="H355" s="491">
        <f t="shared" si="147"/>
        <v>26</v>
      </c>
      <c r="I355" s="3558"/>
      <c r="J355" s="3558"/>
      <c r="K355" s="3558"/>
      <c r="L355" s="3558"/>
      <c r="M355" s="3558"/>
      <c r="N355" s="3558"/>
      <c r="O355" s="3558"/>
      <c r="P355" s="3558"/>
      <c r="Q355" s="3558"/>
      <c r="R355" s="3558"/>
      <c r="S355" s="1266"/>
      <c r="T355" s="1266"/>
      <c r="U355" s="1266"/>
      <c r="V355" s="1266"/>
      <c r="W355" s="1266"/>
      <c r="X355" s="1266"/>
      <c r="Y355" s="1266"/>
      <c r="Z355" s="1266"/>
      <c r="AA355" s="1266"/>
      <c r="AB355" s="1266"/>
      <c r="AC355" s="1266"/>
      <c r="AD355" s="1266"/>
    </row>
    <row r="356" spans="1:30" s="501" customFormat="1" ht="15" outlineLevel="1">
      <c r="A356" s="299"/>
      <c r="B356" s="4293" t="s">
        <v>1573</v>
      </c>
      <c r="C356" s="4294" t="s">
        <v>1573</v>
      </c>
      <c r="D356" s="486">
        <v>2006</v>
      </c>
      <c r="E356" s="485">
        <v>1633</v>
      </c>
      <c r="F356" s="485">
        <v>2022</v>
      </c>
      <c r="G356" s="485">
        <v>2032</v>
      </c>
      <c r="H356" s="491">
        <f t="shared" si="147"/>
        <v>26</v>
      </c>
      <c r="I356" s="3558"/>
      <c r="J356" s="3558"/>
      <c r="K356" s="3558"/>
      <c r="L356" s="3558"/>
      <c r="M356" s="3558"/>
      <c r="N356" s="3558"/>
      <c r="O356" s="3558"/>
      <c r="P356" s="3558"/>
      <c r="Q356" s="3558"/>
      <c r="R356" s="3558"/>
      <c r="S356" s="1266"/>
      <c r="T356" s="1266"/>
      <c r="U356" s="1266"/>
      <c r="V356" s="1266"/>
      <c r="W356" s="1266"/>
      <c r="X356" s="1266"/>
      <c r="Y356" s="1266"/>
      <c r="Z356" s="1266"/>
      <c r="AA356" s="1266"/>
      <c r="AB356" s="1266"/>
      <c r="AC356" s="1266"/>
      <c r="AD356" s="1266"/>
    </row>
    <row r="357" spans="1:30" s="501" customFormat="1" ht="15" outlineLevel="1">
      <c r="A357" s="299"/>
      <c r="B357" s="4293" t="s">
        <v>1574</v>
      </c>
      <c r="C357" s="4294" t="s">
        <v>1574</v>
      </c>
      <c r="D357" s="486">
        <v>2000</v>
      </c>
      <c r="E357" s="485">
        <v>1648</v>
      </c>
      <c r="F357" s="485">
        <v>2019</v>
      </c>
      <c r="G357" s="485">
        <v>2021</v>
      </c>
      <c r="H357" s="491">
        <f t="shared" si="147"/>
        <v>21</v>
      </c>
      <c r="I357" s="3558"/>
      <c r="J357" s="3558"/>
      <c r="K357" s="3558"/>
      <c r="L357" s="3558"/>
      <c r="M357" s="3558"/>
      <c r="N357" s="3558"/>
      <c r="O357" s="3558"/>
      <c r="P357" s="3558"/>
      <c r="Q357" s="3558"/>
      <c r="R357" s="3558"/>
      <c r="S357" s="1266"/>
      <c r="T357" s="1266"/>
      <c r="U357" s="1266"/>
      <c r="V357" s="1266"/>
      <c r="W357" s="1266"/>
      <c r="X357" s="1266"/>
      <c r="Y357" s="1266"/>
      <c r="Z357" s="1266"/>
      <c r="AA357" s="1266"/>
      <c r="AB357" s="1266"/>
      <c r="AC357" s="1266"/>
      <c r="AD357" s="1266"/>
    </row>
    <row r="358" spans="1:30" s="501" customFormat="1" ht="15" outlineLevel="1">
      <c r="A358" s="299"/>
      <c r="B358" s="4293" t="s">
        <v>1574</v>
      </c>
      <c r="C358" s="4294" t="s">
        <v>1574</v>
      </c>
      <c r="D358" s="486">
        <v>2001</v>
      </c>
      <c r="E358" s="485">
        <v>2810</v>
      </c>
      <c r="F358" s="485">
        <v>2017</v>
      </c>
      <c r="G358" s="485">
        <v>2027</v>
      </c>
      <c r="H358" s="491">
        <f t="shared" si="147"/>
        <v>26</v>
      </c>
      <c r="I358" s="3558"/>
      <c r="J358" s="3558"/>
      <c r="K358" s="3558"/>
      <c r="L358" s="3558"/>
      <c r="M358" s="3558"/>
      <c r="N358" s="3558"/>
      <c r="O358" s="3558"/>
      <c r="P358" s="3558"/>
      <c r="Q358" s="3558"/>
      <c r="R358" s="3558"/>
      <c r="S358" s="1266"/>
      <c r="T358" s="1266"/>
      <c r="U358" s="1266"/>
      <c r="V358" s="1266"/>
      <c r="W358" s="1266"/>
      <c r="X358" s="1266"/>
      <c r="Y358" s="1266"/>
      <c r="Z358" s="1266"/>
      <c r="AA358" s="1266"/>
      <c r="AB358" s="1266"/>
      <c r="AC358" s="1266"/>
      <c r="AD358" s="1266"/>
    </row>
    <row r="359" spans="1:30" s="501" customFormat="1" ht="15" outlineLevel="1">
      <c r="A359" s="299"/>
      <c r="B359" s="4293" t="s">
        <v>1574</v>
      </c>
      <c r="C359" s="4294" t="s">
        <v>1574</v>
      </c>
      <c r="D359" s="486">
        <v>2002</v>
      </c>
      <c r="E359" s="485">
        <v>1301</v>
      </c>
      <c r="F359" s="485">
        <v>2018</v>
      </c>
      <c r="G359" s="485">
        <v>2028</v>
      </c>
      <c r="H359" s="491">
        <f t="shared" si="147"/>
        <v>26</v>
      </c>
      <c r="I359" s="3558"/>
      <c r="J359" s="3558"/>
      <c r="K359" s="3558"/>
      <c r="L359" s="3558"/>
      <c r="M359" s="3558"/>
      <c r="N359" s="3558"/>
      <c r="O359" s="3558"/>
      <c r="P359" s="3558"/>
      <c r="Q359" s="3558"/>
      <c r="R359" s="3558"/>
      <c r="S359" s="1266"/>
      <c r="T359" s="1266"/>
      <c r="U359" s="1266"/>
      <c r="V359" s="1266"/>
      <c r="W359" s="1266"/>
      <c r="X359" s="1266"/>
      <c r="Y359" s="1266"/>
      <c r="Z359" s="1266"/>
      <c r="AA359" s="1266"/>
      <c r="AB359" s="1266"/>
      <c r="AC359" s="1266"/>
      <c r="AD359" s="1266"/>
    </row>
    <row r="360" spans="1:30" s="501" customFormat="1" ht="15" outlineLevel="1">
      <c r="A360" s="299"/>
      <c r="B360" s="4293" t="s">
        <v>1574</v>
      </c>
      <c r="C360" s="4294" t="s">
        <v>1574</v>
      </c>
      <c r="D360" s="486">
        <v>2003</v>
      </c>
      <c r="E360" s="485">
        <v>4079</v>
      </c>
      <c r="F360" s="485">
        <v>2019</v>
      </c>
      <c r="G360" s="485">
        <v>2029</v>
      </c>
      <c r="H360" s="491">
        <f t="shared" si="147"/>
        <v>26</v>
      </c>
      <c r="I360" s="3558"/>
      <c r="J360" s="3558"/>
      <c r="K360" s="3558"/>
      <c r="L360" s="3558"/>
      <c r="M360" s="3558"/>
      <c r="N360" s="3558"/>
      <c r="O360" s="3558"/>
      <c r="P360" s="3558"/>
      <c r="Q360" s="3558"/>
      <c r="R360" s="3558"/>
      <c r="S360" s="1266"/>
      <c r="T360" s="1266"/>
      <c r="U360" s="1266"/>
      <c r="V360" s="1266"/>
      <c r="W360" s="1266"/>
      <c r="X360" s="1266"/>
      <c r="Y360" s="1266"/>
      <c r="Z360" s="1266"/>
      <c r="AA360" s="1266"/>
      <c r="AB360" s="1266"/>
      <c r="AC360" s="1266"/>
      <c r="AD360" s="1266"/>
    </row>
    <row r="361" spans="1:30" s="501" customFormat="1" ht="15" outlineLevel="1">
      <c r="A361" s="299"/>
      <c r="B361" s="4293" t="s">
        <v>1574</v>
      </c>
      <c r="C361" s="4294" t="s">
        <v>1574</v>
      </c>
      <c r="D361" s="486">
        <v>2004</v>
      </c>
      <c r="E361" s="485">
        <v>1700</v>
      </c>
      <c r="F361" s="485">
        <v>2020</v>
      </c>
      <c r="G361" s="485">
        <v>2030</v>
      </c>
      <c r="H361" s="491">
        <f t="shared" si="147"/>
        <v>26</v>
      </c>
      <c r="I361" s="3558"/>
      <c r="J361" s="3558"/>
      <c r="K361" s="3558"/>
      <c r="L361" s="3558"/>
      <c r="M361" s="3558"/>
      <c r="N361" s="3558"/>
      <c r="O361" s="3558"/>
      <c r="P361" s="3558"/>
      <c r="Q361" s="3558"/>
      <c r="R361" s="3558"/>
      <c r="S361" s="1266"/>
      <c r="T361" s="1266"/>
      <c r="U361" s="1266"/>
      <c r="V361" s="1266"/>
      <c r="W361" s="1266"/>
      <c r="X361" s="1266"/>
      <c r="Y361" s="1266"/>
      <c r="Z361" s="1266"/>
      <c r="AA361" s="1266"/>
      <c r="AB361" s="1266"/>
      <c r="AC361" s="1266"/>
      <c r="AD361" s="1266"/>
    </row>
    <row r="362" spans="1:30" s="501" customFormat="1" ht="15" outlineLevel="1">
      <c r="A362" s="299"/>
      <c r="B362" s="4293" t="s">
        <v>1574</v>
      </c>
      <c r="C362" s="4294" t="s">
        <v>1574</v>
      </c>
      <c r="D362" s="486">
        <v>2005</v>
      </c>
      <c r="E362" s="485">
        <v>8184</v>
      </c>
      <c r="F362" s="485">
        <v>2021</v>
      </c>
      <c r="G362" s="485">
        <v>2031</v>
      </c>
      <c r="H362" s="491">
        <f t="shared" ref="H362:H381" si="148">G362-D362</f>
        <v>26</v>
      </c>
      <c r="I362" s="3558"/>
      <c r="J362" s="3558"/>
      <c r="K362" s="3558"/>
      <c r="L362" s="3558"/>
      <c r="M362" s="3558"/>
      <c r="N362" s="3558"/>
      <c r="O362" s="3558"/>
      <c r="P362" s="3558"/>
      <c r="Q362" s="3558"/>
      <c r="R362" s="3558"/>
      <c r="S362" s="1266"/>
      <c r="T362" s="1266"/>
      <c r="U362" s="1266"/>
      <c r="V362" s="1266"/>
      <c r="W362" s="1266"/>
      <c r="X362" s="1266"/>
      <c r="Y362" s="1266"/>
      <c r="Z362" s="1266"/>
      <c r="AA362" s="1266"/>
      <c r="AB362" s="1266"/>
      <c r="AC362" s="1266"/>
      <c r="AD362" s="1266"/>
    </row>
    <row r="363" spans="1:30" s="501" customFormat="1" ht="15" outlineLevel="1">
      <c r="A363" s="299"/>
      <c r="B363" s="4293" t="s">
        <v>1574</v>
      </c>
      <c r="C363" s="4294" t="s">
        <v>1574</v>
      </c>
      <c r="D363" s="486">
        <v>2006</v>
      </c>
      <c r="E363" s="485">
        <v>4070</v>
      </c>
      <c r="F363" s="485">
        <v>2022</v>
      </c>
      <c r="G363" s="485">
        <v>2032</v>
      </c>
      <c r="H363" s="491">
        <f t="shared" si="148"/>
        <v>26</v>
      </c>
      <c r="I363" s="3558"/>
      <c r="J363" s="3558"/>
      <c r="K363" s="3558"/>
      <c r="L363" s="3558"/>
      <c r="M363" s="3558"/>
      <c r="N363" s="3558"/>
      <c r="O363" s="3558"/>
      <c r="P363" s="3558"/>
      <c r="Q363" s="3558"/>
      <c r="R363" s="3558"/>
      <c r="S363" s="1266"/>
      <c r="T363" s="1266"/>
      <c r="U363" s="1266"/>
      <c r="V363" s="1266"/>
      <c r="W363" s="1266"/>
      <c r="X363" s="1266"/>
      <c r="Y363" s="1266"/>
      <c r="Z363" s="1266"/>
      <c r="AA363" s="1266"/>
      <c r="AB363" s="1266"/>
      <c r="AC363" s="1266"/>
      <c r="AD363" s="1266"/>
    </row>
    <row r="364" spans="1:30" s="501" customFormat="1" ht="15" outlineLevel="1">
      <c r="A364" s="299"/>
      <c r="B364" s="4293" t="s">
        <v>1575</v>
      </c>
      <c r="C364" s="4294" t="s">
        <v>1575</v>
      </c>
      <c r="D364" s="486">
        <v>1996</v>
      </c>
      <c r="E364" s="485">
        <v>13665</v>
      </c>
      <c r="F364" s="485">
        <v>2018</v>
      </c>
      <c r="G364" s="485">
        <v>2020</v>
      </c>
      <c r="H364" s="491">
        <f t="shared" si="148"/>
        <v>24</v>
      </c>
      <c r="I364" s="3558"/>
      <c r="J364" s="3558"/>
      <c r="K364" s="3558"/>
      <c r="L364" s="3558"/>
      <c r="M364" s="3558"/>
      <c r="N364" s="3558"/>
      <c r="O364" s="3558"/>
      <c r="P364" s="3558"/>
      <c r="Q364" s="3558"/>
      <c r="R364" s="3558"/>
      <c r="S364" s="1266"/>
      <c r="T364" s="1266"/>
      <c r="U364" s="1266"/>
      <c r="V364" s="1266"/>
      <c r="W364" s="1266"/>
      <c r="X364" s="1266"/>
      <c r="Y364" s="1266"/>
      <c r="Z364" s="1266"/>
      <c r="AA364" s="1266"/>
      <c r="AB364" s="1266"/>
      <c r="AC364" s="1266"/>
      <c r="AD364" s="1266"/>
    </row>
    <row r="365" spans="1:30" s="501" customFormat="1" ht="15" outlineLevel="1">
      <c r="A365" s="299"/>
      <c r="B365" s="4293" t="s">
        <v>1575</v>
      </c>
      <c r="C365" s="4294" t="s">
        <v>1575</v>
      </c>
      <c r="D365" s="486">
        <v>1997</v>
      </c>
      <c r="E365" s="485">
        <v>10950</v>
      </c>
      <c r="F365" s="485">
        <v>2017</v>
      </c>
      <c r="G365" s="485">
        <v>2018</v>
      </c>
      <c r="H365" s="491">
        <f t="shared" si="148"/>
        <v>21</v>
      </c>
      <c r="I365" s="3558"/>
      <c r="J365" s="3558"/>
      <c r="K365" s="3558"/>
      <c r="L365" s="3558"/>
      <c r="M365" s="3558"/>
      <c r="N365" s="3558"/>
      <c r="O365" s="3558"/>
      <c r="P365" s="3558"/>
      <c r="Q365" s="3558"/>
      <c r="R365" s="3558"/>
      <c r="S365" s="1266"/>
      <c r="T365" s="1266"/>
      <c r="U365" s="1266"/>
      <c r="V365" s="1266"/>
      <c r="W365" s="1266"/>
      <c r="X365" s="1266"/>
      <c r="Y365" s="1266"/>
      <c r="Z365" s="1266"/>
      <c r="AA365" s="1266"/>
      <c r="AB365" s="1266"/>
      <c r="AC365" s="1266"/>
      <c r="AD365" s="1266"/>
    </row>
    <row r="366" spans="1:30" s="501" customFormat="1" ht="15" outlineLevel="1">
      <c r="A366" s="299"/>
      <c r="B366" s="4293" t="s">
        <v>1575</v>
      </c>
      <c r="C366" s="4294" t="s">
        <v>1575</v>
      </c>
      <c r="D366" s="486">
        <v>1999</v>
      </c>
      <c r="E366" s="485">
        <v>4482</v>
      </c>
      <c r="F366" s="485">
        <v>2017</v>
      </c>
      <c r="G366" s="485">
        <v>2018</v>
      </c>
      <c r="H366" s="491">
        <f t="shared" si="148"/>
        <v>19</v>
      </c>
      <c r="I366" s="3558"/>
      <c r="J366" s="3558"/>
      <c r="K366" s="3558"/>
      <c r="L366" s="3558"/>
      <c r="M366" s="3558"/>
      <c r="N366" s="3558"/>
      <c r="O366" s="3558"/>
      <c r="P366" s="3558"/>
      <c r="Q366" s="3558"/>
      <c r="R366" s="3558"/>
      <c r="S366" s="1266"/>
      <c r="T366" s="1266"/>
      <c r="U366" s="1266"/>
      <c r="V366" s="1266"/>
      <c r="W366" s="1266"/>
      <c r="X366" s="1266"/>
      <c r="Y366" s="1266"/>
      <c r="Z366" s="1266"/>
      <c r="AA366" s="1266"/>
      <c r="AB366" s="1266"/>
      <c r="AC366" s="1266"/>
      <c r="AD366" s="1266"/>
    </row>
    <row r="367" spans="1:30" s="501" customFormat="1" ht="15" outlineLevel="1">
      <c r="A367" s="299"/>
      <c r="B367" s="4293" t="s">
        <v>1575</v>
      </c>
      <c r="C367" s="4294" t="s">
        <v>1575</v>
      </c>
      <c r="D367" s="486">
        <v>2000</v>
      </c>
      <c r="E367" s="485">
        <v>7097</v>
      </c>
      <c r="F367" s="485">
        <v>2017</v>
      </c>
      <c r="G367" s="485">
        <v>2018</v>
      </c>
      <c r="H367" s="491">
        <f t="shared" si="148"/>
        <v>18</v>
      </c>
      <c r="I367" s="3558"/>
      <c r="J367" s="3558"/>
      <c r="K367" s="3558"/>
      <c r="L367" s="3558"/>
      <c r="M367" s="3558"/>
      <c r="N367" s="3558"/>
      <c r="O367" s="3558"/>
      <c r="P367" s="3558"/>
      <c r="Q367" s="3558"/>
      <c r="R367" s="3558"/>
      <c r="S367" s="1266"/>
      <c r="T367" s="1266"/>
      <c r="U367" s="1266"/>
      <c r="V367" s="1266"/>
      <c r="W367" s="1266"/>
      <c r="X367" s="1266"/>
      <c r="Y367" s="1266"/>
      <c r="Z367" s="1266"/>
      <c r="AA367" s="1266"/>
      <c r="AB367" s="1266"/>
      <c r="AC367" s="1266"/>
      <c r="AD367" s="1266"/>
    </row>
    <row r="368" spans="1:30" s="501" customFormat="1" ht="15" outlineLevel="1">
      <c r="A368" s="299"/>
      <c r="B368" s="4293" t="s">
        <v>1576</v>
      </c>
      <c r="C368" s="4294" t="s">
        <v>1576</v>
      </c>
      <c r="D368" s="486">
        <v>2006</v>
      </c>
      <c r="E368" s="485">
        <v>648</v>
      </c>
      <c r="F368" s="485">
        <v>2022</v>
      </c>
      <c r="G368" s="485">
        <v>2032</v>
      </c>
      <c r="H368" s="491">
        <f t="shared" si="148"/>
        <v>26</v>
      </c>
      <c r="I368" s="3558"/>
      <c r="J368" s="3558"/>
      <c r="K368" s="3558"/>
      <c r="L368" s="3558"/>
      <c r="M368" s="3558"/>
      <c r="N368" s="3558"/>
      <c r="O368" s="3558"/>
      <c r="P368" s="3558"/>
      <c r="Q368" s="3558"/>
      <c r="R368" s="3558"/>
      <c r="S368" s="1266"/>
      <c r="T368" s="1266"/>
      <c r="U368" s="1266"/>
      <c r="V368" s="1266"/>
      <c r="W368" s="1266"/>
      <c r="X368" s="1266"/>
      <c r="Y368" s="1266"/>
      <c r="Z368" s="1266"/>
      <c r="AA368" s="1266"/>
      <c r="AB368" s="1266"/>
      <c r="AC368" s="1266"/>
      <c r="AD368" s="1266"/>
    </row>
    <row r="369" spans="1:30" s="501" customFormat="1" ht="15" outlineLevel="1">
      <c r="A369" s="299"/>
      <c r="B369" s="4293" t="s">
        <v>1577</v>
      </c>
      <c r="C369" s="4294" t="s">
        <v>1577</v>
      </c>
      <c r="D369" s="486">
        <v>2004</v>
      </c>
      <c r="E369" s="485">
        <v>480</v>
      </c>
      <c r="F369" s="485">
        <v>2020</v>
      </c>
      <c r="G369" s="485">
        <v>2030</v>
      </c>
      <c r="H369" s="491">
        <f t="shared" si="148"/>
        <v>26</v>
      </c>
      <c r="I369" s="3558"/>
      <c r="J369" s="3558"/>
      <c r="K369" s="3558"/>
      <c r="L369" s="3558"/>
      <c r="M369" s="3558"/>
      <c r="N369" s="3558"/>
      <c r="O369" s="3558"/>
      <c r="P369" s="3558"/>
      <c r="Q369" s="3558"/>
      <c r="R369" s="3558"/>
      <c r="S369" s="1266"/>
      <c r="T369" s="1266"/>
      <c r="U369" s="1266"/>
      <c r="V369" s="1266"/>
      <c r="W369" s="1266"/>
      <c r="X369" s="1266"/>
      <c r="Y369" s="1266"/>
      <c r="Z369" s="1266"/>
      <c r="AA369" s="1266"/>
      <c r="AB369" s="1266"/>
      <c r="AC369" s="1266"/>
      <c r="AD369" s="1266"/>
    </row>
    <row r="370" spans="1:30" s="501" customFormat="1" ht="15" outlineLevel="1">
      <c r="A370" s="299"/>
      <c r="B370" s="4293" t="s">
        <v>1577</v>
      </c>
      <c r="C370" s="4294" t="s">
        <v>1577</v>
      </c>
      <c r="D370" s="486">
        <v>2005</v>
      </c>
      <c r="E370" s="485">
        <v>3578</v>
      </c>
      <c r="F370" s="485">
        <v>2021</v>
      </c>
      <c r="G370" s="485">
        <v>2031</v>
      </c>
      <c r="H370" s="491">
        <f t="shared" si="148"/>
        <v>26</v>
      </c>
      <c r="I370" s="3558"/>
      <c r="J370" s="3558"/>
      <c r="K370" s="3558"/>
      <c r="L370" s="3558"/>
      <c r="M370" s="3558"/>
      <c r="N370" s="3558"/>
      <c r="O370" s="3558"/>
      <c r="P370" s="3558"/>
      <c r="Q370" s="3558"/>
      <c r="R370" s="3558"/>
      <c r="S370" s="1266"/>
      <c r="T370" s="1266"/>
      <c r="U370" s="1266"/>
      <c r="V370" s="1266"/>
      <c r="W370" s="1266"/>
      <c r="X370" s="1266"/>
      <c r="Y370" s="1266"/>
      <c r="Z370" s="1266"/>
      <c r="AA370" s="1266"/>
      <c r="AB370" s="1266"/>
      <c r="AC370" s="1266"/>
      <c r="AD370" s="1266"/>
    </row>
    <row r="371" spans="1:30" s="501" customFormat="1" ht="15" outlineLevel="1">
      <c r="A371" s="299"/>
      <c r="B371" s="4293" t="s">
        <v>1577</v>
      </c>
      <c r="C371" s="4294" t="s">
        <v>1577</v>
      </c>
      <c r="D371" s="486">
        <v>2006</v>
      </c>
      <c r="E371" s="485">
        <v>4752</v>
      </c>
      <c r="F371" s="485">
        <v>2022</v>
      </c>
      <c r="G371" s="485">
        <v>2032</v>
      </c>
      <c r="H371" s="491">
        <f t="shared" si="148"/>
        <v>26</v>
      </c>
      <c r="I371" s="3558"/>
      <c r="J371" s="3558"/>
      <c r="K371" s="3558"/>
      <c r="L371" s="3558"/>
      <c r="M371" s="3558"/>
      <c r="N371" s="3558"/>
      <c r="O371" s="3558"/>
      <c r="P371" s="3558"/>
      <c r="Q371" s="3558"/>
      <c r="R371" s="3558"/>
      <c r="S371" s="1266"/>
      <c r="T371" s="1266"/>
      <c r="U371" s="1266"/>
      <c r="V371" s="1266"/>
      <c r="W371" s="1266"/>
      <c r="X371" s="1266"/>
      <c r="Y371" s="1266"/>
      <c r="Z371" s="1266"/>
      <c r="AA371" s="1266"/>
      <c r="AB371" s="1266"/>
      <c r="AC371" s="1266"/>
      <c r="AD371" s="1266"/>
    </row>
    <row r="372" spans="1:30" ht="15" outlineLevel="1">
      <c r="A372" s="299"/>
      <c r="B372" s="4293" t="s">
        <v>1578</v>
      </c>
      <c r="C372" s="4294" t="s">
        <v>1578</v>
      </c>
      <c r="D372" s="486">
        <v>2001</v>
      </c>
      <c r="E372" s="485">
        <v>944</v>
      </c>
      <c r="F372" s="485">
        <v>2017</v>
      </c>
      <c r="G372" s="485">
        <v>2027</v>
      </c>
      <c r="H372" s="491">
        <f t="shared" si="148"/>
        <v>26</v>
      </c>
      <c r="I372" s="3558"/>
      <c r="J372" s="3558"/>
      <c r="K372" s="3558"/>
      <c r="L372" s="3558"/>
      <c r="M372" s="3558"/>
      <c r="N372" s="3558"/>
      <c r="O372" s="3558"/>
      <c r="P372" s="3558"/>
      <c r="Q372" s="3558"/>
      <c r="R372" s="3558"/>
      <c r="V372"/>
      <c r="W372"/>
      <c r="X372"/>
      <c r="Y372"/>
      <c r="Z372"/>
      <c r="AA372"/>
      <c r="AB372"/>
      <c r="AC372"/>
      <c r="AD372"/>
    </row>
    <row r="373" spans="1:30" ht="15" outlineLevel="1">
      <c r="A373" s="299"/>
      <c r="B373" s="4293" t="s">
        <v>1578</v>
      </c>
      <c r="C373" s="4294" t="s">
        <v>1578</v>
      </c>
      <c r="D373" s="486">
        <v>2002</v>
      </c>
      <c r="E373" s="485">
        <v>616</v>
      </c>
      <c r="F373" s="485">
        <v>2018</v>
      </c>
      <c r="G373" s="485">
        <v>2028</v>
      </c>
      <c r="H373" s="491">
        <f t="shared" si="148"/>
        <v>26</v>
      </c>
      <c r="I373" s="3558"/>
      <c r="J373" s="3558"/>
      <c r="K373" s="3558"/>
      <c r="L373" s="3558"/>
      <c r="M373" s="3558"/>
      <c r="N373" s="3558"/>
      <c r="O373" s="3558"/>
      <c r="P373" s="3558"/>
      <c r="Q373" s="3558"/>
      <c r="R373" s="3558"/>
      <c r="V373"/>
      <c r="W373"/>
      <c r="X373"/>
      <c r="Y373"/>
      <c r="Z373"/>
      <c r="AA373"/>
      <c r="AB373"/>
      <c r="AC373"/>
      <c r="AD373"/>
    </row>
    <row r="374" spans="1:30" s="501" customFormat="1" ht="15" outlineLevel="1">
      <c r="A374" s="299"/>
      <c r="B374" s="4293" t="s">
        <v>1578</v>
      </c>
      <c r="C374" s="4294" t="s">
        <v>1578</v>
      </c>
      <c r="D374" s="486">
        <v>2003</v>
      </c>
      <c r="E374" s="485">
        <v>5442</v>
      </c>
      <c r="F374" s="485">
        <v>2019</v>
      </c>
      <c r="G374" s="485">
        <v>2029</v>
      </c>
      <c r="H374" s="491">
        <f t="shared" si="148"/>
        <v>26</v>
      </c>
      <c r="I374" s="3558"/>
      <c r="J374" s="3558"/>
      <c r="K374" s="3558"/>
      <c r="L374" s="3558"/>
      <c r="M374" s="3558"/>
      <c r="N374" s="3558"/>
      <c r="O374" s="3558"/>
      <c r="P374" s="3558"/>
      <c r="Q374" s="3558"/>
      <c r="R374" s="3558"/>
      <c r="S374" s="1266"/>
      <c r="T374" s="1266"/>
      <c r="U374" s="1266"/>
      <c r="V374" s="1266"/>
      <c r="W374" s="1266"/>
      <c r="X374" s="1266"/>
      <c r="Y374" s="1266"/>
      <c r="Z374" s="1266"/>
      <c r="AA374" s="1266"/>
      <c r="AB374" s="1266"/>
      <c r="AC374" s="1266"/>
      <c r="AD374" s="1266"/>
    </row>
    <row r="375" spans="1:30" s="501" customFormat="1" ht="15" outlineLevel="1">
      <c r="A375" s="299"/>
      <c r="B375" s="4293" t="s">
        <v>1578</v>
      </c>
      <c r="C375" s="4294" t="s">
        <v>1578</v>
      </c>
      <c r="D375" s="486">
        <v>2004</v>
      </c>
      <c r="E375" s="485">
        <v>12524</v>
      </c>
      <c r="F375" s="485">
        <v>2020</v>
      </c>
      <c r="G375" s="485">
        <v>2030</v>
      </c>
      <c r="H375" s="491">
        <f t="shared" si="148"/>
        <v>26</v>
      </c>
      <c r="I375" s="3558"/>
      <c r="J375" s="3558"/>
      <c r="K375" s="3558"/>
      <c r="L375" s="3558"/>
      <c r="M375" s="3558"/>
      <c r="N375" s="3558"/>
      <c r="O375" s="3558"/>
      <c r="P375" s="3558"/>
      <c r="Q375" s="3558"/>
      <c r="R375" s="3558"/>
      <c r="S375" s="1266"/>
      <c r="T375" s="1266"/>
      <c r="U375" s="1266"/>
      <c r="V375" s="1266"/>
      <c r="W375" s="1266"/>
      <c r="X375" s="1266"/>
      <c r="Y375" s="1266"/>
      <c r="Z375" s="1266"/>
      <c r="AA375" s="1266"/>
      <c r="AB375" s="1266"/>
      <c r="AC375" s="1266"/>
      <c r="AD375" s="1266"/>
    </row>
    <row r="376" spans="1:30" s="501" customFormat="1" ht="15" outlineLevel="1">
      <c r="A376" s="299"/>
      <c r="B376" s="4293" t="s">
        <v>1578</v>
      </c>
      <c r="C376" s="4294" t="s">
        <v>1578</v>
      </c>
      <c r="D376" s="486">
        <v>2005</v>
      </c>
      <c r="E376" s="485">
        <v>7838</v>
      </c>
      <c r="F376" s="485">
        <v>2021</v>
      </c>
      <c r="G376" s="485">
        <v>2031</v>
      </c>
      <c r="H376" s="491">
        <f t="shared" si="148"/>
        <v>26</v>
      </c>
      <c r="I376" s="3558"/>
      <c r="J376" s="3558"/>
      <c r="K376" s="3558"/>
      <c r="L376" s="3558"/>
      <c r="M376" s="3558"/>
      <c r="N376" s="3558"/>
      <c r="O376" s="3558"/>
      <c r="P376" s="3558"/>
      <c r="Q376" s="3558"/>
      <c r="R376" s="3558"/>
      <c r="S376" s="1266"/>
      <c r="T376" s="1266"/>
      <c r="U376" s="1266"/>
      <c r="V376" s="1266"/>
      <c r="W376" s="1266"/>
      <c r="X376" s="1266"/>
      <c r="Y376" s="1266"/>
      <c r="Z376" s="1266"/>
      <c r="AA376" s="1266"/>
      <c r="AB376" s="1266"/>
      <c r="AC376" s="1266"/>
      <c r="AD376" s="1266"/>
    </row>
    <row r="377" spans="1:30" ht="15" outlineLevel="1">
      <c r="A377" s="299"/>
      <c r="B377" s="4293" t="s">
        <v>1578</v>
      </c>
      <c r="C377" s="4294" t="s">
        <v>1578</v>
      </c>
      <c r="D377" s="486">
        <v>2006</v>
      </c>
      <c r="E377" s="485">
        <v>4292</v>
      </c>
      <c r="F377" s="485">
        <v>2022</v>
      </c>
      <c r="G377" s="485">
        <v>2032</v>
      </c>
      <c r="H377" s="491">
        <f t="shared" si="148"/>
        <v>26</v>
      </c>
      <c r="I377" s="3558"/>
      <c r="J377" s="3558"/>
      <c r="K377" s="3558"/>
      <c r="L377" s="3558"/>
      <c r="M377" s="3558"/>
      <c r="N377" s="3558"/>
      <c r="O377" s="3558"/>
      <c r="P377" s="3558"/>
      <c r="Q377" s="3558"/>
      <c r="R377" s="3558"/>
      <c r="V377"/>
      <c r="W377"/>
      <c r="X377"/>
      <c r="Y377"/>
      <c r="Z377"/>
      <c r="AA377"/>
      <c r="AB377"/>
      <c r="AC377"/>
      <c r="AD377"/>
    </row>
    <row r="378" spans="1:30" s="501" customFormat="1" ht="15" outlineLevel="1">
      <c r="A378" s="299"/>
      <c r="B378" s="4293" t="s">
        <v>1579</v>
      </c>
      <c r="C378" s="4294" t="s">
        <v>1579</v>
      </c>
      <c r="D378" s="486">
        <v>1998</v>
      </c>
      <c r="E378" s="485">
        <v>319</v>
      </c>
      <c r="F378" s="485">
        <v>2019</v>
      </c>
      <c r="G378" s="485">
        <v>2024</v>
      </c>
      <c r="H378" s="491">
        <f t="shared" si="148"/>
        <v>26</v>
      </c>
      <c r="I378" s="3558"/>
      <c r="J378" s="3558"/>
      <c r="K378" s="3558"/>
      <c r="L378" s="3558"/>
      <c r="M378" s="3558"/>
      <c r="N378" s="3558"/>
      <c r="O378" s="3558"/>
      <c r="P378" s="3558"/>
      <c r="Q378" s="3558"/>
      <c r="R378" s="3558"/>
      <c r="S378" s="1266"/>
      <c r="T378" s="1266"/>
      <c r="U378" s="1266"/>
      <c r="V378" s="1266"/>
      <c r="W378" s="1266"/>
      <c r="X378" s="1266"/>
      <c r="Y378" s="1266"/>
      <c r="Z378" s="1266"/>
      <c r="AA378" s="1266"/>
      <c r="AB378" s="1266"/>
      <c r="AC378" s="1266"/>
      <c r="AD378" s="1266"/>
    </row>
    <row r="379" spans="1:30" ht="15" outlineLevel="1">
      <c r="A379" s="299"/>
      <c r="B379" s="4293" t="s">
        <v>1579</v>
      </c>
      <c r="C379" s="4294" t="s">
        <v>1579</v>
      </c>
      <c r="D379" s="486">
        <v>1999</v>
      </c>
      <c r="E379" s="485">
        <v>568</v>
      </c>
      <c r="F379" s="485">
        <v>2020</v>
      </c>
      <c r="G379" s="485">
        <v>2025</v>
      </c>
      <c r="H379" s="491">
        <f t="shared" si="148"/>
        <v>26</v>
      </c>
      <c r="I379" s="3558"/>
      <c r="J379" s="3558"/>
      <c r="K379" s="3558"/>
      <c r="L379" s="3558"/>
      <c r="M379" s="3558"/>
      <c r="N379" s="3558"/>
      <c r="O379" s="3558"/>
      <c r="P379" s="3558"/>
      <c r="Q379" s="3558"/>
      <c r="R379" s="3558"/>
      <c r="V379"/>
      <c r="W379"/>
      <c r="X379"/>
      <c r="Y379"/>
      <c r="Z379"/>
      <c r="AA379"/>
      <c r="AB379"/>
      <c r="AC379"/>
      <c r="AD379"/>
    </row>
    <row r="380" spans="1:30" ht="15" outlineLevel="1">
      <c r="A380" s="299"/>
      <c r="B380" s="4293" t="s">
        <v>1579</v>
      </c>
      <c r="C380" s="4294" t="s">
        <v>1579</v>
      </c>
      <c r="D380" s="486">
        <v>2000</v>
      </c>
      <c r="E380" s="485">
        <v>450</v>
      </c>
      <c r="F380" s="485">
        <v>2019</v>
      </c>
      <c r="G380" s="485">
        <v>2021</v>
      </c>
      <c r="H380" s="491">
        <f t="shared" si="148"/>
        <v>21</v>
      </c>
      <c r="I380" s="3558"/>
      <c r="J380" s="3558"/>
      <c r="K380" s="3558"/>
      <c r="L380" s="3558"/>
      <c r="M380" s="3558"/>
      <c r="N380" s="3558"/>
      <c r="O380" s="3558"/>
      <c r="P380" s="3558"/>
      <c r="Q380" s="3558"/>
      <c r="R380" s="3558"/>
      <c r="V380"/>
      <c r="W380"/>
      <c r="X380"/>
      <c r="Y380"/>
      <c r="Z380"/>
      <c r="AA380"/>
      <c r="AB380"/>
      <c r="AC380"/>
      <c r="AD380"/>
    </row>
    <row r="381" spans="1:30" ht="15.75" outlineLevel="1" thickBot="1">
      <c r="A381" s="299"/>
      <c r="B381" s="4295" t="s">
        <v>1579</v>
      </c>
      <c r="C381" s="4296" t="s">
        <v>1579</v>
      </c>
      <c r="D381" s="1524">
        <v>2001</v>
      </c>
      <c r="E381" s="442">
        <v>296</v>
      </c>
      <c r="F381" s="442">
        <v>2017</v>
      </c>
      <c r="G381" s="442">
        <v>2027</v>
      </c>
      <c r="H381" s="535">
        <f t="shared" si="148"/>
        <v>26</v>
      </c>
      <c r="I381" s="3558"/>
      <c r="J381" s="3558"/>
      <c r="K381" s="3558"/>
      <c r="L381" s="3558"/>
      <c r="M381" s="3558"/>
      <c r="N381" s="3558"/>
      <c r="O381" s="3558"/>
      <c r="P381" s="3558"/>
      <c r="Q381" s="3558"/>
      <c r="R381" s="3558"/>
      <c r="V381"/>
      <c r="W381"/>
      <c r="X381"/>
      <c r="Y381"/>
      <c r="Z381"/>
      <c r="AA381"/>
      <c r="AB381"/>
      <c r="AC381"/>
      <c r="AD381"/>
    </row>
    <row r="382" spans="1:30">
      <c r="A382" s="299"/>
      <c r="B382" s="3573" t="str">
        <f>CONCATENATE("*Only relates to meters expected to fail or be tested in the period  ", FRCP_span)</f>
        <v>*Only relates to meters expected to fail or be tested in the period  2018 to 2022</v>
      </c>
      <c r="C382" s="3573" t="str">
        <f>CONCATENATE("*Only relates to meters expected to fail or be tested in the period  ", FRCP_span)</f>
        <v>*Only relates to meters expected to fail or be tested in the period  2018 to 2022</v>
      </c>
      <c r="D382" s="3573"/>
      <c r="E382" s="3573"/>
      <c r="F382" s="3573"/>
      <c r="G382" s="3558"/>
      <c r="H382" s="3558"/>
      <c r="I382" s="3558"/>
      <c r="J382" s="3558"/>
      <c r="K382" s="3558"/>
      <c r="L382" s="3558"/>
      <c r="M382" s="3558"/>
      <c r="N382" s="3558"/>
      <c r="O382" s="3558"/>
      <c r="P382" s="3558"/>
      <c r="Q382" s="3558"/>
      <c r="R382" s="3558"/>
      <c r="V382"/>
      <c r="W382"/>
      <c r="X382"/>
      <c r="Y382"/>
      <c r="Z382"/>
      <c r="AA382"/>
      <c r="AB382"/>
      <c r="AC382"/>
      <c r="AD382"/>
    </row>
    <row r="383" spans="1:30" s="78" customFormat="1" ht="43.5" customHeight="1" thickBot="1">
      <c r="A383" s="299"/>
      <c r="B383" s="3556"/>
      <c r="C383" s="3556"/>
      <c r="D383" s="3554"/>
      <c r="E383" s="3554"/>
      <c r="F383" s="3554"/>
      <c r="G383" s="3554"/>
      <c r="H383" s="3554"/>
      <c r="I383" s="2274"/>
      <c r="J383" s="2274"/>
      <c r="K383" s="2274"/>
      <c r="L383" s="2274"/>
      <c r="M383" s="2274"/>
      <c r="N383" s="2274"/>
      <c r="O383" s="2274"/>
      <c r="P383" s="2274"/>
      <c r="Q383" s="2274"/>
      <c r="R383" s="2274"/>
      <c r="S383"/>
      <c r="T383"/>
      <c r="U383"/>
      <c r="V383"/>
      <c r="W383"/>
      <c r="X383"/>
      <c r="Y383"/>
      <c r="Z383"/>
      <c r="AA383"/>
      <c r="AB383"/>
      <c r="AC383"/>
      <c r="AD383"/>
    </row>
    <row r="384" spans="1:30" s="223" customFormat="1" ht="24.75" customHeight="1" thickBot="1">
      <c r="A384" s="299"/>
      <c r="B384" s="3546" t="s">
        <v>511</v>
      </c>
      <c r="C384" s="3546"/>
      <c r="D384" s="3571"/>
      <c r="E384" s="3571"/>
      <c r="F384" s="3571"/>
      <c r="G384" s="3547"/>
      <c r="H384" s="3547"/>
      <c r="I384" s="3547"/>
      <c r="J384" s="3547"/>
      <c r="K384" s="3547"/>
      <c r="L384" s="3547"/>
      <c r="M384" s="3547"/>
      <c r="N384" s="3547"/>
      <c r="O384" s="3547"/>
      <c r="P384" s="3547"/>
      <c r="Q384" s="3547"/>
      <c r="R384" s="3548"/>
      <c r="S384" s="1266"/>
      <c r="T384" s="1266"/>
      <c r="U384" s="1266"/>
      <c r="V384"/>
      <c r="W384"/>
      <c r="X384"/>
      <c r="Y384"/>
      <c r="Z384"/>
      <c r="AA384"/>
      <c r="AB384"/>
      <c r="AC384"/>
      <c r="AD384"/>
    </row>
    <row r="385" spans="1:30" s="501" customFormat="1" ht="22.5" customHeight="1" thickBot="1">
      <c r="B385" s="4353"/>
      <c r="C385" s="4354"/>
      <c r="D385" s="4279">
        <f>CRCP_y1</f>
        <v>2013</v>
      </c>
      <c r="E385" s="4280"/>
      <c r="F385" s="4281"/>
      <c r="G385" s="4282">
        <f>CRCP_y2</f>
        <v>2014</v>
      </c>
      <c r="H385" s="4282"/>
      <c r="I385" s="4283"/>
      <c r="J385" s="4284">
        <f>CRCP_y3</f>
        <v>2015</v>
      </c>
      <c r="K385" s="4285"/>
      <c r="L385" s="4286"/>
      <c r="M385" s="4287">
        <f>CRCP_y4</f>
        <v>2016</v>
      </c>
      <c r="N385" s="4282"/>
      <c r="O385" s="4283"/>
      <c r="P385" s="4288">
        <f>CRCP_y5</f>
        <v>2017</v>
      </c>
      <c r="Q385" s="4289"/>
      <c r="R385" s="4290"/>
      <c r="S385"/>
      <c r="T385"/>
      <c r="U385"/>
      <c r="V385"/>
      <c r="W385"/>
      <c r="X385"/>
      <c r="Y385"/>
      <c r="Z385"/>
      <c r="AA385"/>
      <c r="AB385"/>
      <c r="AC385"/>
      <c r="AD385"/>
    </row>
    <row r="386" spans="1:30" s="501" customFormat="1" ht="73.5" customHeight="1">
      <c r="B386" s="4355"/>
      <c r="C386" s="4356"/>
      <c r="D386" s="3269" t="s">
        <v>181</v>
      </c>
      <c r="E386" s="3270" t="s">
        <v>179</v>
      </c>
      <c r="F386" s="3271" t="s">
        <v>182</v>
      </c>
      <c r="G386" s="3643" t="s">
        <v>181</v>
      </c>
      <c r="H386" s="3644" t="s">
        <v>179</v>
      </c>
      <c r="I386" s="3272" t="s">
        <v>182</v>
      </c>
      <c r="J386" s="3273" t="s">
        <v>181</v>
      </c>
      <c r="K386" s="3274" t="s">
        <v>179</v>
      </c>
      <c r="L386" s="3275" t="s">
        <v>182</v>
      </c>
      <c r="M386" s="3643" t="s">
        <v>181</v>
      </c>
      <c r="N386" s="3644" t="s">
        <v>179</v>
      </c>
      <c r="O386" s="3272" t="s">
        <v>182</v>
      </c>
      <c r="P386" s="3273" t="s">
        <v>181</v>
      </c>
      <c r="Q386" s="3274" t="s">
        <v>179</v>
      </c>
      <c r="R386" s="3574" t="s">
        <v>182</v>
      </c>
      <c r="S386"/>
      <c r="T386"/>
      <c r="U386"/>
      <c r="V386"/>
      <c r="W386"/>
      <c r="X386"/>
      <c r="Y386"/>
      <c r="Z386"/>
      <c r="AA386"/>
      <c r="AB386"/>
      <c r="AC386"/>
      <c r="AD386"/>
    </row>
    <row r="387" spans="1:30" s="501" customFormat="1" ht="25.5" customHeight="1" thickBot="1">
      <c r="B387" s="4357"/>
      <c r="C387" s="4358"/>
      <c r="D387" s="3276" t="s">
        <v>404</v>
      </c>
      <c r="E387" s="3277" t="s">
        <v>357</v>
      </c>
      <c r="F387" s="3278"/>
      <c r="G387" s="3266" t="s">
        <v>404</v>
      </c>
      <c r="H387" s="3267" t="s">
        <v>357</v>
      </c>
      <c r="I387" s="3279"/>
      <c r="J387" s="3276" t="s">
        <v>404</v>
      </c>
      <c r="K387" s="3277" t="s">
        <v>357</v>
      </c>
      <c r="L387" s="3278"/>
      <c r="M387" s="3266" t="s">
        <v>404</v>
      </c>
      <c r="N387" s="3267" t="s">
        <v>357</v>
      </c>
      <c r="O387" s="3279"/>
      <c r="P387" s="3276" t="s">
        <v>404</v>
      </c>
      <c r="Q387" s="3277" t="s">
        <v>357</v>
      </c>
      <c r="R387" s="3575"/>
      <c r="S387"/>
      <c r="T387"/>
      <c r="U387"/>
      <c r="V387"/>
      <c r="W387"/>
      <c r="X387"/>
      <c r="Y387"/>
      <c r="Z387"/>
      <c r="AA387"/>
      <c r="AB387"/>
      <c r="AC387"/>
      <c r="AD387"/>
    </row>
    <row r="388" spans="1:30" s="501" customFormat="1" ht="15" outlineLevel="1">
      <c r="A388" s="299"/>
      <c r="B388" s="4359" t="s">
        <v>1580</v>
      </c>
      <c r="C388" s="4360"/>
      <c r="D388" s="3280">
        <v>1997</v>
      </c>
      <c r="E388" s="519">
        <v>367</v>
      </c>
      <c r="F388" s="531" t="s">
        <v>1581</v>
      </c>
      <c r="G388" s="3280">
        <v>1998</v>
      </c>
      <c r="H388" s="519">
        <v>2848</v>
      </c>
      <c r="I388" s="531" t="s">
        <v>1581</v>
      </c>
      <c r="J388" s="3280">
        <v>1999</v>
      </c>
      <c r="K388" s="519">
        <v>4226</v>
      </c>
      <c r="L388" s="531" t="s">
        <v>1581</v>
      </c>
      <c r="M388" s="3280">
        <v>2000</v>
      </c>
      <c r="N388" s="519">
        <v>4641</v>
      </c>
      <c r="O388" s="531" t="s">
        <v>1581</v>
      </c>
      <c r="P388" s="443"/>
      <c r="Q388" s="519"/>
      <c r="R388" s="531"/>
      <c r="S388"/>
      <c r="T388"/>
      <c r="U388"/>
      <c r="V388"/>
      <c r="W388"/>
      <c r="X388"/>
      <c r="Y388"/>
      <c r="Z388"/>
      <c r="AA388"/>
      <c r="AB388"/>
      <c r="AC388"/>
      <c r="AD388"/>
    </row>
    <row r="389" spans="1:30" s="501" customFormat="1" ht="15" outlineLevel="1">
      <c r="A389" s="299"/>
      <c r="B389" s="4293" t="s">
        <v>1582</v>
      </c>
      <c r="C389" s="4294"/>
      <c r="D389" s="1129">
        <v>1985</v>
      </c>
      <c r="E389" s="485">
        <v>10292</v>
      </c>
      <c r="F389" s="531" t="s">
        <v>1583</v>
      </c>
      <c r="G389" s="1129">
        <v>1992</v>
      </c>
      <c r="H389" s="485">
        <v>24047</v>
      </c>
      <c r="I389" s="531" t="s">
        <v>1581</v>
      </c>
      <c r="J389" s="1129"/>
      <c r="K389" s="485"/>
      <c r="L389" s="487"/>
      <c r="M389" s="1129">
        <v>1985</v>
      </c>
      <c r="N389" s="485">
        <v>9902</v>
      </c>
      <c r="O389" s="531" t="s">
        <v>1584</v>
      </c>
      <c r="P389" s="486"/>
      <c r="Q389" s="485"/>
      <c r="R389" s="487"/>
      <c r="S389"/>
      <c r="T389"/>
      <c r="U389"/>
      <c r="V389"/>
      <c r="W389"/>
      <c r="X389"/>
      <c r="Y389"/>
      <c r="Z389"/>
      <c r="AA389"/>
      <c r="AB389"/>
      <c r="AC389"/>
      <c r="AD389"/>
    </row>
    <row r="390" spans="1:30" s="501" customFormat="1" ht="15" outlineLevel="1">
      <c r="A390" s="299"/>
      <c r="B390" s="4293" t="s">
        <v>1582</v>
      </c>
      <c r="C390" s="4294"/>
      <c r="D390" s="1129">
        <v>1988</v>
      </c>
      <c r="E390" s="485">
        <v>25251</v>
      </c>
      <c r="F390" s="531" t="s">
        <v>1583</v>
      </c>
      <c r="G390" s="1129"/>
      <c r="H390" s="485"/>
      <c r="I390" s="487"/>
      <c r="J390" s="1129"/>
      <c r="K390" s="485"/>
      <c r="L390" s="487"/>
      <c r="M390" s="1129">
        <v>1988</v>
      </c>
      <c r="N390" s="485">
        <v>24149</v>
      </c>
      <c r="O390" s="531" t="s">
        <v>1584</v>
      </c>
      <c r="P390" s="486"/>
      <c r="Q390" s="485"/>
      <c r="R390" s="487"/>
      <c r="S390" s="1266"/>
      <c r="T390" s="1266"/>
      <c r="U390" s="1266"/>
      <c r="V390" s="1266"/>
      <c r="W390" s="1266"/>
      <c r="X390" s="1266"/>
      <c r="Y390" s="1266"/>
      <c r="Z390" s="1266"/>
      <c r="AA390" s="1266"/>
      <c r="AB390" s="1266"/>
      <c r="AC390" s="1266"/>
      <c r="AD390" s="1266"/>
    </row>
    <row r="391" spans="1:30" s="501" customFormat="1" ht="15" outlineLevel="1">
      <c r="A391" s="299"/>
      <c r="B391" s="4293" t="s">
        <v>1582</v>
      </c>
      <c r="C391" s="4294"/>
      <c r="D391" s="1129">
        <v>1991</v>
      </c>
      <c r="E391" s="485">
        <v>17232</v>
      </c>
      <c r="F391" s="531" t="s">
        <v>1583</v>
      </c>
      <c r="G391" s="1129"/>
      <c r="H391" s="485"/>
      <c r="I391" s="487"/>
      <c r="J391" s="1129"/>
      <c r="K391" s="485"/>
      <c r="L391" s="487"/>
      <c r="M391" s="1129">
        <v>1991</v>
      </c>
      <c r="N391" s="485">
        <v>16615</v>
      </c>
      <c r="O391" s="531" t="s">
        <v>1583</v>
      </c>
      <c r="P391" s="486"/>
      <c r="Q391" s="485"/>
      <c r="R391" s="487"/>
      <c r="S391" s="1266"/>
      <c r="T391" s="1266"/>
      <c r="U391" s="1266"/>
      <c r="V391" s="1266"/>
      <c r="W391" s="1266"/>
      <c r="X391" s="1266"/>
      <c r="Y391" s="1266"/>
      <c r="Z391" s="1266"/>
      <c r="AA391" s="1266"/>
      <c r="AB391" s="1266"/>
      <c r="AC391" s="1266"/>
      <c r="AD391" s="1266"/>
    </row>
    <row r="392" spans="1:30" s="501" customFormat="1" ht="15" outlineLevel="1">
      <c r="A392" s="299"/>
      <c r="B392" s="4293" t="s">
        <v>1582</v>
      </c>
      <c r="C392" s="4294"/>
      <c r="D392" s="1129">
        <v>1993</v>
      </c>
      <c r="E392" s="485">
        <v>22889</v>
      </c>
      <c r="F392" s="531" t="s">
        <v>1584</v>
      </c>
      <c r="G392" s="1129"/>
      <c r="H392" s="485"/>
      <c r="I392" s="487"/>
      <c r="J392" s="1129"/>
      <c r="K392" s="485"/>
      <c r="L392" s="487"/>
      <c r="M392" s="1129">
        <v>1994</v>
      </c>
      <c r="N392" s="485">
        <v>17044</v>
      </c>
      <c r="O392" s="531" t="s">
        <v>1583</v>
      </c>
      <c r="P392" s="486"/>
      <c r="Q392" s="485"/>
      <c r="R392" s="487"/>
      <c r="S392" s="1266"/>
      <c r="T392" s="1266"/>
      <c r="U392" s="1266"/>
      <c r="V392" s="1266"/>
      <c r="W392" s="1266"/>
      <c r="X392" s="1266"/>
      <c r="Y392" s="1266"/>
      <c r="Z392" s="1266"/>
      <c r="AA392" s="1266"/>
      <c r="AB392" s="1266"/>
      <c r="AC392" s="1266"/>
      <c r="AD392" s="1266"/>
    </row>
    <row r="393" spans="1:30" s="501" customFormat="1" ht="15" outlineLevel="1">
      <c r="A393" s="299"/>
      <c r="B393" s="4293" t="s">
        <v>1582</v>
      </c>
      <c r="C393" s="4294"/>
      <c r="D393" s="1129">
        <v>1994</v>
      </c>
      <c r="E393" s="485">
        <v>17512</v>
      </c>
      <c r="F393" s="531" t="s">
        <v>1583</v>
      </c>
      <c r="G393" s="1129"/>
      <c r="H393" s="485"/>
      <c r="I393" s="487"/>
      <c r="J393" s="1129"/>
      <c r="K393" s="485"/>
      <c r="L393" s="487"/>
      <c r="M393" s="1129"/>
      <c r="N393" s="485"/>
      <c r="O393" s="487"/>
      <c r="P393" s="486"/>
      <c r="Q393" s="485"/>
      <c r="R393" s="487"/>
      <c r="S393" s="1266"/>
      <c r="T393" s="1266"/>
      <c r="U393" s="1266"/>
      <c r="V393" s="1266"/>
      <c r="W393" s="1266"/>
      <c r="X393" s="1266"/>
      <c r="Y393" s="1266"/>
      <c r="Z393" s="1266"/>
      <c r="AA393" s="1266"/>
      <c r="AB393" s="1266"/>
      <c r="AC393" s="1266"/>
      <c r="AD393" s="1266"/>
    </row>
    <row r="394" spans="1:30" s="501" customFormat="1" ht="15" outlineLevel="1">
      <c r="A394" s="299"/>
      <c r="B394" s="4293" t="s">
        <v>1582</v>
      </c>
      <c r="C394" s="4294"/>
      <c r="D394" s="1129">
        <v>1997</v>
      </c>
      <c r="E394" s="485">
        <v>1298</v>
      </c>
      <c r="F394" s="531" t="s">
        <v>1581</v>
      </c>
      <c r="G394" s="1129"/>
      <c r="H394" s="485"/>
      <c r="I394" s="487"/>
      <c r="J394" s="1129"/>
      <c r="K394" s="485"/>
      <c r="L394" s="487"/>
      <c r="M394" s="1129"/>
      <c r="N394" s="485"/>
      <c r="O394" s="487"/>
      <c r="P394" s="486"/>
      <c r="Q394" s="485"/>
      <c r="R394" s="487"/>
      <c r="S394" s="1266"/>
      <c r="T394" s="1266"/>
      <c r="U394" s="1266"/>
      <c r="V394" s="1266"/>
      <c r="W394" s="1266"/>
      <c r="X394" s="1266"/>
      <c r="Y394" s="1266"/>
      <c r="Z394" s="1266"/>
      <c r="AA394" s="1266"/>
      <c r="AB394" s="1266"/>
      <c r="AC394" s="1266"/>
      <c r="AD394" s="1266"/>
    </row>
    <row r="395" spans="1:30" s="501" customFormat="1" ht="15" outlineLevel="1">
      <c r="A395" s="299"/>
      <c r="B395" s="3637" t="s">
        <v>1585</v>
      </c>
      <c r="C395" s="3638"/>
      <c r="D395" s="1129">
        <v>1992</v>
      </c>
      <c r="E395" s="485">
        <v>12331</v>
      </c>
      <c r="F395" s="531" t="s">
        <v>1584</v>
      </c>
      <c r="G395" s="1129">
        <v>1992</v>
      </c>
      <c r="H395" s="485">
        <v>12331</v>
      </c>
      <c r="I395" s="531" t="s">
        <v>1584</v>
      </c>
      <c r="J395" s="1129">
        <v>1991</v>
      </c>
      <c r="K395" s="485">
        <v>12899</v>
      </c>
      <c r="L395" s="531" t="s">
        <v>1583</v>
      </c>
      <c r="M395" s="1129">
        <v>1997</v>
      </c>
      <c r="N395" s="485">
        <v>1684</v>
      </c>
      <c r="O395" s="531" t="s">
        <v>1583</v>
      </c>
      <c r="P395" s="486"/>
      <c r="Q395" s="485"/>
      <c r="R395" s="487"/>
      <c r="S395" s="1266"/>
      <c r="T395" s="1266"/>
      <c r="U395" s="1266"/>
      <c r="V395" s="1266"/>
      <c r="W395" s="1266"/>
      <c r="X395" s="1266"/>
      <c r="Y395" s="1266"/>
      <c r="Z395" s="1266"/>
      <c r="AA395" s="1266"/>
      <c r="AB395" s="1266"/>
      <c r="AC395" s="1266"/>
      <c r="AD395" s="1266"/>
    </row>
    <row r="396" spans="1:30" s="501" customFormat="1" ht="15" outlineLevel="1">
      <c r="A396" s="299"/>
      <c r="B396" s="3637" t="s">
        <v>1585</v>
      </c>
      <c r="C396" s="3638"/>
      <c r="D396" s="1129">
        <v>1995</v>
      </c>
      <c r="E396" s="485">
        <v>1033</v>
      </c>
      <c r="F396" s="531" t="s">
        <v>1581</v>
      </c>
      <c r="G396" s="1129"/>
      <c r="H396" s="485"/>
      <c r="I396" s="487"/>
      <c r="J396" s="1129">
        <v>1992</v>
      </c>
      <c r="K396" s="485">
        <v>12331</v>
      </c>
      <c r="L396" s="531" t="s">
        <v>1584</v>
      </c>
      <c r="M396" s="1129">
        <v>1999</v>
      </c>
      <c r="N396" s="485">
        <v>7879</v>
      </c>
      <c r="O396" s="531" t="s">
        <v>1583</v>
      </c>
      <c r="P396" s="486"/>
      <c r="Q396" s="485"/>
      <c r="R396" s="487"/>
      <c r="S396" s="1266"/>
      <c r="T396" s="1266"/>
      <c r="U396" s="1266"/>
      <c r="V396" s="1266"/>
      <c r="W396" s="1266"/>
      <c r="X396" s="1266"/>
      <c r="Y396" s="1266"/>
      <c r="Z396" s="1266"/>
      <c r="AA396" s="1266"/>
      <c r="AB396" s="1266"/>
      <c r="AC396" s="1266"/>
      <c r="AD396" s="1266"/>
    </row>
    <row r="397" spans="1:30" s="501" customFormat="1" ht="15" outlineLevel="1">
      <c r="A397" s="299"/>
      <c r="B397" s="3637" t="s">
        <v>1585</v>
      </c>
      <c r="C397" s="3638"/>
      <c r="D397" s="1129">
        <v>1997</v>
      </c>
      <c r="E397" s="485">
        <v>1806</v>
      </c>
      <c r="F397" s="531" t="s">
        <v>1583</v>
      </c>
      <c r="G397" s="1129"/>
      <c r="H397" s="485"/>
      <c r="I397" s="487"/>
      <c r="J397" s="1129">
        <v>1996</v>
      </c>
      <c r="K397" s="485">
        <v>1597</v>
      </c>
      <c r="L397" s="531" t="s">
        <v>1581</v>
      </c>
      <c r="M397" s="1129">
        <v>2000</v>
      </c>
      <c r="N397" s="485">
        <v>4252</v>
      </c>
      <c r="O397" s="531" t="s">
        <v>1584</v>
      </c>
      <c r="P397" s="486"/>
      <c r="Q397" s="485"/>
      <c r="R397" s="487"/>
      <c r="S397" s="1266"/>
      <c r="T397" s="1266"/>
      <c r="U397" s="1266"/>
      <c r="V397" s="1266"/>
      <c r="W397" s="1266"/>
      <c r="X397" s="1266"/>
      <c r="Y397" s="1266"/>
      <c r="Z397" s="1266"/>
      <c r="AA397" s="1266"/>
      <c r="AB397" s="1266"/>
      <c r="AC397" s="1266"/>
      <c r="AD397" s="1266"/>
    </row>
    <row r="398" spans="1:30" s="501" customFormat="1" ht="15" outlineLevel="1">
      <c r="A398" s="299"/>
      <c r="B398" s="3637" t="s">
        <v>1585</v>
      </c>
      <c r="C398" s="3638"/>
      <c r="D398" s="1129"/>
      <c r="E398" s="485"/>
      <c r="F398" s="531"/>
      <c r="G398" s="1129"/>
      <c r="H398" s="485"/>
      <c r="I398" s="531"/>
      <c r="J398" s="1129">
        <v>1999</v>
      </c>
      <c r="K398" s="485">
        <v>8038</v>
      </c>
      <c r="L398" s="531" t="s">
        <v>1584</v>
      </c>
      <c r="M398" s="1129"/>
      <c r="N398" s="485"/>
      <c r="O398" s="487"/>
      <c r="P398" s="486"/>
      <c r="Q398" s="485"/>
      <c r="R398" s="487"/>
      <c r="S398" s="1266"/>
      <c r="T398" s="1266"/>
      <c r="U398" s="1266"/>
      <c r="V398" s="1266"/>
      <c r="W398" s="1266"/>
      <c r="X398" s="1266"/>
      <c r="Y398" s="1266"/>
      <c r="Z398" s="1266"/>
      <c r="AA398" s="1266"/>
      <c r="AB398" s="1266"/>
      <c r="AC398" s="1266"/>
      <c r="AD398" s="1266"/>
    </row>
    <row r="399" spans="1:30" s="501" customFormat="1" ht="15" outlineLevel="1">
      <c r="A399" s="299"/>
      <c r="B399" s="3637" t="s">
        <v>1586</v>
      </c>
      <c r="C399" s="3638"/>
      <c r="D399" s="1129"/>
      <c r="E399" s="485"/>
      <c r="F399" s="531"/>
      <c r="G399" s="1129"/>
      <c r="H399" s="485"/>
      <c r="I399" s="531"/>
      <c r="J399" s="1129"/>
      <c r="K399" s="485"/>
      <c r="L399" s="531"/>
      <c r="M399" s="1129">
        <v>2000</v>
      </c>
      <c r="N399" s="485">
        <v>1657</v>
      </c>
      <c r="O399" s="531" t="s">
        <v>1583</v>
      </c>
      <c r="P399" s="486"/>
      <c r="Q399" s="485"/>
      <c r="R399" s="487"/>
      <c r="S399" s="1266"/>
      <c r="T399" s="1266"/>
      <c r="U399" s="1266"/>
      <c r="V399" s="1266"/>
      <c r="W399" s="1266"/>
      <c r="X399" s="1266"/>
      <c r="Y399" s="1266"/>
      <c r="Z399" s="1266"/>
      <c r="AA399" s="1266"/>
      <c r="AB399" s="1266"/>
      <c r="AC399" s="1266"/>
      <c r="AD399" s="1266"/>
    </row>
    <row r="400" spans="1:30" s="501" customFormat="1" ht="15" outlineLevel="1">
      <c r="A400" s="299"/>
      <c r="B400" s="3637" t="s">
        <v>1587</v>
      </c>
      <c r="C400" s="3638"/>
      <c r="D400" s="1129">
        <v>1997</v>
      </c>
      <c r="E400" s="485">
        <v>1834</v>
      </c>
      <c r="F400" s="531" t="s">
        <v>1584</v>
      </c>
      <c r="G400" s="1129">
        <v>1998</v>
      </c>
      <c r="H400" s="485">
        <v>3363</v>
      </c>
      <c r="I400" s="531" t="s">
        <v>1584</v>
      </c>
      <c r="J400" s="1129">
        <v>1998</v>
      </c>
      <c r="K400" s="485">
        <v>3363</v>
      </c>
      <c r="L400" s="531" t="s">
        <v>1584</v>
      </c>
      <c r="M400" s="1129"/>
      <c r="N400" s="485"/>
      <c r="O400" s="487"/>
      <c r="P400" s="486"/>
      <c r="Q400" s="485"/>
      <c r="R400" s="487"/>
      <c r="S400" s="1266"/>
      <c r="T400" s="1266"/>
      <c r="U400" s="1266"/>
      <c r="V400" s="1266"/>
      <c r="W400" s="1266"/>
      <c r="X400" s="1266"/>
      <c r="Y400" s="1266"/>
      <c r="Z400" s="1266"/>
      <c r="AA400" s="1266"/>
      <c r="AB400" s="1266"/>
      <c r="AC400" s="1266"/>
      <c r="AD400" s="1266"/>
    </row>
    <row r="401" spans="1:30" s="501" customFormat="1" ht="15" outlineLevel="1">
      <c r="A401" s="299"/>
      <c r="B401" s="3637" t="s">
        <v>1588</v>
      </c>
      <c r="C401" s="3638"/>
      <c r="D401" s="1129">
        <v>1997</v>
      </c>
      <c r="E401" s="485">
        <v>11750</v>
      </c>
      <c r="F401" s="531" t="s">
        <v>1584</v>
      </c>
      <c r="G401" s="1129">
        <v>1997</v>
      </c>
      <c r="H401" s="485">
        <v>11750</v>
      </c>
      <c r="I401" s="531" t="s">
        <v>1584</v>
      </c>
      <c r="J401" s="1129">
        <v>1996</v>
      </c>
      <c r="K401" s="485">
        <v>14274</v>
      </c>
      <c r="L401" s="531" t="s">
        <v>1583</v>
      </c>
      <c r="M401" s="1129">
        <v>1997</v>
      </c>
      <c r="N401" s="485">
        <v>11195</v>
      </c>
      <c r="O401" s="531" t="s">
        <v>1584</v>
      </c>
      <c r="P401" s="486"/>
      <c r="Q401" s="485"/>
      <c r="R401" s="487"/>
      <c r="S401" s="1266"/>
      <c r="T401" s="1266"/>
      <c r="U401" s="1266"/>
      <c r="V401" s="1266"/>
      <c r="W401" s="1266"/>
      <c r="X401" s="1266"/>
      <c r="Y401" s="1266"/>
      <c r="Z401" s="1266"/>
      <c r="AA401" s="1266"/>
      <c r="AB401" s="1266"/>
      <c r="AC401" s="1266"/>
      <c r="AD401" s="1266"/>
    </row>
    <row r="402" spans="1:30" s="501" customFormat="1" ht="15" outlineLevel="1">
      <c r="A402" s="299"/>
      <c r="B402" s="3637" t="s">
        <v>1588</v>
      </c>
      <c r="C402" s="3638"/>
      <c r="D402" s="1129"/>
      <c r="E402" s="485"/>
      <c r="F402" s="531"/>
      <c r="G402" s="1129">
        <v>1998</v>
      </c>
      <c r="H402" s="485">
        <v>11000</v>
      </c>
      <c r="I402" s="531" t="s">
        <v>1584</v>
      </c>
      <c r="J402" s="1129">
        <v>1997</v>
      </c>
      <c r="K402" s="485">
        <v>11750</v>
      </c>
      <c r="L402" s="531" t="s">
        <v>1584</v>
      </c>
      <c r="M402" s="1129">
        <v>1999</v>
      </c>
      <c r="N402" s="485">
        <v>4612</v>
      </c>
      <c r="O402" s="531" t="s">
        <v>1584</v>
      </c>
      <c r="P402" s="486"/>
      <c r="Q402" s="485"/>
      <c r="R402" s="487"/>
      <c r="S402" s="1266"/>
      <c r="T402" s="1266"/>
      <c r="U402" s="1266"/>
      <c r="V402" s="1266"/>
      <c r="W402" s="1266"/>
      <c r="X402" s="1266"/>
      <c r="Y402" s="1266"/>
      <c r="Z402" s="1266"/>
      <c r="AA402" s="1266"/>
      <c r="AB402" s="1266"/>
      <c r="AC402" s="1266"/>
      <c r="AD402" s="1266"/>
    </row>
    <row r="403" spans="1:30" s="501" customFormat="1" ht="15" outlineLevel="1">
      <c r="A403" s="299"/>
      <c r="B403" s="3637" t="s">
        <v>1588</v>
      </c>
      <c r="C403" s="3638"/>
      <c r="D403" s="1129"/>
      <c r="E403" s="485"/>
      <c r="F403" s="531"/>
      <c r="G403" s="1129"/>
      <c r="H403" s="485"/>
      <c r="I403" s="531"/>
      <c r="J403" s="1129">
        <v>1999</v>
      </c>
      <c r="K403" s="485">
        <v>4722</v>
      </c>
      <c r="L403" s="531" t="s">
        <v>1584</v>
      </c>
      <c r="M403" s="1129">
        <v>2000</v>
      </c>
      <c r="N403" s="485">
        <v>7274</v>
      </c>
      <c r="O403" s="531" t="s">
        <v>1584</v>
      </c>
      <c r="P403" s="486"/>
      <c r="Q403" s="485"/>
      <c r="R403" s="487"/>
      <c r="S403" s="1266"/>
      <c r="T403" s="1266"/>
      <c r="U403" s="1266"/>
      <c r="V403" s="1266"/>
      <c r="W403" s="1266"/>
      <c r="X403" s="1266"/>
      <c r="Y403" s="1266"/>
      <c r="Z403" s="1266"/>
      <c r="AA403" s="1266"/>
      <c r="AB403" s="1266"/>
      <c r="AC403" s="1266"/>
      <c r="AD403" s="1266"/>
    </row>
    <row r="404" spans="1:30" s="501" customFormat="1" ht="15" outlineLevel="1">
      <c r="A404" s="299"/>
      <c r="B404" s="3637" t="s">
        <v>1589</v>
      </c>
      <c r="C404" s="3638"/>
      <c r="D404" s="1129"/>
      <c r="E404" s="485"/>
      <c r="F404" s="531"/>
      <c r="G404" s="1129">
        <v>1998</v>
      </c>
      <c r="H404" s="485">
        <v>363</v>
      </c>
      <c r="I404" s="531" t="s">
        <v>1581</v>
      </c>
      <c r="J404" s="1129">
        <v>1999</v>
      </c>
      <c r="K404" s="485">
        <v>636</v>
      </c>
      <c r="L404" s="531" t="s">
        <v>1581</v>
      </c>
      <c r="M404" s="1129">
        <v>2000</v>
      </c>
      <c r="N404" s="485">
        <v>512</v>
      </c>
      <c r="O404" s="531" t="s">
        <v>1583</v>
      </c>
      <c r="P404" s="486"/>
      <c r="Q404" s="485"/>
      <c r="R404" s="487"/>
      <c r="S404" s="1266"/>
      <c r="T404" s="1266"/>
      <c r="U404" s="1266"/>
      <c r="V404" s="1266"/>
      <c r="W404" s="1266"/>
      <c r="X404" s="1266"/>
      <c r="Y404" s="1266"/>
      <c r="Z404" s="1266"/>
      <c r="AA404" s="1266"/>
      <c r="AB404" s="1266"/>
      <c r="AC404" s="1266"/>
      <c r="AD404" s="1266"/>
    </row>
    <row r="405" spans="1:30" s="501" customFormat="1" ht="15" outlineLevel="1">
      <c r="A405" s="299"/>
      <c r="B405" s="3637" t="s">
        <v>1569</v>
      </c>
      <c r="C405" s="3638"/>
      <c r="D405" s="1129">
        <v>1990</v>
      </c>
      <c r="E405" s="485">
        <v>232</v>
      </c>
      <c r="F405" s="531" t="s">
        <v>1581</v>
      </c>
      <c r="G405" s="1129">
        <v>1991</v>
      </c>
      <c r="H405" s="485">
        <v>283</v>
      </c>
      <c r="I405" s="531" t="s">
        <v>1583</v>
      </c>
      <c r="J405" s="1129">
        <v>1995</v>
      </c>
      <c r="K405" s="485">
        <v>546</v>
      </c>
      <c r="L405" s="531" t="s">
        <v>1581</v>
      </c>
      <c r="M405" s="1129">
        <v>2000</v>
      </c>
      <c r="N405" s="485">
        <v>214</v>
      </c>
      <c r="O405" s="531" t="s">
        <v>1581</v>
      </c>
      <c r="P405" s="486"/>
      <c r="Q405" s="485"/>
      <c r="R405" s="487"/>
      <c r="S405" s="1266"/>
      <c r="T405" s="1266"/>
      <c r="U405" s="1266"/>
      <c r="V405" s="1266"/>
      <c r="W405" s="1266"/>
      <c r="X405" s="1266"/>
      <c r="Y405" s="1266"/>
      <c r="Z405" s="1266"/>
      <c r="AA405" s="1266"/>
      <c r="AB405" s="1266"/>
      <c r="AC405" s="1266"/>
      <c r="AD405" s="1266"/>
    </row>
    <row r="406" spans="1:30" s="501" customFormat="1" ht="15" outlineLevel="1">
      <c r="A406" s="299"/>
      <c r="B406" s="3637" t="s">
        <v>1569</v>
      </c>
      <c r="C406" s="3638"/>
      <c r="D406" s="1129">
        <v>1994</v>
      </c>
      <c r="E406" s="485">
        <v>357</v>
      </c>
      <c r="F406" s="531" t="s">
        <v>1581</v>
      </c>
      <c r="G406" s="1129">
        <v>1992</v>
      </c>
      <c r="H406" s="485">
        <v>320</v>
      </c>
      <c r="I406" s="531" t="s">
        <v>1581</v>
      </c>
      <c r="J406" s="1129">
        <v>1999</v>
      </c>
      <c r="K406" s="485">
        <v>306</v>
      </c>
      <c r="L406" s="531" t="s">
        <v>1581</v>
      </c>
      <c r="M406" s="1129"/>
      <c r="N406" s="485"/>
      <c r="O406" s="487"/>
      <c r="P406" s="486"/>
      <c r="Q406" s="485"/>
      <c r="R406" s="487"/>
      <c r="S406" s="1266"/>
      <c r="T406" s="1266"/>
      <c r="U406" s="1266"/>
      <c r="V406" s="1266"/>
      <c r="W406" s="1266"/>
      <c r="X406" s="1266"/>
      <c r="Y406" s="1266"/>
      <c r="Z406" s="1266"/>
      <c r="AA406" s="1266"/>
      <c r="AB406" s="1266"/>
      <c r="AC406" s="1266"/>
      <c r="AD406" s="1266"/>
    </row>
    <row r="407" spans="1:30" s="501" customFormat="1" ht="15" outlineLevel="1">
      <c r="A407" s="299"/>
      <c r="B407" s="3637" t="s">
        <v>1569</v>
      </c>
      <c r="C407" s="3638"/>
      <c r="D407" s="1129">
        <v>1997</v>
      </c>
      <c r="E407" s="485">
        <v>1270</v>
      </c>
      <c r="F407" s="531" t="s">
        <v>1581</v>
      </c>
      <c r="G407" s="1129">
        <v>1993</v>
      </c>
      <c r="H407" s="485">
        <v>410</v>
      </c>
      <c r="I407" s="531" t="s">
        <v>1581</v>
      </c>
      <c r="J407" s="1129"/>
      <c r="K407" s="485"/>
      <c r="L407" s="487"/>
      <c r="M407" s="1129"/>
      <c r="N407" s="485"/>
      <c r="O407" s="487"/>
      <c r="P407" s="486"/>
      <c r="Q407" s="485"/>
      <c r="R407" s="487"/>
      <c r="S407" s="1266"/>
      <c r="T407" s="1266"/>
      <c r="U407" s="1266"/>
      <c r="V407" s="1266"/>
      <c r="W407" s="1266"/>
      <c r="X407" s="1266"/>
      <c r="Y407" s="1266"/>
      <c r="Z407" s="1266"/>
      <c r="AA407" s="1266"/>
      <c r="AB407" s="1266"/>
      <c r="AC407" s="1266"/>
      <c r="AD407" s="1266"/>
    </row>
    <row r="408" spans="1:30" s="501" customFormat="1" ht="15" outlineLevel="1">
      <c r="A408" s="299"/>
      <c r="B408" s="3637" t="s">
        <v>1569</v>
      </c>
      <c r="C408" s="3638"/>
      <c r="D408" s="1129"/>
      <c r="E408" s="485"/>
      <c r="F408" s="531"/>
      <c r="G408" s="1129">
        <v>1998</v>
      </c>
      <c r="H408" s="485">
        <v>571</v>
      </c>
      <c r="I408" s="531" t="s">
        <v>1581</v>
      </c>
      <c r="J408" s="1129"/>
      <c r="K408" s="485"/>
      <c r="L408" s="487"/>
      <c r="M408" s="1129"/>
      <c r="N408" s="485"/>
      <c r="O408" s="487"/>
      <c r="P408" s="486"/>
      <c r="Q408" s="485"/>
      <c r="R408" s="487"/>
      <c r="S408" s="1266"/>
      <c r="T408" s="1266"/>
      <c r="U408" s="1266"/>
      <c r="V408" s="1266"/>
      <c r="W408" s="1266"/>
      <c r="X408" s="1266"/>
      <c r="Y408" s="1266"/>
      <c r="Z408" s="1266"/>
      <c r="AA408" s="1266"/>
      <c r="AB408" s="1266"/>
      <c r="AC408" s="1266"/>
      <c r="AD408" s="1266"/>
    </row>
    <row r="409" spans="1:30" s="501" customFormat="1" ht="15" outlineLevel="1">
      <c r="A409" s="299"/>
      <c r="B409" s="4293" t="s">
        <v>1568</v>
      </c>
      <c r="C409" s="4294"/>
      <c r="D409" s="1129">
        <v>1997</v>
      </c>
      <c r="E409" s="485">
        <v>595</v>
      </c>
      <c r="F409" s="531" t="s">
        <v>1583</v>
      </c>
      <c r="G409" s="1129">
        <v>1991</v>
      </c>
      <c r="H409" s="485">
        <v>178</v>
      </c>
      <c r="I409" s="531" t="s">
        <v>1583</v>
      </c>
      <c r="J409" s="1129">
        <v>1989</v>
      </c>
      <c r="K409" s="485">
        <v>180</v>
      </c>
      <c r="L409" s="531" t="s">
        <v>1584</v>
      </c>
      <c r="M409" s="1129">
        <v>1989</v>
      </c>
      <c r="N409" s="485">
        <v>160</v>
      </c>
      <c r="O409" s="531" t="s">
        <v>1584</v>
      </c>
      <c r="P409" s="486"/>
      <c r="Q409" s="485"/>
      <c r="R409" s="487"/>
      <c r="S409" s="1266"/>
      <c r="T409" s="1266"/>
      <c r="U409" s="1266"/>
      <c r="V409" s="1266"/>
      <c r="W409" s="1266"/>
      <c r="X409" s="1266"/>
      <c r="Y409" s="1266"/>
      <c r="Z409" s="1266"/>
      <c r="AA409" s="1266"/>
      <c r="AB409" s="1266"/>
      <c r="AC409" s="1266"/>
      <c r="AD409" s="1266"/>
    </row>
    <row r="410" spans="1:30" s="501" customFormat="1" ht="15" outlineLevel="1">
      <c r="A410" s="299"/>
      <c r="B410" s="4293" t="s">
        <v>1568</v>
      </c>
      <c r="C410" s="4294"/>
      <c r="D410" s="3281"/>
      <c r="E410" s="691"/>
      <c r="F410" s="3282"/>
      <c r="G410" s="3281">
        <v>1992</v>
      </c>
      <c r="H410" s="691">
        <v>105</v>
      </c>
      <c r="I410" s="531" t="s">
        <v>1581</v>
      </c>
      <c r="J410" s="3281">
        <v>1998</v>
      </c>
      <c r="K410" s="691">
        <v>252</v>
      </c>
      <c r="L410" s="531" t="s">
        <v>1583</v>
      </c>
      <c r="M410" s="3281">
        <v>1997</v>
      </c>
      <c r="N410" s="691">
        <v>510</v>
      </c>
      <c r="O410" s="531" t="s">
        <v>1584</v>
      </c>
      <c r="P410" s="690"/>
      <c r="Q410" s="691"/>
      <c r="R410" s="696"/>
      <c r="S410"/>
      <c r="T410"/>
      <c r="U410"/>
      <c r="V410"/>
      <c r="W410"/>
      <c r="X410"/>
      <c r="Y410"/>
      <c r="Z410"/>
      <c r="AA410"/>
      <c r="AB410"/>
      <c r="AC410"/>
      <c r="AD410"/>
    </row>
    <row r="411" spans="1:30" s="501" customFormat="1" ht="15" outlineLevel="1">
      <c r="A411" s="299"/>
      <c r="B411" s="4293" t="s">
        <v>1568</v>
      </c>
      <c r="C411" s="4294"/>
      <c r="D411" s="3281"/>
      <c r="E411" s="691"/>
      <c r="F411" s="3282"/>
      <c r="G411" s="3281">
        <v>1998</v>
      </c>
      <c r="H411" s="691">
        <v>274</v>
      </c>
      <c r="I411" s="531" t="s">
        <v>1584</v>
      </c>
      <c r="J411" s="3281">
        <v>1999</v>
      </c>
      <c r="K411" s="691">
        <v>340</v>
      </c>
      <c r="L411" s="531" t="s">
        <v>1583</v>
      </c>
      <c r="M411" s="3281">
        <v>2000</v>
      </c>
      <c r="N411" s="691">
        <v>227</v>
      </c>
      <c r="O411" s="531" t="s">
        <v>1581</v>
      </c>
      <c r="P411" s="690"/>
      <c r="Q411" s="691"/>
      <c r="R411" s="696"/>
      <c r="S411"/>
      <c r="T411"/>
      <c r="U411"/>
      <c r="V411"/>
      <c r="W411"/>
      <c r="X411"/>
      <c r="Y411"/>
      <c r="Z411"/>
      <c r="AA411"/>
      <c r="AB411"/>
      <c r="AC411"/>
      <c r="AD411"/>
    </row>
    <row r="412" spans="1:30" s="501" customFormat="1" ht="15.75" outlineLevel="1" thickBot="1">
      <c r="A412" s="299"/>
      <c r="B412" s="4295" t="s">
        <v>177</v>
      </c>
      <c r="C412" s="4296"/>
      <c r="D412" s="3283"/>
      <c r="E412" s="442"/>
      <c r="F412" s="591"/>
      <c r="G412" s="3283"/>
      <c r="H412" s="442"/>
      <c r="I412" s="591"/>
      <c r="J412" s="3283"/>
      <c r="K412" s="442"/>
      <c r="L412" s="591"/>
      <c r="M412" s="3283"/>
      <c r="N412" s="442"/>
      <c r="O412" s="591"/>
      <c r="P412" s="1524"/>
      <c r="Q412" s="442"/>
      <c r="R412" s="591"/>
      <c r="S412"/>
      <c r="T412"/>
      <c r="U412"/>
      <c r="V412"/>
      <c r="W412"/>
      <c r="X412"/>
      <c r="Y412"/>
      <c r="Z412"/>
      <c r="AA412"/>
      <c r="AB412"/>
      <c r="AC412"/>
      <c r="AD412"/>
    </row>
    <row r="413" spans="1:30" s="501" customFormat="1" ht="21" outlineLevel="1" thickBot="1">
      <c r="A413" s="299"/>
      <c r="B413" s="3556"/>
      <c r="C413" s="3556"/>
      <c r="D413" s="3554"/>
      <c r="E413" s="3554"/>
      <c r="F413" s="3554"/>
      <c r="G413" s="3554"/>
      <c r="H413" s="3554"/>
      <c r="I413" s="2274"/>
      <c r="J413" s="2274"/>
      <c r="K413" s="2274"/>
      <c r="L413" s="2274"/>
      <c r="M413" s="2274"/>
      <c r="N413" s="2274"/>
      <c r="O413" s="2274"/>
      <c r="P413" s="2274"/>
      <c r="Q413" s="2274"/>
      <c r="R413" s="2274"/>
      <c r="S413" s="1266"/>
      <c r="T413" s="1266"/>
      <c r="U413" s="1266"/>
      <c r="V413" s="1266"/>
      <c r="W413" s="1266"/>
      <c r="X413" s="1266"/>
      <c r="Y413" s="1266"/>
      <c r="Z413" s="1266"/>
      <c r="AA413" s="1266"/>
      <c r="AB413" s="1266"/>
      <c r="AC413" s="1266"/>
      <c r="AD413" s="1266"/>
    </row>
    <row r="414" spans="1:30" s="78" customFormat="1" ht="43.5" customHeight="1" thickBot="1">
      <c r="A414" s="299"/>
      <c r="B414" s="3546" t="s">
        <v>508</v>
      </c>
      <c r="C414" s="3547"/>
      <c r="D414" s="3547"/>
      <c r="E414" s="3547"/>
      <c r="F414" s="3547"/>
      <c r="G414" s="3547"/>
      <c r="H414" s="3547"/>
      <c r="I414" s="3547"/>
      <c r="J414" s="3547"/>
      <c r="K414" s="3547"/>
      <c r="L414" s="3547"/>
      <c r="M414" s="3547"/>
      <c r="N414" s="3547"/>
      <c r="O414" s="3547"/>
      <c r="P414" s="3547"/>
      <c r="Q414" s="3547"/>
      <c r="R414" s="3548"/>
      <c r="S414"/>
      <c r="T414"/>
      <c r="U414"/>
      <c r="V414"/>
      <c r="W414"/>
      <c r="X414"/>
      <c r="Y414"/>
      <c r="Z414"/>
      <c r="AA414"/>
      <c r="AB414"/>
      <c r="AC414"/>
      <c r="AD414"/>
    </row>
    <row r="415" spans="1:30" s="223" customFormat="1" ht="24.75" customHeight="1" thickBot="1">
      <c r="A415" s="299"/>
      <c r="B415" s="3207" t="s">
        <v>509</v>
      </c>
      <c r="C415" s="3208"/>
      <c r="D415" s="3576"/>
      <c r="E415" s="3576"/>
      <c r="F415" s="3576"/>
      <c r="G415" s="3576"/>
      <c r="H415" s="3576"/>
      <c r="I415" s="3576"/>
      <c r="J415" s="3576"/>
      <c r="K415" s="3576"/>
      <c r="L415" s="3576"/>
      <c r="M415" s="3576"/>
      <c r="N415" s="3576"/>
      <c r="O415" s="3576"/>
      <c r="P415" s="3576"/>
      <c r="Q415" s="3576"/>
      <c r="R415" s="3577"/>
      <c r="S415" s="1266"/>
      <c r="T415" s="1266"/>
      <c r="U415" s="1266"/>
      <c r="V415"/>
      <c r="W415"/>
      <c r="X415"/>
      <c r="Y415"/>
      <c r="Z415"/>
      <c r="AA415"/>
      <c r="AB415"/>
      <c r="AC415"/>
      <c r="AD415"/>
    </row>
    <row r="416" spans="1:30" s="501" customFormat="1" ht="20.25" customHeight="1" thickBot="1">
      <c r="A416" s="299"/>
      <c r="B416" s="4275"/>
      <c r="C416" s="4276"/>
      <c r="D416" s="4279">
        <f>CRCP_y1</f>
        <v>2013</v>
      </c>
      <c r="E416" s="4280"/>
      <c r="F416" s="4281"/>
      <c r="G416" s="4282">
        <f>CRCP_y2</f>
        <v>2014</v>
      </c>
      <c r="H416" s="4282"/>
      <c r="I416" s="4283"/>
      <c r="J416" s="4284">
        <f>CRCP_y3</f>
        <v>2015</v>
      </c>
      <c r="K416" s="4285"/>
      <c r="L416" s="4286"/>
      <c r="M416" s="4287">
        <f>CRCP_y4</f>
        <v>2016</v>
      </c>
      <c r="N416" s="4282"/>
      <c r="O416" s="4283"/>
      <c r="P416" s="4288">
        <f>CRCP_y5</f>
        <v>2017</v>
      </c>
      <c r="Q416" s="4289"/>
      <c r="R416" s="4290"/>
      <c r="S416" s="1266"/>
      <c r="T416" s="1266"/>
      <c r="U416" s="1266"/>
      <c r="V416"/>
      <c r="W416"/>
      <c r="X416"/>
      <c r="Y416"/>
      <c r="Z416"/>
      <c r="AA416"/>
      <c r="AB416"/>
      <c r="AC416"/>
      <c r="AD416"/>
    </row>
    <row r="417" spans="1:30" s="501" customFormat="1" ht="22.5" customHeight="1">
      <c r="B417" s="4277"/>
      <c r="C417" s="4278"/>
      <c r="D417" s="3269" t="s">
        <v>181</v>
      </c>
      <c r="E417" s="3270" t="s">
        <v>179</v>
      </c>
      <c r="F417" s="3271" t="s">
        <v>215</v>
      </c>
      <c r="G417" s="3643" t="s">
        <v>181</v>
      </c>
      <c r="H417" s="3644" t="s">
        <v>179</v>
      </c>
      <c r="I417" s="3272" t="s">
        <v>215</v>
      </c>
      <c r="J417" s="3273" t="s">
        <v>181</v>
      </c>
      <c r="K417" s="3274" t="s">
        <v>179</v>
      </c>
      <c r="L417" s="3275" t="s">
        <v>215</v>
      </c>
      <c r="M417" s="3643" t="s">
        <v>181</v>
      </c>
      <c r="N417" s="3644" t="s">
        <v>179</v>
      </c>
      <c r="O417" s="3272" t="s">
        <v>215</v>
      </c>
      <c r="P417" s="3273" t="s">
        <v>181</v>
      </c>
      <c r="Q417" s="3274" t="s">
        <v>179</v>
      </c>
      <c r="R417" s="3574" t="s">
        <v>215</v>
      </c>
      <c r="S417"/>
      <c r="T417"/>
      <c r="U417"/>
      <c r="V417"/>
      <c r="W417"/>
      <c r="X417"/>
      <c r="Y417"/>
      <c r="Z417"/>
      <c r="AA417"/>
      <c r="AB417"/>
      <c r="AC417"/>
      <c r="AD417"/>
    </row>
    <row r="418" spans="1:30" s="501" customFormat="1" ht="73.5" customHeight="1" thickBot="1">
      <c r="B418" s="4277"/>
      <c r="C418" s="4278"/>
      <c r="D418" s="3276" t="s">
        <v>404</v>
      </c>
      <c r="E418" s="3277" t="s">
        <v>357</v>
      </c>
      <c r="F418" s="3278"/>
      <c r="G418" s="3266" t="s">
        <v>404</v>
      </c>
      <c r="H418" s="3267" t="s">
        <v>357</v>
      </c>
      <c r="I418" s="3279"/>
      <c r="J418" s="3276" t="s">
        <v>404</v>
      </c>
      <c r="K418" s="3277" t="s">
        <v>357</v>
      </c>
      <c r="L418" s="3278"/>
      <c r="M418" s="3266" t="s">
        <v>404</v>
      </c>
      <c r="N418" s="3267" t="s">
        <v>357</v>
      </c>
      <c r="O418" s="3279"/>
      <c r="P418" s="3276" t="s">
        <v>404</v>
      </c>
      <c r="Q418" s="3277" t="s">
        <v>357</v>
      </c>
      <c r="R418" s="3575"/>
      <c r="S418"/>
      <c r="T418"/>
      <c r="U418"/>
      <c r="V418"/>
      <c r="W418"/>
      <c r="X418"/>
      <c r="Y418"/>
      <c r="Z418"/>
      <c r="AA418"/>
      <c r="AB418"/>
      <c r="AC418"/>
      <c r="AD418"/>
    </row>
    <row r="419" spans="1:30" s="501" customFormat="1" ht="24" customHeight="1">
      <c r="B419" s="4335" t="s">
        <v>1590</v>
      </c>
      <c r="C419" s="4336"/>
      <c r="D419" s="1523"/>
      <c r="E419" s="440"/>
      <c r="F419" s="530"/>
      <c r="G419" s="3284">
        <v>1988</v>
      </c>
      <c r="H419" s="440">
        <v>2607</v>
      </c>
      <c r="I419" s="530" t="s">
        <v>1591</v>
      </c>
      <c r="J419" s="3284"/>
      <c r="K419" s="440"/>
      <c r="L419" s="530"/>
      <c r="M419" s="3284">
        <v>1987</v>
      </c>
      <c r="N419" s="440">
        <v>2352</v>
      </c>
      <c r="O419" s="530" t="s">
        <v>1591</v>
      </c>
      <c r="P419" s="3284"/>
      <c r="Q419" s="440"/>
      <c r="R419" s="530"/>
      <c r="S419"/>
      <c r="T419"/>
      <c r="U419"/>
      <c r="V419"/>
      <c r="W419"/>
      <c r="X419"/>
      <c r="Y419"/>
      <c r="Z419"/>
      <c r="AA419"/>
      <c r="AB419"/>
      <c r="AC419"/>
      <c r="AD419"/>
    </row>
    <row r="420" spans="1:30" s="501" customFormat="1" ht="15" outlineLevel="1">
      <c r="A420" s="299"/>
      <c r="B420" s="4299" t="s">
        <v>1582</v>
      </c>
      <c r="C420" s="4300"/>
      <c r="D420" s="444"/>
      <c r="E420" s="485"/>
      <c r="F420" s="487"/>
      <c r="G420" s="1129"/>
      <c r="H420" s="485"/>
      <c r="I420" s="487"/>
      <c r="J420" s="1129">
        <v>1993</v>
      </c>
      <c r="K420" s="485">
        <v>22888</v>
      </c>
      <c r="L420" s="487" t="s">
        <v>1591</v>
      </c>
      <c r="M420" s="1129"/>
      <c r="N420" s="485"/>
      <c r="O420" s="485"/>
      <c r="P420" s="1129"/>
      <c r="Q420" s="485"/>
      <c r="R420" s="487"/>
      <c r="S420"/>
      <c r="T420"/>
      <c r="U420"/>
      <c r="V420"/>
      <c r="W420"/>
      <c r="X420"/>
      <c r="Y420"/>
      <c r="Z420"/>
      <c r="AA420"/>
      <c r="AB420"/>
      <c r="AC420"/>
      <c r="AD420"/>
    </row>
    <row r="421" spans="1:30" s="501" customFormat="1" ht="15" outlineLevel="1">
      <c r="A421" s="299"/>
      <c r="B421" s="4299" t="s">
        <v>1585</v>
      </c>
      <c r="C421" s="4300"/>
      <c r="D421" s="444"/>
      <c r="E421" s="485"/>
      <c r="F421" s="487"/>
      <c r="G421" s="1129"/>
      <c r="H421" s="485"/>
      <c r="I421" s="487"/>
      <c r="J421" s="1129">
        <v>1998</v>
      </c>
      <c r="K421" s="485">
        <v>2435</v>
      </c>
      <c r="L421" s="487" t="s">
        <v>1591</v>
      </c>
      <c r="M421" s="1129"/>
      <c r="N421" s="485"/>
      <c r="O421" s="485"/>
      <c r="P421" s="1129">
        <v>1992</v>
      </c>
      <c r="Q421" s="485">
        <v>11528</v>
      </c>
      <c r="R421" s="487" t="s">
        <v>1591</v>
      </c>
      <c r="S421"/>
      <c r="T421"/>
      <c r="U421"/>
      <c r="V421"/>
      <c r="W421"/>
      <c r="X421"/>
      <c r="Y421"/>
      <c r="Z421"/>
      <c r="AA421"/>
      <c r="AB421"/>
      <c r="AC421"/>
      <c r="AD421"/>
    </row>
    <row r="422" spans="1:30" s="501" customFormat="1" ht="15" outlineLevel="1">
      <c r="A422" s="299"/>
      <c r="B422" s="3637" t="s">
        <v>1587</v>
      </c>
      <c r="C422" s="3640"/>
      <c r="D422" s="444"/>
      <c r="E422" s="485"/>
      <c r="F422" s="487"/>
      <c r="G422" s="1129"/>
      <c r="H422" s="485"/>
      <c r="I422" s="487"/>
      <c r="J422" s="1129"/>
      <c r="K422" s="485"/>
      <c r="L422" s="487"/>
      <c r="M422" s="1129"/>
      <c r="N422" s="485"/>
      <c r="O422" s="485"/>
      <c r="P422" s="1129">
        <v>1998</v>
      </c>
      <c r="Q422" s="485">
        <v>3104</v>
      </c>
      <c r="R422" s="487" t="s">
        <v>1591</v>
      </c>
      <c r="S422"/>
      <c r="T422"/>
      <c r="U422"/>
      <c r="V422"/>
      <c r="W422"/>
      <c r="X422"/>
      <c r="Y422"/>
      <c r="Z422"/>
      <c r="AA422"/>
      <c r="AB422"/>
      <c r="AC422"/>
      <c r="AD422"/>
    </row>
    <row r="423" spans="1:30" s="501" customFormat="1" ht="15" outlineLevel="1">
      <c r="A423" s="299"/>
      <c r="B423" s="3639" t="s">
        <v>1588</v>
      </c>
      <c r="C423" s="3640"/>
      <c r="D423" s="444"/>
      <c r="E423" s="485"/>
      <c r="F423" s="487"/>
      <c r="G423" s="1129"/>
      <c r="H423" s="485"/>
      <c r="I423" s="487"/>
      <c r="J423" s="1129"/>
      <c r="K423" s="485"/>
      <c r="L423" s="487"/>
      <c r="M423" s="1129">
        <v>1998</v>
      </c>
      <c r="N423" s="485">
        <v>11000</v>
      </c>
      <c r="O423" s="485" t="s">
        <v>1591</v>
      </c>
      <c r="P423" s="1129"/>
      <c r="Q423" s="485"/>
      <c r="R423" s="487"/>
      <c r="S423"/>
      <c r="T423"/>
      <c r="U423"/>
      <c r="V423"/>
      <c r="W423"/>
      <c r="X423"/>
      <c r="Y423"/>
      <c r="Z423"/>
      <c r="AA423"/>
      <c r="AB423"/>
      <c r="AC423"/>
      <c r="AD423"/>
    </row>
    <row r="424" spans="1:30" s="501" customFormat="1" ht="15" outlineLevel="1">
      <c r="A424" s="299"/>
      <c r="B424" s="4299" t="s">
        <v>1568</v>
      </c>
      <c r="C424" s="4300"/>
      <c r="D424" s="444"/>
      <c r="E424" s="485"/>
      <c r="F424" s="487"/>
      <c r="G424" s="1129">
        <v>1994</v>
      </c>
      <c r="H424" s="485">
        <v>151</v>
      </c>
      <c r="I424" s="487" t="s">
        <v>1591</v>
      </c>
      <c r="J424" s="1129">
        <v>1995</v>
      </c>
      <c r="K424" s="485">
        <v>138</v>
      </c>
      <c r="L424" s="487" t="s">
        <v>1591</v>
      </c>
      <c r="M424" s="1129"/>
      <c r="N424" s="485"/>
      <c r="O424" s="485"/>
      <c r="P424" s="1129"/>
      <c r="Q424" s="485"/>
      <c r="R424" s="487"/>
      <c r="S424"/>
      <c r="T424"/>
      <c r="U424"/>
      <c r="V424"/>
      <c r="W424"/>
      <c r="X424"/>
      <c r="Y424"/>
      <c r="Z424"/>
      <c r="AA424"/>
      <c r="AB424"/>
      <c r="AC424"/>
      <c r="AD424"/>
    </row>
    <row r="425" spans="1:30" s="501" customFormat="1" ht="15" outlineLevel="1">
      <c r="A425" s="299"/>
      <c r="B425" s="4299" t="s">
        <v>177</v>
      </c>
      <c r="C425" s="4300"/>
      <c r="D425" s="444"/>
      <c r="E425" s="485"/>
      <c r="F425" s="487"/>
      <c r="G425" s="1129"/>
      <c r="H425" s="485"/>
      <c r="I425" s="487"/>
      <c r="J425" s="1129"/>
      <c r="K425" s="485"/>
      <c r="L425" s="487"/>
      <c r="M425" s="1129"/>
      <c r="N425" s="485"/>
      <c r="O425" s="487"/>
      <c r="P425" s="1129"/>
      <c r="Q425" s="485"/>
      <c r="R425" s="487"/>
      <c r="S425"/>
      <c r="T425"/>
      <c r="U425"/>
      <c r="V425"/>
      <c r="W425"/>
      <c r="X425"/>
      <c r="Y425"/>
      <c r="Z425"/>
      <c r="AA425"/>
      <c r="AB425"/>
      <c r="AC425"/>
      <c r="AD425"/>
    </row>
    <row r="426" spans="1:30" s="501" customFormat="1" ht="15" outlineLevel="1">
      <c r="A426" s="299"/>
      <c r="B426" s="4299" t="s">
        <v>177</v>
      </c>
      <c r="C426" s="4300"/>
      <c r="D426" s="444"/>
      <c r="E426" s="485"/>
      <c r="F426" s="487"/>
      <c r="G426" s="1129"/>
      <c r="H426" s="485"/>
      <c r="I426" s="487"/>
      <c r="J426" s="1129"/>
      <c r="K426" s="485"/>
      <c r="L426" s="487"/>
      <c r="M426" s="1129"/>
      <c r="N426" s="485"/>
      <c r="O426" s="487"/>
      <c r="P426" s="1129"/>
      <c r="Q426" s="485"/>
      <c r="R426" s="487"/>
      <c r="S426"/>
      <c r="T426"/>
      <c r="U426"/>
      <c r="V426"/>
      <c r="W426"/>
      <c r="X426"/>
      <c r="Y426"/>
      <c r="Z426"/>
      <c r="AA426"/>
      <c r="AB426"/>
      <c r="AC426"/>
      <c r="AD426"/>
    </row>
    <row r="427" spans="1:30" s="501" customFormat="1" ht="20.25" customHeight="1" thickBot="1">
      <c r="A427" s="299"/>
      <c r="B427" s="4291" t="s">
        <v>177</v>
      </c>
      <c r="C427" s="4292"/>
      <c r="D427" s="1522"/>
      <c r="E427" s="442"/>
      <c r="F427" s="591"/>
      <c r="G427" s="3283"/>
      <c r="H427" s="442"/>
      <c r="I427" s="591"/>
      <c r="J427" s="3283"/>
      <c r="K427" s="442"/>
      <c r="L427" s="591"/>
      <c r="M427" s="3283"/>
      <c r="N427" s="442"/>
      <c r="O427" s="591"/>
      <c r="P427" s="3283"/>
      <c r="Q427" s="442"/>
      <c r="R427" s="591"/>
      <c r="S427" s="1266"/>
      <c r="T427" s="1266"/>
      <c r="U427" s="1266"/>
      <c r="V427"/>
      <c r="W427"/>
      <c r="X427"/>
      <c r="Y427"/>
      <c r="Z427"/>
      <c r="AA427"/>
      <c r="AB427"/>
      <c r="AC427"/>
      <c r="AD427"/>
    </row>
    <row r="428" spans="1:30" s="501" customFormat="1" ht="22.5" customHeight="1" thickBot="1">
      <c r="B428" s="3207" t="s">
        <v>510</v>
      </c>
      <c r="C428" s="3208"/>
      <c r="D428" s="3576"/>
      <c r="E428" s="3576"/>
      <c r="F428" s="3576"/>
      <c r="G428" s="3576"/>
      <c r="H428" s="3576"/>
      <c r="I428" s="3576"/>
      <c r="J428" s="3576"/>
      <c r="K428" s="3576"/>
      <c r="L428" s="3576"/>
      <c r="M428" s="3576"/>
      <c r="N428" s="3576"/>
      <c r="O428" s="3576"/>
      <c r="P428" s="3576"/>
      <c r="Q428" s="3576"/>
      <c r="R428" s="3577"/>
      <c r="S428"/>
      <c r="T428"/>
      <c r="U428"/>
      <c r="V428"/>
      <c r="W428"/>
      <c r="X428"/>
      <c r="Y428"/>
      <c r="Z428"/>
      <c r="AA428"/>
      <c r="AB428"/>
      <c r="AC428"/>
      <c r="AD428"/>
    </row>
    <row r="429" spans="1:30" s="501" customFormat="1" ht="73.5" customHeight="1" thickBot="1">
      <c r="B429" s="4275"/>
      <c r="C429" s="4276"/>
      <c r="D429" s="4279">
        <f>CRCP_y1</f>
        <v>2013</v>
      </c>
      <c r="E429" s="4280"/>
      <c r="F429" s="4281"/>
      <c r="G429" s="4282">
        <f>CRCP_y2</f>
        <v>2014</v>
      </c>
      <c r="H429" s="4282"/>
      <c r="I429" s="4283"/>
      <c r="J429" s="4284">
        <f>CRCP_y3</f>
        <v>2015</v>
      </c>
      <c r="K429" s="4285"/>
      <c r="L429" s="4286"/>
      <c r="M429" s="4287">
        <f>CRCP_y4</f>
        <v>2016</v>
      </c>
      <c r="N429" s="4282"/>
      <c r="O429" s="4283"/>
      <c r="P429" s="4288">
        <f>CRCP_y5</f>
        <v>2017</v>
      </c>
      <c r="Q429" s="4289"/>
      <c r="R429" s="4290"/>
      <c r="S429"/>
      <c r="T429"/>
      <c r="U429"/>
      <c r="V429"/>
      <c r="W429"/>
      <c r="X429"/>
      <c r="Y429"/>
      <c r="Z429"/>
      <c r="AA429"/>
      <c r="AB429"/>
      <c r="AC429"/>
      <c r="AD429"/>
    </row>
    <row r="430" spans="1:30" s="501" customFormat="1" ht="38.25">
      <c r="B430" s="4277"/>
      <c r="C430" s="4278"/>
      <c r="D430" s="3269" t="s">
        <v>181</v>
      </c>
      <c r="E430" s="3270" t="s">
        <v>179</v>
      </c>
      <c r="F430" s="3271" t="s">
        <v>215</v>
      </c>
      <c r="G430" s="3643" t="s">
        <v>181</v>
      </c>
      <c r="H430" s="3644" t="s">
        <v>179</v>
      </c>
      <c r="I430" s="3272" t="s">
        <v>215</v>
      </c>
      <c r="J430" s="3273" t="s">
        <v>181</v>
      </c>
      <c r="K430" s="3274" t="s">
        <v>179</v>
      </c>
      <c r="L430" s="3275" t="s">
        <v>215</v>
      </c>
      <c r="M430" s="3643" t="s">
        <v>181</v>
      </c>
      <c r="N430" s="3644" t="s">
        <v>179</v>
      </c>
      <c r="O430" s="3272" t="s">
        <v>215</v>
      </c>
      <c r="P430" s="3273" t="s">
        <v>181</v>
      </c>
      <c r="Q430" s="3274" t="s">
        <v>179</v>
      </c>
      <c r="R430" s="3574" t="s">
        <v>215</v>
      </c>
      <c r="S430"/>
      <c r="T430"/>
      <c r="U430"/>
      <c r="V430"/>
      <c r="W430"/>
      <c r="X430"/>
      <c r="Y430"/>
      <c r="Z430"/>
      <c r="AA430"/>
      <c r="AB430"/>
      <c r="AC430"/>
      <c r="AD430"/>
    </row>
    <row r="431" spans="1:30" s="501" customFormat="1" ht="13.5" outlineLevel="1" thickBot="1">
      <c r="A431" s="299"/>
      <c r="B431" s="4277"/>
      <c r="C431" s="4278"/>
      <c r="D431" s="3276" t="s">
        <v>404</v>
      </c>
      <c r="E431" s="3277" t="s">
        <v>357</v>
      </c>
      <c r="F431" s="3278"/>
      <c r="G431" s="3266" t="s">
        <v>404</v>
      </c>
      <c r="H431" s="3267" t="s">
        <v>357</v>
      </c>
      <c r="I431" s="3279"/>
      <c r="J431" s="3276" t="s">
        <v>404</v>
      </c>
      <c r="K431" s="3277" t="s">
        <v>357</v>
      </c>
      <c r="L431" s="3278"/>
      <c r="M431" s="3266" t="s">
        <v>404</v>
      </c>
      <c r="N431" s="3267" t="s">
        <v>357</v>
      </c>
      <c r="O431" s="3279"/>
      <c r="P431" s="3276" t="s">
        <v>404</v>
      </c>
      <c r="Q431" s="3277" t="s">
        <v>357</v>
      </c>
      <c r="R431" s="3575"/>
      <c r="S431"/>
      <c r="T431"/>
      <c r="U431"/>
      <c r="V431"/>
      <c r="W431"/>
      <c r="X431"/>
      <c r="Y431"/>
      <c r="Z431"/>
      <c r="AA431"/>
      <c r="AB431"/>
      <c r="AC431"/>
      <c r="AD431"/>
    </row>
    <row r="432" spans="1:30" s="501" customFormat="1" ht="15" outlineLevel="1">
      <c r="A432" s="299"/>
      <c r="B432" s="4335" t="s">
        <v>177</v>
      </c>
      <c r="C432" s="4336"/>
      <c r="D432" s="1457"/>
      <c r="E432" s="440"/>
      <c r="F432" s="530"/>
      <c r="G432" s="1457"/>
      <c r="H432" s="440"/>
      <c r="I432" s="530"/>
      <c r="J432" s="1457"/>
      <c r="K432" s="440"/>
      <c r="L432" s="530"/>
      <c r="M432" s="1457"/>
      <c r="N432" s="440"/>
      <c r="O432" s="530"/>
      <c r="P432" s="1457"/>
      <c r="Q432" s="440"/>
      <c r="R432" s="530"/>
      <c r="S432"/>
      <c r="T432"/>
      <c r="U432"/>
      <c r="V432"/>
      <c r="W432"/>
      <c r="X432"/>
      <c r="Y432"/>
      <c r="Z432"/>
      <c r="AA432"/>
      <c r="AB432"/>
      <c r="AC432"/>
      <c r="AD432"/>
    </row>
    <row r="433" spans="1:30" s="501" customFormat="1" ht="15" outlineLevel="1">
      <c r="A433" s="299"/>
      <c r="B433" s="4299" t="s">
        <v>177</v>
      </c>
      <c r="C433" s="4300"/>
      <c r="D433" s="486"/>
      <c r="E433" s="485"/>
      <c r="F433" s="487"/>
      <c r="G433" s="486"/>
      <c r="H433" s="485"/>
      <c r="I433" s="487"/>
      <c r="J433" s="486"/>
      <c r="K433" s="485"/>
      <c r="L433" s="487"/>
      <c r="M433" s="486"/>
      <c r="N433" s="485"/>
      <c r="O433" s="487"/>
      <c r="P433" s="486"/>
      <c r="Q433" s="485"/>
      <c r="R433" s="487"/>
      <c r="S433"/>
      <c r="T433"/>
      <c r="U433"/>
      <c r="V433"/>
      <c r="W433"/>
      <c r="X433"/>
      <c r="Y433"/>
      <c r="Z433"/>
      <c r="AA433"/>
      <c r="AB433"/>
      <c r="AC433"/>
      <c r="AD433"/>
    </row>
    <row r="434" spans="1:30" s="501" customFormat="1" ht="15" outlineLevel="1">
      <c r="A434" s="299"/>
      <c r="B434" s="4299" t="s">
        <v>177</v>
      </c>
      <c r="C434" s="4300"/>
      <c r="D434" s="486"/>
      <c r="E434" s="485"/>
      <c r="F434" s="487"/>
      <c r="G434" s="486"/>
      <c r="H434" s="485"/>
      <c r="I434" s="487"/>
      <c r="J434" s="486"/>
      <c r="K434" s="485"/>
      <c r="L434" s="487"/>
      <c r="M434" s="486"/>
      <c r="N434" s="485"/>
      <c r="O434" s="487"/>
      <c r="P434" s="486"/>
      <c r="Q434" s="485"/>
      <c r="R434" s="487"/>
      <c r="S434"/>
      <c r="T434"/>
      <c r="U434"/>
      <c r="V434"/>
      <c r="W434"/>
      <c r="X434"/>
      <c r="Y434"/>
      <c r="Z434"/>
      <c r="AA434"/>
      <c r="AB434"/>
      <c r="AC434"/>
      <c r="AD434"/>
    </row>
    <row r="435" spans="1:30" s="501" customFormat="1" ht="15" outlineLevel="1">
      <c r="A435" s="299"/>
      <c r="B435" s="4299" t="s">
        <v>177</v>
      </c>
      <c r="C435" s="4300"/>
      <c r="D435" s="486"/>
      <c r="E435" s="485"/>
      <c r="F435" s="487"/>
      <c r="G435" s="486"/>
      <c r="H435" s="485"/>
      <c r="I435" s="487"/>
      <c r="J435" s="486"/>
      <c r="K435" s="485"/>
      <c r="L435" s="487"/>
      <c r="M435" s="486"/>
      <c r="N435" s="485"/>
      <c r="O435" s="487"/>
      <c r="P435" s="486"/>
      <c r="Q435" s="485"/>
      <c r="R435" s="487"/>
      <c r="S435"/>
      <c r="T435"/>
      <c r="U435"/>
      <c r="V435"/>
      <c r="W435"/>
      <c r="X435"/>
      <c r="Y435"/>
      <c r="Z435"/>
      <c r="AA435"/>
      <c r="AB435"/>
      <c r="AC435"/>
      <c r="AD435"/>
    </row>
    <row r="436" spans="1:30" s="501" customFormat="1" ht="15" outlineLevel="1">
      <c r="A436" s="299"/>
      <c r="B436" s="4299" t="s">
        <v>177</v>
      </c>
      <c r="C436" s="4300"/>
      <c r="D436" s="486"/>
      <c r="E436" s="485"/>
      <c r="F436" s="487"/>
      <c r="G436" s="486"/>
      <c r="H436" s="485"/>
      <c r="I436" s="487"/>
      <c r="J436" s="486"/>
      <c r="K436" s="485"/>
      <c r="L436" s="487"/>
      <c r="M436" s="486"/>
      <c r="N436" s="485"/>
      <c r="O436" s="487"/>
      <c r="P436" s="486"/>
      <c r="Q436" s="485"/>
      <c r="R436" s="487"/>
      <c r="S436"/>
      <c r="T436"/>
      <c r="U436"/>
      <c r="V436"/>
      <c r="W436"/>
      <c r="X436"/>
      <c r="Y436"/>
      <c r="Z436"/>
      <c r="AA436"/>
      <c r="AB436"/>
      <c r="AC436"/>
      <c r="AD436"/>
    </row>
    <row r="437" spans="1:30" s="501" customFormat="1" ht="15" outlineLevel="1">
      <c r="A437" s="299"/>
      <c r="B437" s="4299" t="s">
        <v>177</v>
      </c>
      <c r="C437" s="4300"/>
      <c r="D437" s="486"/>
      <c r="E437" s="485"/>
      <c r="F437" s="487"/>
      <c r="G437" s="486"/>
      <c r="H437" s="485"/>
      <c r="I437" s="487"/>
      <c r="J437" s="486"/>
      <c r="K437" s="485"/>
      <c r="L437" s="487"/>
      <c r="M437" s="486"/>
      <c r="N437" s="485"/>
      <c r="O437" s="487"/>
      <c r="P437" s="486"/>
      <c r="Q437" s="485"/>
      <c r="R437" s="487"/>
      <c r="S437"/>
      <c r="T437"/>
      <c r="U437"/>
      <c r="V437"/>
      <c r="W437"/>
      <c r="X437"/>
      <c r="Y437"/>
      <c r="Z437"/>
      <c r="AA437"/>
      <c r="AB437"/>
      <c r="AC437"/>
      <c r="AD437"/>
    </row>
    <row r="438" spans="1:30" ht="15.75" thickBot="1">
      <c r="A438" s="299"/>
      <c r="B438" s="4291" t="s">
        <v>177</v>
      </c>
      <c r="C438" s="4292"/>
      <c r="D438" s="1524"/>
      <c r="E438" s="442"/>
      <c r="F438" s="591"/>
      <c r="G438" s="1524"/>
      <c r="H438" s="442"/>
      <c r="I438" s="591"/>
      <c r="J438" s="1524"/>
      <c r="K438" s="442"/>
      <c r="L438" s="591"/>
      <c r="M438" s="1524"/>
      <c r="N438" s="442"/>
      <c r="O438" s="591"/>
      <c r="P438" s="1524"/>
      <c r="Q438" s="442"/>
      <c r="R438" s="591"/>
      <c r="V438"/>
      <c r="W438"/>
      <c r="X438"/>
      <c r="Y438"/>
      <c r="Z438"/>
      <c r="AA438"/>
      <c r="AB438"/>
      <c r="AC438"/>
      <c r="AD438"/>
    </row>
    <row r="439" spans="1:30">
      <c r="A439" s="299"/>
      <c r="B439" s="299"/>
      <c r="C439" s="299"/>
      <c r="D439" s="299"/>
      <c r="E439" s="299"/>
      <c r="F439" s="299"/>
      <c r="G439" s="299"/>
      <c r="H439" s="299"/>
      <c r="I439" s="299"/>
      <c r="J439" s="299"/>
      <c r="K439" s="299"/>
      <c r="L439" s="299"/>
      <c r="M439" s="299"/>
      <c r="N439" s="299"/>
      <c r="O439" s="299"/>
      <c r="P439" s="299"/>
      <c r="Q439" s="299"/>
      <c r="R439" s="299"/>
      <c r="V439"/>
      <c r="W439"/>
      <c r="X439"/>
      <c r="Y439"/>
      <c r="Z439"/>
      <c r="AA439"/>
      <c r="AB439"/>
      <c r="AC439"/>
      <c r="AD439"/>
    </row>
    <row r="440" spans="1:30">
      <c r="A440" s="299"/>
      <c r="B440" s="299"/>
      <c r="C440" s="299"/>
      <c r="D440" s="299"/>
      <c r="E440" s="299"/>
      <c r="F440" s="299"/>
      <c r="G440" s="299"/>
      <c r="H440" s="299"/>
      <c r="I440" s="299"/>
      <c r="J440" s="299"/>
      <c r="K440" s="299"/>
      <c r="L440" s="299"/>
      <c r="M440" s="299"/>
      <c r="N440" s="299"/>
      <c r="O440" s="299"/>
      <c r="P440" s="299"/>
      <c r="Q440" s="299"/>
      <c r="R440" s="299"/>
      <c r="V440" s="299"/>
      <c r="W440" s="299"/>
      <c r="X440" s="299"/>
      <c r="Y440" s="299"/>
      <c r="Z440" s="299"/>
      <c r="AA440" s="299"/>
      <c r="AB440" s="299"/>
      <c r="AC440" s="299"/>
    </row>
    <row r="441" spans="1:30">
      <c r="B441" s="77"/>
      <c r="C441" s="501"/>
    </row>
    <row r="442" spans="1:30">
      <c r="B442" s="77"/>
      <c r="C442" s="501"/>
    </row>
    <row r="443" spans="1:30">
      <c r="B443" s="77"/>
      <c r="C443" s="501"/>
    </row>
    <row r="444" spans="1:30">
      <c r="B444" s="77"/>
      <c r="C444" s="501"/>
    </row>
    <row r="445" spans="1:30">
      <c r="B445" s="77"/>
      <c r="C445" s="501"/>
    </row>
    <row r="446" spans="1:30">
      <c r="B446" s="77"/>
      <c r="C446" s="501"/>
    </row>
    <row r="447" spans="1:30">
      <c r="B447" s="77"/>
      <c r="C447" s="501"/>
    </row>
    <row r="448" spans="1:30">
      <c r="B448" s="77"/>
      <c r="C448" s="501"/>
    </row>
    <row r="449" spans="2:3">
      <c r="B449" s="77"/>
      <c r="C449" s="501"/>
    </row>
    <row r="450" spans="2:3">
      <c r="B450" s="77"/>
      <c r="C450" s="501"/>
    </row>
    <row r="451" spans="2:3">
      <c r="B451" s="77"/>
      <c r="C451" s="501"/>
    </row>
  </sheetData>
  <mergeCells count="289">
    <mergeCell ref="V169:AC169"/>
    <mergeCell ref="V255:Z255"/>
    <mergeCell ref="AA255:AC255"/>
    <mergeCell ref="V65:AC65"/>
    <mergeCell ref="V66:AC66"/>
    <mergeCell ref="V167:Z167"/>
    <mergeCell ref="AA167:AC167"/>
    <mergeCell ref="V168:AC168"/>
    <mergeCell ref="V47:Z47"/>
    <mergeCell ref="AA47:AC47"/>
    <mergeCell ref="V48:AC48"/>
    <mergeCell ref="V49:AC49"/>
    <mergeCell ref="V64:Z64"/>
    <mergeCell ref="AA64:AC64"/>
    <mergeCell ref="D416:F416"/>
    <mergeCell ref="G416:I416"/>
    <mergeCell ref="J416:L416"/>
    <mergeCell ref="M416:O416"/>
    <mergeCell ref="P416:R416"/>
    <mergeCell ref="B419:C419"/>
    <mergeCell ref="B424:C424"/>
    <mergeCell ref="B427:C427"/>
    <mergeCell ref="V256:AC256"/>
    <mergeCell ref="V257:AC257"/>
    <mergeCell ref="J385:L385"/>
    <mergeCell ref="M385:O385"/>
    <mergeCell ref="P385:R385"/>
    <mergeCell ref="H293:H296"/>
    <mergeCell ref="D385:F385"/>
    <mergeCell ref="G385:I385"/>
    <mergeCell ref="D293:D296"/>
    <mergeCell ref="E293:E296"/>
    <mergeCell ref="F293:F296"/>
    <mergeCell ref="G293:G296"/>
    <mergeCell ref="B333:C333"/>
    <mergeCell ref="B334:C334"/>
    <mergeCell ref="B335:C335"/>
    <mergeCell ref="B336:C336"/>
    <mergeCell ref="D20:H20"/>
    <mergeCell ref="D47:H47"/>
    <mergeCell ref="D168:K168"/>
    <mergeCell ref="N20:R20"/>
    <mergeCell ref="I20:M20"/>
    <mergeCell ref="D64:H64"/>
    <mergeCell ref="I47:M47"/>
    <mergeCell ref="N47:R47"/>
    <mergeCell ref="I64:M64"/>
    <mergeCell ref="N64:R64"/>
    <mergeCell ref="L22:R22"/>
    <mergeCell ref="D22:K22"/>
    <mergeCell ref="D49:K49"/>
    <mergeCell ref="L49:R49"/>
    <mergeCell ref="I115:M115"/>
    <mergeCell ref="D116:M116"/>
    <mergeCell ref="D48:K48"/>
    <mergeCell ref="L48:R48"/>
    <mergeCell ref="D115:H115"/>
    <mergeCell ref="D21:R21"/>
    <mergeCell ref="D65:K65"/>
    <mergeCell ref="L65:R65"/>
    <mergeCell ref="D66:K66"/>
    <mergeCell ref="L66:R66"/>
    <mergeCell ref="I255:M255"/>
    <mergeCell ref="N255:R255"/>
    <mergeCell ref="I167:M167"/>
    <mergeCell ref="N167:R167"/>
    <mergeCell ref="D117:M117"/>
    <mergeCell ref="L168:R168"/>
    <mergeCell ref="D169:K169"/>
    <mergeCell ref="L169:R169"/>
    <mergeCell ref="B255:B258"/>
    <mergeCell ref="D255:H255"/>
    <mergeCell ref="D167:H167"/>
    <mergeCell ref="D256:K256"/>
    <mergeCell ref="L256:R256"/>
    <mergeCell ref="D257:K257"/>
    <mergeCell ref="L257:R257"/>
    <mergeCell ref="B119:B127"/>
    <mergeCell ref="B115:C118"/>
    <mergeCell ref="C255:C258"/>
    <mergeCell ref="B252:C252"/>
    <mergeCell ref="B188:B195"/>
    <mergeCell ref="B196:B203"/>
    <mergeCell ref="B204:B211"/>
    <mergeCell ref="B87:C87"/>
    <mergeCell ref="B88:C88"/>
    <mergeCell ref="B89:C89"/>
    <mergeCell ref="B91:C91"/>
    <mergeCell ref="B73:C73"/>
    <mergeCell ref="B64:C67"/>
    <mergeCell ref="B78:C78"/>
    <mergeCell ref="B77:C77"/>
    <mergeCell ref="B93:C93"/>
    <mergeCell ref="B71:C71"/>
    <mergeCell ref="B70:C70"/>
    <mergeCell ref="B69:C69"/>
    <mergeCell ref="B80:C80"/>
    <mergeCell ref="B81:C81"/>
    <mergeCell ref="B82:C82"/>
    <mergeCell ref="B92:C92"/>
    <mergeCell ref="B72:C72"/>
    <mergeCell ref="B83:C83"/>
    <mergeCell ref="B84:C84"/>
    <mergeCell ref="B85:C85"/>
    <mergeCell ref="B86:C86"/>
    <mergeCell ref="B94:C94"/>
    <mergeCell ref="B385:C387"/>
    <mergeCell ref="B412:C412"/>
    <mergeCell ref="B411:C411"/>
    <mergeCell ref="B410:C410"/>
    <mergeCell ref="B389:C389"/>
    <mergeCell ref="B388:C388"/>
    <mergeCell ref="B259:B268"/>
    <mergeCell ref="B269:B278"/>
    <mergeCell ref="B279:B288"/>
    <mergeCell ref="B289:C289"/>
    <mergeCell ref="B298:C298"/>
    <mergeCell ref="B97:C97"/>
    <mergeCell ref="B98:C98"/>
    <mergeCell ref="B293:C297"/>
    <mergeCell ref="B290:C290"/>
    <mergeCell ref="B128:B136"/>
    <mergeCell ref="B137:B145"/>
    <mergeCell ref="B164:C164"/>
    <mergeCell ref="B155:B163"/>
    <mergeCell ref="B104:C104"/>
    <mergeCell ref="B105:C105"/>
    <mergeCell ref="B106:C106"/>
    <mergeCell ref="B107:C107"/>
    <mergeCell ref="B43:C43"/>
    <mergeCell ref="B61:C61"/>
    <mergeCell ref="B112:C112"/>
    <mergeCell ref="B7:F7"/>
    <mergeCell ref="B8:F8"/>
    <mergeCell ref="B20:C23"/>
    <mergeCell ref="B9:F9"/>
    <mergeCell ref="B10:F10"/>
    <mergeCell ref="B11:F11"/>
    <mergeCell ref="B12:F12"/>
    <mergeCell ref="B13:F13"/>
    <mergeCell ref="B14:F14"/>
    <mergeCell ref="B15:F15"/>
    <mergeCell ref="B24:B26"/>
    <mergeCell ref="B27:B29"/>
    <mergeCell ref="B30:B32"/>
    <mergeCell ref="B33:B35"/>
    <mergeCell ref="B36:B38"/>
    <mergeCell ref="B39:B41"/>
    <mergeCell ref="B76:C76"/>
    <mergeCell ref="B75:C75"/>
    <mergeCell ref="B74:C74"/>
    <mergeCell ref="B111:C111"/>
    <mergeCell ref="B47:C50"/>
    <mergeCell ref="B51:C51"/>
    <mergeCell ref="B60:C60"/>
    <mergeCell ref="B59:C59"/>
    <mergeCell ref="B58:C58"/>
    <mergeCell ref="B57:C57"/>
    <mergeCell ref="B56:C56"/>
    <mergeCell ref="B55:C55"/>
    <mergeCell ref="B54:C54"/>
    <mergeCell ref="B53:C53"/>
    <mergeCell ref="B52:C52"/>
    <mergeCell ref="B95:C95"/>
    <mergeCell ref="B96:C96"/>
    <mergeCell ref="B434:C434"/>
    <mergeCell ref="B435:C435"/>
    <mergeCell ref="B436:C436"/>
    <mergeCell ref="B437:C437"/>
    <mergeCell ref="B426:C426"/>
    <mergeCell ref="B432:C432"/>
    <mergeCell ref="B433:C433"/>
    <mergeCell ref="B319:C319"/>
    <mergeCell ref="B320:C320"/>
    <mergeCell ref="B321:C321"/>
    <mergeCell ref="B322:C322"/>
    <mergeCell ref="B323:C323"/>
    <mergeCell ref="B324:C324"/>
    <mergeCell ref="B325:C325"/>
    <mergeCell ref="B326:C326"/>
    <mergeCell ref="B327:C327"/>
    <mergeCell ref="B328:C328"/>
    <mergeCell ref="B329:C329"/>
    <mergeCell ref="B330:C330"/>
    <mergeCell ref="B425:C425"/>
    <mergeCell ref="B416:C418"/>
    <mergeCell ref="B332:C332"/>
    <mergeCell ref="B42:C42"/>
    <mergeCell ref="B420:C420"/>
    <mergeCell ref="B421:C421"/>
    <mergeCell ref="B167:C170"/>
    <mergeCell ref="B172:B179"/>
    <mergeCell ref="B180:B187"/>
    <mergeCell ref="B215:B225"/>
    <mergeCell ref="B226:B236"/>
    <mergeCell ref="B237:B247"/>
    <mergeCell ref="B212:C212"/>
    <mergeCell ref="B213:C213"/>
    <mergeCell ref="B146:B154"/>
    <mergeCell ref="B99:C99"/>
    <mergeCell ref="B100:C100"/>
    <mergeCell ref="B102:C102"/>
    <mergeCell ref="B103:C103"/>
    <mergeCell ref="B251:C251"/>
    <mergeCell ref="B250:C250"/>
    <mergeCell ref="B249:C249"/>
    <mergeCell ref="B248:C248"/>
    <mergeCell ref="B109:C109"/>
    <mergeCell ref="B110:C110"/>
    <mergeCell ref="B331:C331"/>
    <mergeCell ref="B108:C108"/>
    <mergeCell ref="B337:C337"/>
    <mergeCell ref="B338:C338"/>
    <mergeCell ref="B339:C339"/>
    <mergeCell ref="B340:C340"/>
    <mergeCell ref="B341:C341"/>
    <mergeCell ref="B342:C342"/>
    <mergeCell ref="B343:C343"/>
    <mergeCell ref="B344:C344"/>
    <mergeCell ref="B345:C345"/>
    <mergeCell ref="B346:C346"/>
    <mergeCell ref="B347:C347"/>
    <mergeCell ref="B348:C348"/>
    <mergeCell ref="B349:C349"/>
    <mergeCell ref="B350:C350"/>
    <mergeCell ref="B351:C351"/>
    <mergeCell ref="B352:C352"/>
    <mergeCell ref="B353:C353"/>
    <mergeCell ref="B354:C354"/>
    <mergeCell ref="B355:C355"/>
    <mergeCell ref="B356:C356"/>
    <mergeCell ref="B357:C357"/>
    <mergeCell ref="B358:C358"/>
    <mergeCell ref="B361:C361"/>
    <mergeCell ref="B362:C362"/>
    <mergeCell ref="B363:C363"/>
    <mergeCell ref="B380:C380"/>
    <mergeCell ref="B381:C381"/>
    <mergeCell ref="B364:C364"/>
    <mergeCell ref="B365:C365"/>
    <mergeCell ref="B366:C366"/>
    <mergeCell ref="B367:C367"/>
    <mergeCell ref="B368:C368"/>
    <mergeCell ref="B369:C369"/>
    <mergeCell ref="B370:C370"/>
    <mergeCell ref="B371:C371"/>
    <mergeCell ref="B372:C372"/>
    <mergeCell ref="B299:C299"/>
    <mergeCell ref="B300:C300"/>
    <mergeCell ref="B301:C301"/>
    <mergeCell ref="B302:C302"/>
    <mergeCell ref="B303:C303"/>
    <mergeCell ref="B304:C304"/>
    <mergeCell ref="B305:C305"/>
    <mergeCell ref="B306:C306"/>
    <mergeCell ref="B307:C307"/>
    <mergeCell ref="B308:C308"/>
    <mergeCell ref="B309:C309"/>
    <mergeCell ref="B310:C310"/>
    <mergeCell ref="B311:C311"/>
    <mergeCell ref="B312:C312"/>
    <mergeCell ref="B313:C313"/>
    <mergeCell ref="B314:C314"/>
    <mergeCell ref="B315:C315"/>
    <mergeCell ref="B316:C316"/>
    <mergeCell ref="B429:C431"/>
    <mergeCell ref="D429:F429"/>
    <mergeCell ref="G429:I429"/>
    <mergeCell ref="J429:L429"/>
    <mergeCell ref="M429:O429"/>
    <mergeCell ref="P429:R429"/>
    <mergeCell ref="B438:C438"/>
    <mergeCell ref="B317:C317"/>
    <mergeCell ref="B318:C318"/>
    <mergeCell ref="B390:C390"/>
    <mergeCell ref="B391:C391"/>
    <mergeCell ref="B392:C392"/>
    <mergeCell ref="B393:C393"/>
    <mergeCell ref="B394:C394"/>
    <mergeCell ref="B409:C409"/>
    <mergeCell ref="B373:C373"/>
    <mergeCell ref="B374:C374"/>
    <mergeCell ref="B375:C375"/>
    <mergeCell ref="B376:C376"/>
    <mergeCell ref="B377:C377"/>
    <mergeCell ref="B378:C378"/>
    <mergeCell ref="B379:C379"/>
    <mergeCell ref="B359:C359"/>
    <mergeCell ref="B360:C360"/>
  </mergeCells>
  <pageMargins left="0.75" right="0.75" top="1" bottom="1" header="0.5" footer="0.5"/>
  <pageSetup paperSize="9" orientation="portrait" r:id="rId1"/>
  <headerFooter alignWithMargins="0"/>
  <customProperties>
    <customPr name="layoutContexts" r:id="rId2"/>
    <customPr name="SaveUndoMode" r:id="rId3"/>
  </customProperties>
  <drawing r:id="rId4"/>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autoPageBreaks="0"/>
  </sheetPr>
  <dimension ref="A1:AH172"/>
  <sheetViews>
    <sheetView showGridLines="0" topLeftCell="D1" zoomScale="70" zoomScaleNormal="70" workbookViewId="0">
      <pane xSplit="3" ySplit="20" topLeftCell="H118" activePane="bottomRight" state="frozen"/>
      <selection activeCell="D1" sqref="D1"/>
      <selection pane="topRight" activeCell="G1" sqref="G1"/>
      <selection pane="bottomLeft" activeCell="D21" sqref="D21"/>
      <selection pane="bottomRight" activeCell="P118" sqref="P118"/>
    </sheetView>
  </sheetViews>
  <sheetFormatPr defaultColWidth="9.140625" defaultRowHeight="12.75"/>
  <cols>
    <col min="1" max="1" width="12" style="501" hidden="1" customWidth="1"/>
    <col min="2" max="3" width="14.42578125" style="77" hidden="1" customWidth="1"/>
    <col min="4" max="4" width="14.42578125" style="77" customWidth="1"/>
    <col min="5" max="5" width="53.42578125" style="77" customWidth="1"/>
    <col min="6" max="6" width="56" style="501" customWidth="1"/>
    <col min="7" max="11" width="15.7109375" style="77" customWidth="1"/>
    <col min="12" max="12" width="15.7109375" style="501" customWidth="1"/>
    <col min="13" max="15" width="15.7109375" style="77" customWidth="1"/>
    <col min="16" max="16" width="17.7109375" style="77" customWidth="1"/>
    <col min="17" max="20" width="15.7109375" style="77" customWidth="1"/>
    <col min="21" max="21" width="15" style="77" bestFit="1" customWidth="1"/>
    <col min="22" max="22" width="33.140625" style="77" customWidth="1"/>
    <col min="23" max="25" width="8.7109375"/>
    <col min="26" max="33" width="15.7109375" style="501" customWidth="1"/>
    <col min="34" max="16384" width="9.140625" style="77"/>
  </cols>
  <sheetData>
    <row r="1" spans="1:33" s="217" customFormat="1" ht="24" customHeight="1">
      <c r="E1" s="2272" t="str">
        <f>IF(dms_DataQuality="backcast",INDEX(dms_Worksheet_List,MATCH(dms_Model,dms_Model_List))&amp;" BACKCAST",INDEX(dms_Worksheet_List,MATCH(dms_Model,dms_Model_List)))</f>
        <v>REGULATORY REPORTING STATEMENT</v>
      </c>
      <c r="F1" s="518"/>
      <c r="G1" s="518"/>
      <c r="H1" s="518"/>
      <c r="I1" s="518"/>
      <c r="J1" s="518"/>
      <c r="K1" s="219"/>
      <c r="L1" s="219"/>
      <c r="M1" s="219"/>
      <c r="N1" s="219"/>
      <c r="O1" s="219"/>
      <c r="P1" s="219"/>
      <c r="Q1" s="219"/>
      <c r="R1" s="219"/>
      <c r="S1" s="219"/>
      <c r="T1" s="219"/>
      <c r="U1" s="219"/>
      <c r="V1" s="219"/>
      <c r="W1" s="219"/>
      <c r="X1" s="219"/>
      <c r="Y1" s="219"/>
      <c r="Z1" s="219"/>
      <c r="AA1" s="518"/>
      <c r="AB1" s="518"/>
      <c r="AC1" s="518"/>
      <c r="AD1" s="219"/>
      <c r="AE1" s="219"/>
      <c r="AF1" s="219"/>
      <c r="AG1" s="219"/>
    </row>
    <row r="2" spans="1:33" s="217" customFormat="1" ht="24" customHeight="1">
      <c r="E2" s="2277" t="str">
        <f>INDEX(dms_TradingNameFull_List,MATCH(dms_TradingName,dms_TradingName_List))</f>
        <v>Multinet Gas (DB No.1) Pty Ltd (ACN 086 026 986), Multinet Gas (DB No.2) Pty Ltd (ACN 086 230 122)</v>
      </c>
      <c r="F2" s="220"/>
      <c r="G2" s="220"/>
      <c r="H2" s="220"/>
      <c r="I2" s="220"/>
      <c r="J2" s="220"/>
      <c r="K2" s="219"/>
      <c r="L2" s="219"/>
      <c r="M2" s="219"/>
      <c r="N2" s="219"/>
      <c r="O2" s="219"/>
      <c r="P2" s="219"/>
      <c r="Q2" s="219"/>
      <c r="R2" s="219"/>
      <c r="S2" s="219"/>
      <c r="T2" s="219"/>
      <c r="U2" s="219"/>
      <c r="V2" s="219"/>
      <c r="W2" s="219"/>
      <c r="X2" s="219"/>
      <c r="Y2" s="219"/>
      <c r="Z2" s="219"/>
      <c r="AA2" s="1267"/>
      <c r="AB2" s="1267"/>
      <c r="AC2" s="1267"/>
      <c r="AD2" s="219"/>
      <c r="AE2" s="219"/>
      <c r="AF2" s="219"/>
      <c r="AG2" s="219"/>
    </row>
    <row r="3" spans="1:33" s="217" customFormat="1" ht="24" customHeight="1">
      <c r="E3" s="2277" t="str">
        <f ca="1">IF(SUM(dms_SingleYear_Model)&gt;0,CRY,CONCATENATE(FRCP_y1," to ",dms_MultiYear_FinalYear_Result))</f>
        <v>2018 to 2022</v>
      </c>
      <c r="F3" s="221"/>
      <c r="G3" s="221"/>
      <c r="H3" s="221"/>
      <c r="I3" s="221"/>
      <c r="J3" s="221"/>
      <c r="K3" s="222" t="str">
        <f>CONCATENATE(LEFT(FRCP_y1,4),"-",LEFT(FRCP_y5,2),RIGHT(FRCP_y5,2))</f>
        <v>2018-2022</v>
      </c>
      <c r="L3" s="221"/>
      <c r="M3" s="221"/>
      <c r="N3" s="221"/>
      <c r="O3" s="221"/>
      <c r="P3" s="221"/>
      <c r="Q3" s="221"/>
      <c r="R3" s="221"/>
      <c r="S3" s="221"/>
      <c r="T3" s="221"/>
      <c r="U3" s="221"/>
      <c r="V3" s="221"/>
      <c r="W3" s="1265"/>
      <c r="X3" s="1265"/>
      <c r="Y3" s="1265"/>
      <c r="Z3" s="1265"/>
      <c r="AA3" s="1265"/>
      <c r="AB3" s="1265"/>
      <c r="AC3" s="1265"/>
      <c r="AD3" s="222"/>
      <c r="AE3" s="1265"/>
      <c r="AF3" s="1265"/>
      <c r="AG3" s="1265"/>
    </row>
    <row r="4" spans="1:33" s="159" customFormat="1" ht="24" customHeight="1">
      <c r="B4" s="10"/>
      <c r="C4" s="12"/>
      <c r="D4"/>
      <c r="E4" s="12" t="s">
        <v>456</v>
      </c>
      <c r="F4" s="12"/>
      <c r="G4" s="12"/>
      <c r="H4" s="12"/>
      <c r="I4" s="12"/>
      <c r="J4" s="12"/>
      <c r="K4" s="12"/>
      <c r="L4" s="12"/>
      <c r="M4" s="12"/>
      <c r="N4" s="12"/>
      <c r="O4" s="12"/>
      <c r="P4" s="12"/>
      <c r="Q4" s="12"/>
      <c r="R4" s="12"/>
      <c r="S4" s="12"/>
      <c r="T4" s="12"/>
      <c r="U4" s="12"/>
      <c r="V4" s="12"/>
      <c r="W4" s="12"/>
      <c r="X4" s="12"/>
      <c r="Y4" s="12"/>
      <c r="Z4" s="12"/>
      <c r="AA4" s="12"/>
      <c r="AB4" s="12"/>
      <c r="AC4" s="12"/>
      <c r="AD4" s="12"/>
      <c r="AE4" s="12"/>
      <c r="AF4" s="12"/>
      <c r="AG4" s="12"/>
    </row>
    <row r="5" spans="1:33" customFormat="1"/>
    <row r="6" spans="1:33" customFormat="1"/>
    <row r="7" spans="1:33">
      <c r="A7" s="299"/>
      <c r="B7" s="299"/>
      <c r="C7" s="299"/>
      <c r="D7" s="299"/>
      <c r="E7" s="84" t="s">
        <v>61</v>
      </c>
      <c r="F7" s="84"/>
      <c r="G7" s="84"/>
      <c r="H7" s="84"/>
      <c r="I7" s="84"/>
      <c r="J7" s="84"/>
      <c r="K7" s="84"/>
      <c r="L7" s="299"/>
      <c r="M7" s="299"/>
      <c r="N7" s="282"/>
      <c r="O7" s="282"/>
      <c r="P7" s="282"/>
      <c r="Q7" s="282"/>
      <c r="R7" s="282"/>
      <c r="S7" s="282"/>
      <c r="T7" s="282"/>
      <c r="U7" s="299"/>
      <c r="V7" s="299"/>
      <c r="Z7"/>
      <c r="AA7"/>
      <c r="AB7"/>
      <c r="AC7"/>
      <c r="AD7"/>
      <c r="AE7" s="299"/>
      <c r="AF7" s="299"/>
      <c r="AG7" s="1268"/>
    </row>
    <row r="8" spans="1:33">
      <c r="A8" s="299"/>
      <c r="B8" s="299"/>
      <c r="C8" s="299"/>
      <c r="D8" s="299"/>
      <c r="E8" s="4211" t="s">
        <v>645</v>
      </c>
      <c r="F8" s="4211"/>
      <c r="G8" s="4211"/>
      <c r="H8" s="4211"/>
      <c r="I8" s="4211"/>
      <c r="J8" s="4211"/>
      <c r="K8" s="4211"/>
      <c r="L8" s="299"/>
      <c r="M8" s="299"/>
      <c r="N8" s="282"/>
      <c r="O8" s="282"/>
      <c r="P8" s="282"/>
      <c r="Q8" s="282"/>
      <c r="R8" s="282"/>
      <c r="S8" s="282"/>
      <c r="T8" s="282"/>
      <c r="U8" s="299"/>
      <c r="V8" s="299"/>
      <c r="Z8"/>
      <c r="AA8"/>
      <c r="AB8"/>
      <c r="AC8"/>
      <c r="AD8"/>
      <c r="AE8" s="299"/>
      <c r="AF8" s="299"/>
      <c r="AG8" s="1268"/>
    </row>
    <row r="9" spans="1:33" ht="25.15" customHeight="1" thickBot="1">
      <c r="A9" s="520" t="s">
        <v>197</v>
      </c>
      <c r="B9" s="1004" t="s">
        <v>203</v>
      </c>
      <c r="D9" s="299"/>
      <c r="E9" s="4441" t="str">
        <f>CONCATENATE("As set out in cl.6.1 of the ", dms_TradingName, " RIN, for tables  9.1 to 9.2, where the requested data is captured in the ", dms_TradingName, " capex model it is not required to be reentered in the RIN template tables. If the requested data has not been provided in the RIN please enter into the tables. This may require the insertion of new lines in each table.")</f>
        <v>As set out in cl.6.1 of the Multinet Gas RIN, for tables  9.1 to 9.2, where the requested data is captured in the Multinet Gas capex model it is not required to be reentered in the RIN template tables. If the requested data has not been provided in the RIN please enter into the tables. This may require the insertion of new lines in each table.</v>
      </c>
      <c r="F9" s="4441"/>
      <c r="G9" s="4221"/>
      <c r="H9" s="4221"/>
      <c r="I9" s="4221"/>
      <c r="J9" s="4221"/>
      <c r="K9" s="4221"/>
      <c r="L9" s="299"/>
      <c r="M9" s="299"/>
      <c r="N9" s="282"/>
      <c r="O9" s="282"/>
      <c r="P9" s="282"/>
      <c r="Q9" s="282"/>
      <c r="R9" s="282"/>
      <c r="S9" s="282"/>
      <c r="T9" s="282"/>
      <c r="U9" s="299"/>
      <c r="V9" s="299"/>
      <c r="Z9"/>
      <c r="AA9"/>
      <c r="AB9"/>
      <c r="AC9"/>
      <c r="AD9"/>
      <c r="AE9" s="299"/>
      <c r="AF9" s="299"/>
      <c r="AG9" s="1268"/>
    </row>
    <row r="10" spans="1:33" ht="37.15" hidden="1" customHeight="1" thickBot="1">
      <c r="A10" s="520" t="s">
        <v>198</v>
      </c>
      <c r="B10" s="1004" t="s">
        <v>204</v>
      </c>
      <c r="D10" s="299"/>
      <c r="E10" s="4441" t="str">
        <f>CONCATENATE("Reported expenditure is to be entered EXCLUSIVE of any profit margins or management fees paid pursuant to arrangements or contracts between ", dms_TradingName," and any related parties. Include any related party margins or management fees in the separate 'Related party margin' line item.")</f>
        <v>Reported expenditure is to be entered EXCLUSIVE of any profit margins or management fees paid pursuant to arrangements or contracts between Multinet Gas and any related parties. Include any related party margins or management fees in the separate 'Related party margin' line item.</v>
      </c>
      <c r="F10" s="4441"/>
      <c r="G10" s="4221"/>
      <c r="H10" s="4221"/>
      <c r="I10" s="4221"/>
      <c r="J10" s="4221"/>
      <c r="K10" s="4221"/>
      <c r="L10" s="299"/>
      <c r="M10" s="299"/>
      <c r="N10" s="299"/>
      <c r="O10" s="299"/>
      <c r="P10" s="299"/>
      <c r="Q10" s="299"/>
      <c r="R10" s="299"/>
      <c r="S10" s="299"/>
      <c r="T10" s="299"/>
      <c r="U10" s="299"/>
      <c r="V10" s="299"/>
      <c r="Z10"/>
      <c r="AA10"/>
      <c r="AB10"/>
      <c r="AC10"/>
      <c r="AD10"/>
      <c r="AE10" s="299"/>
      <c r="AF10" s="299"/>
      <c r="AG10" s="299"/>
    </row>
    <row r="11" spans="1:33" ht="27.6" hidden="1" customHeight="1" thickBot="1">
      <c r="A11" s="520" t="s">
        <v>195</v>
      </c>
      <c r="B11" s="1004" t="s">
        <v>201</v>
      </c>
      <c r="D11" s="299"/>
      <c r="E11" s="4441" t="str">
        <f>CONCATENATE("Subject to cl.6.1 of the ", dms_TradingName, " RIN, where linked/adjustable overhead expenditure and related party margin expenditure is not provided in the ", dms_TradingName, " capex model, overhead expenditure and related party margin expenditure should be linked to allocations derived in tabs '14. Overheads' and '15. Related party transactions'.")</f>
        <v>Subject to cl.6.1 of the Multinet Gas RIN, where linked/adjustable overhead expenditure and related party margin expenditure is not provided in the Multinet Gas capex model, overhead expenditure and related party margin expenditure should be linked to allocations derived in tabs '14. Overheads' and '15. Related party transactions'.</v>
      </c>
      <c r="F11" s="4441"/>
      <c r="G11" s="4221"/>
      <c r="H11" s="4221"/>
      <c r="I11" s="4221"/>
      <c r="J11" s="4221"/>
      <c r="K11" s="4221"/>
      <c r="L11" s="299"/>
      <c r="M11" s="299"/>
      <c r="N11" s="299"/>
      <c r="O11" s="299"/>
      <c r="P11" s="299"/>
      <c r="Q11" s="299"/>
      <c r="R11" s="299"/>
      <c r="S11" s="299"/>
      <c r="T11" s="299"/>
      <c r="U11" s="299"/>
      <c r="V11" s="299"/>
      <c r="Z11"/>
      <c r="AA11"/>
      <c r="AB11"/>
      <c r="AC11"/>
      <c r="AD11"/>
      <c r="AE11" s="299"/>
      <c r="AF11" s="299"/>
      <c r="AG11" s="299"/>
    </row>
    <row r="12" spans="1:33" ht="27" hidden="1" customHeight="1" thickBot="1">
      <c r="A12" s="520" t="s">
        <v>200</v>
      </c>
      <c r="B12" s="1004" t="s">
        <v>206</v>
      </c>
      <c r="D12" s="299"/>
      <c r="E12" s="4441" t="s">
        <v>161</v>
      </c>
      <c r="F12" s="4441"/>
      <c r="G12" s="4221"/>
      <c r="H12" s="4221"/>
      <c r="I12" s="4221"/>
      <c r="J12" s="4221"/>
      <c r="K12" s="4221"/>
      <c r="L12" s="299"/>
      <c r="M12" s="299"/>
      <c r="N12" s="299"/>
      <c r="O12" s="299"/>
      <c r="P12" s="299"/>
      <c r="Q12" s="299"/>
      <c r="R12" s="299"/>
      <c r="S12" s="299"/>
      <c r="T12" s="299"/>
      <c r="U12" s="299"/>
      <c r="V12" s="299"/>
      <c r="Z12"/>
      <c r="AA12"/>
      <c r="AB12"/>
      <c r="AC12"/>
      <c r="AD12"/>
      <c r="AE12" s="299"/>
      <c r="AF12" s="299"/>
      <c r="AG12" s="299"/>
    </row>
    <row r="13" spans="1:33" s="78" customFormat="1" ht="13.5" hidden="1" thickBot="1">
      <c r="A13" s="1009" t="s">
        <v>284</v>
      </c>
      <c r="B13" s="1007" t="s">
        <v>623</v>
      </c>
      <c r="D13" s="299"/>
      <c r="E13" s="79"/>
      <c r="F13" s="299"/>
      <c r="G13" s="299"/>
      <c r="H13" s="299"/>
      <c r="I13" s="299"/>
      <c r="J13" s="299"/>
      <c r="K13" s="299"/>
      <c r="L13" s="299"/>
      <c r="M13" s="299"/>
      <c r="N13" s="299"/>
      <c r="O13" s="299"/>
      <c r="P13" s="299"/>
      <c r="Q13" s="299"/>
      <c r="R13" s="299"/>
      <c r="S13" s="299"/>
      <c r="T13" s="299"/>
      <c r="U13" s="299"/>
      <c r="V13" s="299"/>
      <c r="W13"/>
      <c r="X13"/>
      <c r="Y13"/>
      <c r="Z13" s="299"/>
      <c r="AA13" s="299"/>
      <c r="AB13" s="299"/>
      <c r="AC13" s="299"/>
      <c r="AD13" s="299"/>
      <c r="AE13" s="299"/>
      <c r="AF13" s="299"/>
      <c r="AG13" s="299"/>
    </row>
    <row r="14" spans="1:33" s="78" customFormat="1" ht="21" hidden="1" thickBot="1">
      <c r="A14" s="299"/>
      <c r="B14" s="299"/>
      <c r="C14" s="299"/>
      <c r="D14" s="299"/>
      <c r="F14" s="516"/>
      <c r="G14" s="516"/>
      <c r="H14" s="516"/>
      <c r="I14" s="516"/>
      <c r="J14" s="516"/>
      <c r="K14" s="516"/>
      <c r="L14" s="516"/>
      <c r="M14" s="516"/>
      <c r="N14" s="516"/>
      <c r="O14" s="516"/>
      <c r="P14" s="516"/>
      <c r="Q14" s="516"/>
      <c r="R14" s="516"/>
      <c r="S14" s="516"/>
      <c r="T14" s="516"/>
      <c r="U14" s="516"/>
      <c r="V14" s="516"/>
      <c r="W14"/>
      <c r="X14"/>
      <c r="Y14"/>
      <c r="Z14" s="516"/>
      <c r="AA14" s="516"/>
      <c r="AB14" s="516"/>
      <c r="AC14" s="516"/>
      <c r="AD14" s="516"/>
      <c r="AE14" s="516"/>
      <c r="AF14" s="516"/>
      <c r="AG14" s="516"/>
    </row>
    <row r="15" spans="1:33" s="223" customFormat="1" ht="24.75" customHeight="1" thickBot="1">
      <c r="A15" s="1361" t="s">
        <v>191</v>
      </c>
      <c r="B15" s="1361" t="s">
        <v>192</v>
      </c>
      <c r="C15" s="532" t="s">
        <v>207</v>
      </c>
      <c r="D15" s="299"/>
      <c r="E15" s="3544" t="s">
        <v>754</v>
      </c>
      <c r="F15" s="3544"/>
      <c r="G15" s="3545"/>
      <c r="H15" s="3545"/>
      <c r="I15" s="3545"/>
      <c r="J15" s="3545"/>
      <c r="K15" s="3545"/>
      <c r="L15" s="3545"/>
      <c r="M15" s="3545"/>
      <c r="N15" s="3545"/>
      <c r="O15" s="3545"/>
      <c r="P15" s="3545"/>
      <c r="Q15" s="3545"/>
      <c r="R15" s="3545"/>
      <c r="S15" s="3545"/>
      <c r="T15" s="3545"/>
      <c r="U15" s="3545"/>
      <c r="V15" s="3544"/>
      <c r="W15" s="1266"/>
      <c r="X15" s="1266"/>
      <c r="Y15" s="1266"/>
      <c r="Z15" s="769" t="s">
        <v>674</v>
      </c>
      <c r="AA15" s="833"/>
      <c r="AB15" s="833"/>
      <c r="AC15" s="833"/>
      <c r="AD15" s="833"/>
      <c r="AE15" s="833"/>
      <c r="AF15" s="833"/>
      <c r="AG15" s="1821"/>
    </row>
    <row r="16" spans="1:33" s="223" customFormat="1" ht="24.75" customHeight="1" thickBot="1">
      <c r="A16" s="299" t="s">
        <v>191</v>
      </c>
      <c r="B16" s="1372" t="s">
        <v>192</v>
      </c>
      <c r="C16" s="1373" t="s">
        <v>207</v>
      </c>
      <c r="D16"/>
      <c r="E16" s="3546" t="s">
        <v>755</v>
      </c>
      <c r="F16" s="3547"/>
      <c r="G16" s="3547"/>
      <c r="H16" s="3547"/>
      <c r="I16" s="3547"/>
      <c r="J16" s="3547"/>
      <c r="K16" s="3547"/>
      <c r="L16" s="3547"/>
      <c r="M16" s="3547"/>
      <c r="N16" s="3547"/>
      <c r="O16" s="3547"/>
      <c r="P16" s="3547"/>
      <c r="Q16" s="3547"/>
      <c r="R16" s="3547"/>
      <c r="S16" s="3547"/>
      <c r="T16" s="3547"/>
      <c r="U16" s="3547"/>
      <c r="V16" s="3548"/>
      <c r="W16" s="1266"/>
      <c r="X16" s="1266"/>
      <c r="Y16" s="1266"/>
      <c r="Z16" s="1372"/>
      <c r="AA16" s="1373"/>
      <c r="AB16" s="1373"/>
      <c r="AC16" s="1373"/>
      <c r="AD16" s="1373"/>
      <c r="AE16" s="1373"/>
      <c r="AF16" s="1373"/>
      <c r="AG16" s="1374"/>
    </row>
    <row r="17" spans="2:33" s="501" customFormat="1" ht="15.75" customHeight="1">
      <c r="B17" s="299"/>
      <c r="C17" s="299"/>
      <c r="D17" s="299"/>
      <c r="E17" s="3578"/>
      <c r="F17" s="3579"/>
      <c r="G17" s="4427" t="s">
        <v>36</v>
      </c>
      <c r="H17" s="4428"/>
      <c r="I17" s="4428"/>
      <c r="J17" s="4428"/>
      <c r="K17" s="4428"/>
      <c r="L17" s="4424" t="s">
        <v>37</v>
      </c>
      <c r="M17" s="4425"/>
      <c r="N17" s="4425"/>
      <c r="O17" s="4425"/>
      <c r="P17" s="4425"/>
      <c r="Q17" s="4456" t="s">
        <v>75</v>
      </c>
      <c r="R17" s="4456"/>
      <c r="S17" s="4456"/>
      <c r="T17" s="4456"/>
      <c r="U17" s="4457"/>
      <c r="V17" s="4445" t="s">
        <v>162</v>
      </c>
      <c r="W17"/>
      <c r="X17"/>
      <c r="Y17"/>
      <c r="Z17" s="4186" t="s">
        <v>36</v>
      </c>
      <c r="AA17" s="4137"/>
      <c r="AB17" s="4137"/>
      <c r="AC17" s="4137"/>
      <c r="AD17" s="4137"/>
      <c r="AE17" s="4187" t="s">
        <v>37</v>
      </c>
      <c r="AF17" s="4188"/>
      <c r="AG17" s="4189"/>
    </row>
    <row r="18" spans="2:33" s="501" customFormat="1" ht="12.75" customHeight="1">
      <c r="B18" s="299"/>
      <c r="C18" s="299"/>
      <c r="D18" s="299"/>
      <c r="E18" s="3580"/>
      <c r="F18" s="3581"/>
      <c r="G18" s="4385" t="s">
        <v>569</v>
      </c>
      <c r="H18" s="4386"/>
      <c r="I18" s="4386"/>
      <c r="J18" s="4386"/>
      <c r="K18" s="4386"/>
      <c r="L18" s="4386"/>
      <c r="M18" s="4386"/>
      <c r="N18" s="4391"/>
      <c r="O18" s="4388" t="str">
        <f>CONCATENATE("$0's, real ",dms_DollarReal)</f>
        <v>$0's, real December 2017</v>
      </c>
      <c r="P18" s="4389"/>
      <c r="Q18" s="4389"/>
      <c r="R18" s="4389"/>
      <c r="S18" s="4389"/>
      <c r="T18" s="4389"/>
      <c r="U18" s="4390"/>
      <c r="V18" s="4445"/>
      <c r="W18"/>
      <c r="X18"/>
      <c r="Y18"/>
      <c r="Z18" s="4217" t="str">
        <f>CONCATENATE("$0's, real ",dms_DollarReal)</f>
        <v>$0's, real December 2017</v>
      </c>
      <c r="AA18" s="4129"/>
      <c r="AB18" s="4129"/>
      <c r="AC18" s="4129"/>
      <c r="AD18" s="4129"/>
      <c r="AE18" s="4129"/>
      <c r="AF18" s="4129"/>
      <c r="AG18" s="4130"/>
    </row>
    <row r="19" spans="2:33" s="501" customFormat="1" ht="15" customHeight="1">
      <c r="B19" s="299"/>
      <c r="C19" s="299"/>
      <c r="D19" s="299"/>
      <c r="E19" s="3580"/>
      <c r="F19" s="3581"/>
      <c r="G19" s="4385" t="s">
        <v>56</v>
      </c>
      <c r="H19" s="4386"/>
      <c r="I19" s="4386"/>
      <c r="J19" s="4386"/>
      <c r="K19" s="4386"/>
      <c r="L19" s="4386"/>
      <c r="M19" s="4386"/>
      <c r="N19" s="4391"/>
      <c r="O19" s="4388" t="s">
        <v>57</v>
      </c>
      <c r="P19" s="4389"/>
      <c r="Q19" s="4389"/>
      <c r="R19" s="4389"/>
      <c r="S19" s="4389"/>
      <c r="T19" s="4389"/>
      <c r="U19" s="4390"/>
      <c r="V19" s="4445"/>
      <c r="W19"/>
      <c r="X19"/>
      <c r="Y19"/>
      <c r="Z19" s="4125" t="s">
        <v>56</v>
      </c>
      <c r="AA19" s="4126"/>
      <c r="AB19" s="4126"/>
      <c r="AC19" s="4126"/>
      <c r="AD19" s="4126"/>
      <c r="AE19" s="4126"/>
      <c r="AF19" s="4126"/>
      <c r="AG19" s="4169"/>
    </row>
    <row r="20" spans="2:33" s="501" customFormat="1" ht="15" customHeight="1" thickBot="1">
      <c r="B20" s="299"/>
      <c r="C20" s="299"/>
      <c r="D20" s="299"/>
      <c r="E20" s="3582"/>
      <c r="F20" s="3583"/>
      <c r="G20" s="3559">
        <f t="array" ref="G20:K20">PRCP</f>
        <v>2008</v>
      </c>
      <c r="H20" s="3560">
        <v>2009</v>
      </c>
      <c r="I20" s="3560">
        <v>2010</v>
      </c>
      <c r="J20" s="3560">
        <v>2011</v>
      </c>
      <c r="K20" s="3560">
        <v>2012</v>
      </c>
      <c r="L20" s="3561">
        <f>CRCP_y1</f>
        <v>2013</v>
      </c>
      <c r="M20" s="3561">
        <f>CRCP_y2</f>
        <v>2014</v>
      </c>
      <c r="N20" s="3561">
        <f>CRCP_y3</f>
        <v>2015</v>
      </c>
      <c r="O20" s="3561">
        <f>CRCP_y4</f>
        <v>2016</v>
      </c>
      <c r="P20" s="3561">
        <f>CRCP_y5</f>
        <v>2017</v>
      </c>
      <c r="Q20" s="3560" t="str">
        <f t="array" ref="Q20:U20">FRCP</f>
        <v>2018</v>
      </c>
      <c r="R20" s="3560">
        <v>2019</v>
      </c>
      <c r="S20" s="3560">
        <v>2020</v>
      </c>
      <c r="T20" s="3560">
        <v>2021</v>
      </c>
      <c r="U20" s="3584">
        <v>2022</v>
      </c>
      <c r="V20" s="4446"/>
      <c r="W20"/>
      <c r="X20"/>
      <c r="Y20"/>
      <c r="Z20" s="1521">
        <f t="array" ref="Z20:AD20">PRCP</f>
        <v>2008</v>
      </c>
      <c r="AA20" s="374">
        <v>2009</v>
      </c>
      <c r="AB20" s="374">
        <v>2010</v>
      </c>
      <c r="AC20" s="374">
        <v>2011</v>
      </c>
      <c r="AD20" s="374">
        <v>2012</v>
      </c>
      <c r="AE20" s="376">
        <f>CRCP_y1</f>
        <v>2013</v>
      </c>
      <c r="AF20" s="376">
        <f>CRCP_y2</f>
        <v>2014</v>
      </c>
      <c r="AG20" s="568">
        <f>CRCP_y3</f>
        <v>2015</v>
      </c>
    </row>
    <row r="21" spans="2:33" s="78" customFormat="1" ht="12.75" customHeight="1">
      <c r="D21" s="299"/>
      <c r="E21" s="4450" t="s">
        <v>1592</v>
      </c>
      <c r="F21" s="3288" t="s">
        <v>624</v>
      </c>
      <c r="G21" s="497"/>
      <c r="H21" s="495"/>
      <c r="I21" s="495"/>
      <c r="J21" s="495"/>
      <c r="K21" s="495"/>
      <c r="L21" s="564"/>
      <c r="M21" s="565"/>
      <c r="N21" s="565"/>
      <c r="O21" s="565"/>
      <c r="P21" s="565"/>
      <c r="Q21" s="497"/>
      <c r="R21" s="495"/>
      <c r="S21" s="495"/>
      <c r="T21" s="495"/>
      <c r="U21" s="495"/>
      <c r="V21" s="4447"/>
      <c r="W21"/>
      <c r="X21"/>
      <c r="Y21"/>
      <c r="Z21" s="497"/>
      <c r="AA21" s="495"/>
      <c r="AB21" s="495"/>
      <c r="AC21" s="495"/>
      <c r="AD21" s="495"/>
      <c r="AE21" s="564"/>
      <c r="AF21" s="565"/>
      <c r="AG21" s="566"/>
    </row>
    <row r="22" spans="2:33" ht="12.75" customHeight="1">
      <c r="B22" s="78"/>
      <c r="C22" s="78"/>
      <c r="D22" s="299"/>
      <c r="E22" s="4451"/>
      <c r="F22" s="3289" t="s">
        <v>585</v>
      </c>
      <c r="G22" s="497"/>
      <c r="H22" s="495"/>
      <c r="I22" s="495"/>
      <c r="J22" s="495"/>
      <c r="K22" s="495"/>
      <c r="L22" s="486"/>
      <c r="M22" s="485"/>
      <c r="N22" s="485"/>
      <c r="O22" s="485"/>
      <c r="P22" s="485"/>
      <c r="Q22" s="497"/>
      <c r="R22" s="495"/>
      <c r="S22" s="495"/>
      <c r="T22" s="495"/>
      <c r="U22" s="495"/>
      <c r="V22" s="4448"/>
      <c r="Z22" s="497"/>
      <c r="AA22" s="495"/>
      <c r="AB22" s="495"/>
      <c r="AC22" s="495"/>
      <c r="AD22" s="495"/>
      <c r="AE22" s="489"/>
      <c r="AF22" s="490"/>
      <c r="AG22" s="491"/>
    </row>
    <row r="23" spans="2:33" ht="12.75" customHeight="1">
      <c r="D23" s="299"/>
      <c r="E23" s="4451"/>
      <c r="F23" s="3289" t="s">
        <v>584</v>
      </c>
      <c r="G23" s="497"/>
      <c r="H23" s="495"/>
      <c r="I23" s="495"/>
      <c r="J23" s="495"/>
      <c r="K23" s="495"/>
      <c r="L23" s="3118">
        <v>138424.56256725843</v>
      </c>
      <c r="M23" s="485">
        <v>346225.26999999996</v>
      </c>
      <c r="N23" s="3119">
        <v>385531.92000000004</v>
      </c>
      <c r="O23" s="485">
        <v>774377.94</v>
      </c>
      <c r="P23" s="485">
        <v>1300000</v>
      </c>
      <c r="Q23" s="497"/>
      <c r="R23" s="495"/>
      <c r="S23" s="495"/>
      <c r="T23" s="495"/>
      <c r="U23" s="495"/>
      <c r="V23" s="4448"/>
      <c r="Z23" s="497"/>
      <c r="AA23" s="495"/>
      <c r="AB23" s="495"/>
      <c r="AC23" s="495"/>
      <c r="AD23" s="495"/>
      <c r="AE23" s="489"/>
      <c r="AF23" s="490"/>
      <c r="AG23" s="491"/>
    </row>
    <row r="24" spans="2:33" ht="12.75" customHeight="1">
      <c r="D24" s="299"/>
      <c r="E24" s="4451"/>
      <c r="F24" s="3289" t="s">
        <v>604</v>
      </c>
      <c r="G24" s="497"/>
      <c r="H24" s="495"/>
      <c r="I24" s="495"/>
      <c r="J24" s="495"/>
      <c r="K24" s="495"/>
      <c r="L24" s="486"/>
      <c r="M24" s="485"/>
      <c r="N24" s="485"/>
      <c r="O24" s="485"/>
      <c r="P24" s="485"/>
      <c r="Q24" s="497"/>
      <c r="R24" s="495"/>
      <c r="S24" s="495"/>
      <c r="T24" s="495"/>
      <c r="U24" s="495"/>
      <c r="V24" s="4448"/>
      <c r="Z24" s="497"/>
      <c r="AA24" s="495"/>
      <c r="AB24" s="495"/>
      <c r="AC24" s="495"/>
      <c r="AD24" s="495"/>
      <c r="AE24" s="489"/>
      <c r="AF24" s="490"/>
      <c r="AG24" s="491"/>
    </row>
    <row r="25" spans="2:33" ht="12.75" customHeight="1">
      <c r="D25" s="299"/>
      <c r="E25" s="4451"/>
      <c r="F25" s="3290" t="s">
        <v>592</v>
      </c>
      <c r="G25" s="486">
        <v>378278.1</v>
      </c>
      <c r="H25" s="485">
        <v>475153.038</v>
      </c>
      <c r="I25" s="485">
        <v>300457.30499999999</v>
      </c>
      <c r="J25" s="485">
        <v>590588.2440000003</v>
      </c>
      <c r="K25" s="650">
        <v>0</v>
      </c>
      <c r="L25" s="384">
        <f>SUM(L22:L24)</f>
        <v>138424.56256725843</v>
      </c>
      <c r="M25" s="385">
        <f t="shared" ref="M25:P25" si="0">SUM(M22:M24)</f>
        <v>346225.26999999996</v>
      </c>
      <c r="N25" s="385">
        <f t="shared" si="0"/>
        <v>385531.92000000004</v>
      </c>
      <c r="O25" s="385">
        <f t="shared" si="0"/>
        <v>774377.94</v>
      </c>
      <c r="P25" s="385">
        <f t="shared" si="0"/>
        <v>1300000</v>
      </c>
      <c r="Q25" s="486">
        <f>'[7]Regulatory Export'!F20*1000/1.06</f>
        <v>2428631.2269614995</v>
      </c>
      <c r="R25" s="485">
        <f>'[7]Regulatory Export'!G20*1000/1.06</f>
        <v>2135234.7865442997</v>
      </c>
      <c r="S25" s="485">
        <f>'[7]Regulatory Export'!H20*1000/1.06</f>
        <v>1462214.0313199996</v>
      </c>
      <c r="T25" s="485">
        <f>'[7]Regulatory Export'!I20*1000/1.06</f>
        <v>1650421.6384545001</v>
      </c>
      <c r="U25" s="650">
        <f>'[7]Regulatory Export'!J20*1000/1.06</f>
        <v>1509043.1971</v>
      </c>
      <c r="V25" s="4448"/>
      <c r="Z25" s="489"/>
      <c r="AA25" s="490"/>
      <c r="AB25" s="490"/>
      <c r="AC25" s="490"/>
      <c r="AD25" s="1292"/>
      <c r="AE25" s="384">
        <f t="shared" ref="AE25" si="1">SUM(AE22:AE24)</f>
        <v>0</v>
      </c>
      <c r="AF25" s="385">
        <f t="shared" ref="AF25:AG25" si="2">SUM(AF22:AF24)</f>
        <v>0</v>
      </c>
      <c r="AG25" s="477">
        <f t="shared" si="2"/>
        <v>0</v>
      </c>
    </row>
    <row r="26" spans="2:33" ht="12.75" customHeight="1">
      <c r="D26" s="299"/>
      <c r="E26" s="4451"/>
      <c r="F26" s="3289" t="s">
        <v>609</v>
      </c>
      <c r="G26" s="486">
        <v>41804.318328840964</v>
      </c>
      <c r="H26" s="485">
        <v>20273.196288000003</v>
      </c>
      <c r="I26" s="485">
        <v>33474.862785326084</v>
      </c>
      <c r="J26" s="485">
        <v>65056.192110154923</v>
      </c>
      <c r="K26" s="650">
        <v>0</v>
      </c>
      <c r="L26" s="486">
        <v>5734.3374327415413</v>
      </c>
      <c r="M26" s="485">
        <v>15078.769999999999</v>
      </c>
      <c r="N26" s="485">
        <v>20346.079999999998</v>
      </c>
      <c r="O26" s="485">
        <f>O25*0.05243291</f>
        <v>40602.888834005396</v>
      </c>
      <c r="P26" s="485">
        <f>P25*0.06</f>
        <v>78000</v>
      </c>
      <c r="Q26" s="486">
        <f>Q25*0.06</f>
        <v>145717.87361768997</v>
      </c>
      <c r="R26" s="485">
        <f t="shared" ref="R26:U26" si="3">R25*0.06</f>
        <v>128114.08719265797</v>
      </c>
      <c r="S26" s="485">
        <f t="shared" si="3"/>
        <v>87732.841879199972</v>
      </c>
      <c r="T26" s="485">
        <f t="shared" si="3"/>
        <v>99025.298307270001</v>
      </c>
      <c r="U26" s="650">
        <f t="shared" si="3"/>
        <v>90542.591825999989</v>
      </c>
      <c r="V26" s="4448"/>
      <c r="Z26" s="489"/>
      <c r="AA26" s="490"/>
      <c r="AB26" s="490"/>
      <c r="AC26" s="490"/>
      <c r="AD26" s="1292"/>
      <c r="AE26" s="536"/>
      <c r="AF26" s="537"/>
      <c r="AG26" s="573"/>
    </row>
    <row r="27" spans="2:33" ht="12.75" customHeight="1">
      <c r="D27" s="299"/>
      <c r="E27" s="4451"/>
      <c r="F27" s="3289" t="s">
        <v>607</v>
      </c>
      <c r="G27" s="486"/>
      <c r="H27" s="485"/>
      <c r="I27" s="485"/>
      <c r="J27" s="485"/>
      <c r="K27" s="650"/>
      <c r="L27" s="499"/>
      <c r="M27" s="494"/>
      <c r="N27" s="494"/>
      <c r="O27" s="494"/>
      <c r="P27" s="494"/>
      <c r="Q27" s="486"/>
      <c r="R27" s="485"/>
      <c r="S27" s="485"/>
      <c r="T27" s="485"/>
      <c r="U27" s="650"/>
      <c r="V27" s="4448"/>
      <c r="Z27" s="489"/>
      <c r="AA27" s="490"/>
      <c r="AB27" s="490"/>
      <c r="AC27" s="490"/>
      <c r="AD27" s="1292"/>
      <c r="AE27" s="489"/>
      <c r="AF27" s="490"/>
      <c r="AG27" s="491"/>
    </row>
    <row r="28" spans="2:33" ht="12.75" customHeight="1">
      <c r="D28" s="299"/>
      <c r="E28" s="4451"/>
      <c r="F28" s="3290" t="s">
        <v>610</v>
      </c>
      <c r="G28" s="384">
        <f t="shared" ref="G28:U28" si="4">SUM(G25:G27)</f>
        <v>420082.41832884093</v>
      </c>
      <c r="H28" s="385">
        <f t="shared" si="4"/>
        <v>495426.23428799998</v>
      </c>
      <c r="I28" s="385">
        <f t="shared" si="4"/>
        <v>333932.16778532608</v>
      </c>
      <c r="J28" s="385">
        <f t="shared" si="4"/>
        <v>655644.43611015519</v>
      </c>
      <c r="K28" s="651">
        <f t="shared" si="4"/>
        <v>0</v>
      </c>
      <c r="L28" s="384">
        <f t="shared" si="4"/>
        <v>144158.89999999997</v>
      </c>
      <c r="M28" s="385">
        <f t="shared" si="4"/>
        <v>361304.04</v>
      </c>
      <c r="N28" s="385">
        <f t="shared" si="4"/>
        <v>405878.00000000006</v>
      </c>
      <c r="O28" s="385">
        <f>SUM(O25:O27)</f>
        <v>814980.8288340054</v>
      </c>
      <c r="P28" s="385">
        <f t="shared" si="4"/>
        <v>1378000</v>
      </c>
      <c r="Q28" s="384">
        <f t="shared" si="4"/>
        <v>2574349.1005791896</v>
      </c>
      <c r="R28" s="385">
        <f t="shared" si="4"/>
        <v>2263348.8737369576</v>
      </c>
      <c r="S28" s="385">
        <f t="shared" si="4"/>
        <v>1549946.8731991996</v>
      </c>
      <c r="T28" s="385">
        <f t="shared" si="4"/>
        <v>1749446.9367617702</v>
      </c>
      <c r="U28" s="651">
        <f t="shared" si="4"/>
        <v>1599585.788926</v>
      </c>
      <c r="V28" s="4448"/>
      <c r="Z28" s="384">
        <f t="shared" ref="Z28:AG28" si="5">SUM(Z26:Z27)</f>
        <v>0</v>
      </c>
      <c r="AA28" s="385">
        <f t="shared" si="5"/>
        <v>0</v>
      </c>
      <c r="AB28" s="385">
        <f t="shared" si="5"/>
        <v>0</v>
      </c>
      <c r="AC28" s="385">
        <f t="shared" si="5"/>
        <v>0</v>
      </c>
      <c r="AD28" s="651">
        <f t="shared" si="5"/>
        <v>0</v>
      </c>
      <c r="AE28" s="384">
        <f t="shared" si="5"/>
        <v>0</v>
      </c>
      <c r="AF28" s="385">
        <f t="shared" si="5"/>
        <v>0</v>
      </c>
      <c r="AG28" s="477">
        <f t="shared" si="5"/>
        <v>0</v>
      </c>
    </row>
    <row r="29" spans="2:33" ht="12.75" customHeight="1">
      <c r="D29" s="299"/>
      <c r="E29" s="4451"/>
      <c r="F29" s="3289" t="s">
        <v>35</v>
      </c>
      <c r="G29" s="486"/>
      <c r="H29" s="485"/>
      <c r="I29" s="485"/>
      <c r="J29" s="485"/>
      <c r="K29" s="650"/>
      <c r="L29" s="486"/>
      <c r="M29" s="485"/>
      <c r="N29" s="485"/>
      <c r="O29" s="485"/>
      <c r="P29" s="3119"/>
      <c r="Q29" s="486"/>
      <c r="R29" s="485"/>
      <c r="S29" s="485"/>
      <c r="T29" s="485"/>
      <c r="U29" s="650"/>
      <c r="V29" s="4448"/>
      <c r="Z29" s="489"/>
      <c r="AA29" s="490"/>
      <c r="AB29" s="490"/>
      <c r="AC29" s="490"/>
      <c r="AD29" s="1292"/>
      <c r="AE29" s="489"/>
      <c r="AF29" s="490"/>
      <c r="AG29" s="491"/>
    </row>
    <row r="30" spans="2:33" ht="13.5" customHeight="1" thickBot="1">
      <c r="D30" s="299"/>
      <c r="E30" s="4452"/>
      <c r="F30" s="3291" t="s">
        <v>611</v>
      </c>
      <c r="G30" s="1458">
        <f t="shared" ref="G30:U30" si="6">G28-G29</f>
        <v>420082.41832884093</v>
      </c>
      <c r="H30" s="387">
        <f t="shared" si="6"/>
        <v>495426.23428799998</v>
      </c>
      <c r="I30" s="387">
        <f t="shared" si="6"/>
        <v>333932.16778532608</v>
      </c>
      <c r="J30" s="387">
        <f t="shared" si="6"/>
        <v>655644.43611015519</v>
      </c>
      <c r="K30" s="653">
        <f t="shared" si="6"/>
        <v>0</v>
      </c>
      <c r="L30" s="1458">
        <f>L28-L29</f>
        <v>144158.89999999997</v>
      </c>
      <c r="M30" s="387">
        <f>M28-M29</f>
        <v>361304.04</v>
      </c>
      <c r="N30" s="387">
        <f>N28-N29</f>
        <v>405878.00000000006</v>
      </c>
      <c r="O30" s="387">
        <f t="shared" si="6"/>
        <v>814980.8288340054</v>
      </c>
      <c r="P30" s="387">
        <f t="shared" si="6"/>
        <v>1378000</v>
      </c>
      <c r="Q30" s="1458">
        <f t="shared" si="6"/>
        <v>2574349.1005791896</v>
      </c>
      <c r="R30" s="387">
        <f t="shared" si="6"/>
        <v>2263348.8737369576</v>
      </c>
      <c r="S30" s="387">
        <f t="shared" si="6"/>
        <v>1549946.8731991996</v>
      </c>
      <c r="T30" s="387">
        <f t="shared" si="6"/>
        <v>1749446.9367617702</v>
      </c>
      <c r="U30" s="653">
        <f t="shared" si="6"/>
        <v>1599585.788926</v>
      </c>
      <c r="V30" s="4449"/>
      <c r="Z30" s="1458">
        <f t="shared" ref="Z30:AD30" si="7">Z28-Z29</f>
        <v>0</v>
      </c>
      <c r="AA30" s="387">
        <f t="shared" si="7"/>
        <v>0</v>
      </c>
      <c r="AB30" s="387">
        <f t="shared" si="7"/>
        <v>0</v>
      </c>
      <c r="AC30" s="387">
        <f t="shared" si="7"/>
        <v>0</v>
      </c>
      <c r="AD30" s="653">
        <f t="shared" si="7"/>
        <v>0</v>
      </c>
      <c r="AE30" s="1458">
        <f>AE28-AE29</f>
        <v>0</v>
      </c>
      <c r="AF30" s="387">
        <f>AF28-AF29</f>
        <v>0</v>
      </c>
      <c r="AG30" s="528">
        <f t="shared" ref="AG30" si="8">AG28-AG29</f>
        <v>0</v>
      </c>
    </row>
    <row r="31" spans="2:33" s="501" customFormat="1" ht="12.75" customHeight="1">
      <c r="D31" s="299"/>
      <c r="E31" s="4461" t="s">
        <v>1593</v>
      </c>
      <c r="F31" s="3288" t="s">
        <v>624</v>
      </c>
      <c r="G31" s="553"/>
      <c r="H31" s="554"/>
      <c r="I31" s="554"/>
      <c r="J31" s="554"/>
      <c r="K31" s="554"/>
      <c r="L31" s="564"/>
      <c r="M31" s="565"/>
      <c r="N31" s="565"/>
      <c r="O31" s="565"/>
      <c r="P31" s="565"/>
      <c r="Q31" s="553"/>
      <c r="R31" s="554"/>
      <c r="S31" s="554"/>
      <c r="T31" s="554"/>
      <c r="U31" s="554"/>
      <c r="V31" s="4447"/>
      <c r="W31" s="1266"/>
      <c r="X31" s="1266"/>
      <c r="Y31" s="1266"/>
      <c r="Z31" s="3285"/>
      <c r="AA31" s="3286"/>
      <c r="AB31" s="3286"/>
      <c r="AC31" s="3286"/>
      <c r="AD31" s="3286"/>
      <c r="AE31" s="3285"/>
      <c r="AF31" s="3286"/>
      <c r="AG31" s="3287"/>
    </row>
    <row r="32" spans="2:33" s="501" customFormat="1" ht="12.75" customHeight="1">
      <c r="D32" s="299"/>
      <c r="E32" s="4462"/>
      <c r="F32" s="3289" t="s">
        <v>585</v>
      </c>
      <c r="G32" s="497"/>
      <c r="H32" s="495"/>
      <c r="I32" s="495"/>
      <c r="J32" s="495"/>
      <c r="K32" s="495"/>
      <c r="L32" s="486"/>
      <c r="M32" s="485"/>
      <c r="N32" s="485"/>
      <c r="O32" s="485"/>
      <c r="P32" s="485"/>
      <c r="Q32" s="497"/>
      <c r="R32" s="495"/>
      <c r="S32" s="495"/>
      <c r="T32" s="495"/>
      <c r="U32" s="495"/>
      <c r="V32" s="4448"/>
      <c r="W32" s="1266"/>
      <c r="X32" s="1266"/>
      <c r="Y32" s="1266"/>
      <c r="Z32" s="3285"/>
      <c r="AA32" s="3286"/>
      <c r="AB32" s="3286"/>
      <c r="AC32" s="3286"/>
      <c r="AD32" s="3286"/>
      <c r="AE32" s="3285"/>
      <c r="AF32" s="3286"/>
      <c r="AG32" s="3287"/>
    </row>
    <row r="33" spans="4:33" s="501" customFormat="1" ht="12.75" customHeight="1">
      <c r="D33" s="299"/>
      <c r="E33" s="4462"/>
      <c r="F33" s="3289" t="s">
        <v>584</v>
      </c>
      <c r="G33" s="497"/>
      <c r="H33" s="495"/>
      <c r="I33" s="495"/>
      <c r="J33" s="495"/>
      <c r="K33" s="495"/>
      <c r="L33" s="486">
        <v>95610.158000101161</v>
      </c>
      <c r="M33" s="3522">
        <v>0</v>
      </c>
      <c r="N33" s="3119">
        <v>182091</v>
      </c>
      <c r="O33" s="485"/>
      <c r="P33" s="485"/>
      <c r="Q33" s="497"/>
      <c r="R33" s="495"/>
      <c r="S33" s="495"/>
      <c r="T33" s="495"/>
      <c r="U33" s="495"/>
      <c r="V33" s="4448"/>
      <c r="W33" s="1266"/>
      <c r="X33" s="1266"/>
      <c r="Y33" s="1266"/>
      <c r="Z33" s="3285"/>
      <c r="AA33" s="3286"/>
      <c r="AB33" s="3286"/>
      <c r="AC33" s="3286"/>
      <c r="AD33" s="3286"/>
      <c r="AE33" s="3285"/>
      <c r="AF33" s="3286"/>
      <c r="AG33" s="3287"/>
    </row>
    <row r="34" spans="4:33" s="501" customFormat="1" ht="12.75" customHeight="1">
      <c r="D34" s="299"/>
      <c r="E34" s="4462"/>
      <c r="F34" s="3289" t="s">
        <v>604</v>
      </c>
      <c r="G34" s="497"/>
      <c r="H34" s="495"/>
      <c r="I34" s="495"/>
      <c r="J34" s="495"/>
      <c r="K34" s="495"/>
      <c r="L34" s="486"/>
      <c r="M34" s="485"/>
      <c r="N34" s="485">
        <v>0</v>
      </c>
      <c r="O34" s="485"/>
      <c r="P34" s="485"/>
      <c r="Q34" s="497"/>
      <c r="R34" s="495"/>
      <c r="S34" s="495"/>
      <c r="T34" s="495"/>
      <c r="U34" s="495"/>
      <c r="V34" s="4448"/>
      <c r="W34" s="1266"/>
      <c r="X34" s="1266"/>
      <c r="Y34" s="1266"/>
      <c r="Z34" s="3285"/>
      <c r="AA34" s="3286"/>
      <c r="AB34" s="3286"/>
      <c r="AC34" s="3286"/>
      <c r="AD34" s="3286"/>
      <c r="AE34" s="3285"/>
      <c r="AF34" s="3286"/>
      <c r="AG34" s="3287"/>
    </row>
    <row r="35" spans="4:33" s="501" customFormat="1" ht="12.75" customHeight="1">
      <c r="D35" s="299"/>
      <c r="E35" s="4462"/>
      <c r="F35" s="3290" t="s">
        <v>592</v>
      </c>
      <c r="G35" s="486">
        <v>0</v>
      </c>
      <c r="H35" s="485">
        <v>0</v>
      </c>
      <c r="I35" s="485">
        <v>149320.91700000002</v>
      </c>
      <c r="J35" s="485">
        <v>21671.729999999996</v>
      </c>
      <c r="K35" s="650">
        <v>185200</v>
      </c>
      <c r="L35" s="384">
        <f t="shared" ref="L35:P35" si="9">SUM(L32:L34)</f>
        <v>95610.158000101161</v>
      </c>
      <c r="M35" s="385">
        <f t="shared" si="9"/>
        <v>0</v>
      </c>
      <c r="N35" s="385">
        <f t="shared" si="9"/>
        <v>182091</v>
      </c>
      <c r="O35" s="385">
        <f t="shared" si="9"/>
        <v>0</v>
      </c>
      <c r="P35" s="385">
        <f t="shared" si="9"/>
        <v>0</v>
      </c>
      <c r="Q35" s="486">
        <v>0</v>
      </c>
      <c r="R35" s="485">
        <v>0</v>
      </c>
      <c r="S35" s="485">
        <v>0</v>
      </c>
      <c r="T35" s="485">
        <v>0</v>
      </c>
      <c r="U35" s="650">
        <v>0</v>
      </c>
      <c r="V35" s="4448"/>
      <c r="W35" s="1266"/>
      <c r="X35" s="1266"/>
      <c r="Y35" s="1266"/>
      <c r="Z35" s="3285"/>
      <c r="AA35" s="3286"/>
      <c r="AB35" s="3286"/>
      <c r="AC35" s="3286"/>
      <c r="AD35" s="3286"/>
      <c r="AE35" s="3285"/>
      <c r="AF35" s="3286"/>
      <c r="AG35" s="3287"/>
    </row>
    <row r="36" spans="4:33" s="501" customFormat="1" ht="12.75" customHeight="1">
      <c r="D36" s="299"/>
      <c r="E36" s="4462"/>
      <c r="F36" s="3289" t="s">
        <v>609</v>
      </c>
      <c r="G36" s="486">
        <v>0</v>
      </c>
      <c r="H36" s="485">
        <v>0</v>
      </c>
      <c r="I36" s="485">
        <v>16636.297817934785</v>
      </c>
      <c r="J36" s="485">
        <v>2387.2473666092933</v>
      </c>
      <c r="K36" s="650">
        <v>19933.608072813535</v>
      </c>
      <c r="L36" s="486">
        <v>4822.0019998988428</v>
      </c>
      <c r="M36" s="485">
        <v>0</v>
      </c>
      <c r="N36" s="485">
        <v>0</v>
      </c>
      <c r="O36" s="485">
        <f t="shared" ref="O36:P36" si="10">O35*0.06</f>
        <v>0</v>
      </c>
      <c r="P36" s="485">
        <f t="shared" si="10"/>
        <v>0</v>
      </c>
      <c r="Q36" s="486">
        <v>0</v>
      </c>
      <c r="R36" s="485">
        <v>0</v>
      </c>
      <c r="S36" s="485">
        <v>0</v>
      </c>
      <c r="T36" s="485">
        <v>0</v>
      </c>
      <c r="U36" s="650">
        <v>0</v>
      </c>
      <c r="V36" s="4448"/>
      <c r="W36" s="1266"/>
      <c r="X36" s="1266"/>
      <c r="Y36" s="1266"/>
      <c r="Z36" s="3285"/>
      <c r="AA36" s="3286"/>
      <c r="AB36" s="3286"/>
      <c r="AC36" s="3286"/>
      <c r="AD36" s="3286"/>
      <c r="AE36" s="3285"/>
      <c r="AF36" s="3286"/>
      <c r="AG36" s="3287"/>
    </row>
    <row r="37" spans="4:33" s="501" customFormat="1" ht="12.75" customHeight="1">
      <c r="D37" s="299"/>
      <c r="E37" s="4462"/>
      <c r="F37" s="3289" t="s">
        <v>607</v>
      </c>
      <c r="G37" s="486"/>
      <c r="H37" s="485"/>
      <c r="I37" s="485"/>
      <c r="J37" s="485"/>
      <c r="K37" s="650"/>
      <c r="L37" s="499"/>
      <c r="M37" s="494"/>
      <c r="N37" s="494"/>
      <c r="O37" s="494"/>
      <c r="P37" s="494"/>
      <c r="Q37" s="486"/>
      <c r="R37" s="485"/>
      <c r="S37" s="485"/>
      <c r="T37" s="485"/>
      <c r="U37" s="650"/>
      <c r="V37" s="4448"/>
      <c r="W37" s="1266"/>
      <c r="X37" s="1266"/>
      <c r="Y37" s="1266"/>
      <c r="Z37" s="3285"/>
      <c r="AA37" s="3286"/>
      <c r="AB37" s="3286"/>
      <c r="AC37" s="3286"/>
      <c r="AD37" s="3286"/>
      <c r="AE37" s="3285"/>
      <c r="AF37" s="3286"/>
      <c r="AG37" s="3287"/>
    </row>
    <row r="38" spans="4:33" s="501" customFormat="1" ht="12.75" customHeight="1">
      <c r="D38" s="299"/>
      <c r="E38" s="4462"/>
      <c r="F38" s="3290" t="s">
        <v>610</v>
      </c>
      <c r="G38" s="384">
        <f t="shared" ref="G38:N38" si="11">SUM(G35:G37)</f>
        <v>0</v>
      </c>
      <c r="H38" s="385">
        <f t="shared" si="11"/>
        <v>0</v>
      </c>
      <c r="I38" s="385">
        <f t="shared" si="11"/>
        <v>165957.21481793479</v>
      </c>
      <c r="J38" s="385">
        <f t="shared" si="11"/>
        <v>24058.977366609288</v>
      </c>
      <c r="K38" s="651">
        <f t="shared" si="11"/>
        <v>205133.60807281354</v>
      </c>
      <c r="L38" s="384">
        <f t="shared" si="11"/>
        <v>100432.16</v>
      </c>
      <c r="M38" s="385">
        <f t="shared" si="11"/>
        <v>0</v>
      </c>
      <c r="N38" s="385">
        <f t="shared" si="11"/>
        <v>182091</v>
      </c>
      <c r="O38" s="385">
        <f>SUM(O35:O37)</f>
        <v>0</v>
      </c>
      <c r="P38" s="385">
        <f t="shared" ref="P38" si="12">SUM(P35:P37)</f>
        <v>0</v>
      </c>
      <c r="Q38" s="384">
        <f t="shared" ref="Q38:U38" si="13">SUM(Q35:Q37)</f>
        <v>0</v>
      </c>
      <c r="R38" s="385">
        <f t="shared" si="13"/>
        <v>0</v>
      </c>
      <c r="S38" s="385">
        <f t="shared" si="13"/>
        <v>0</v>
      </c>
      <c r="T38" s="385">
        <f t="shared" si="13"/>
        <v>0</v>
      </c>
      <c r="U38" s="651">
        <f t="shared" si="13"/>
        <v>0</v>
      </c>
      <c r="V38" s="4448"/>
      <c r="W38" s="1266"/>
      <c r="X38" s="1266"/>
      <c r="Y38" s="1266"/>
      <c r="Z38" s="3285"/>
      <c r="AA38" s="3286"/>
      <c r="AB38" s="3286"/>
      <c r="AC38" s="3286"/>
      <c r="AD38" s="3286"/>
      <c r="AE38" s="3285"/>
      <c r="AF38" s="3286"/>
      <c r="AG38" s="3287"/>
    </row>
    <row r="39" spans="4:33" s="501" customFormat="1" ht="12.75" customHeight="1">
      <c r="D39" s="299"/>
      <c r="E39" s="4462"/>
      <c r="F39" s="3289" t="s">
        <v>35</v>
      </c>
      <c r="G39" s="486"/>
      <c r="H39" s="485"/>
      <c r="I39" s="485"/>
      <c r="J39" s="485"/>
      <c r="K39" s="650"/>
      <c r="L39" s="486"/>
      <c r="M39" s="485"/>
      <c r="N39" s="485"/>
      <c r="O39" s="485"/>
      <c r="P39" s="3119"/>
      <c r="Q39" s="486"/>
      <c r="R39" s="485"/>
      <c r="S39" s="485"/>
      <c r="T39" s="485"/>
      <c r="U39" s="650"/>
      <c r="V39" s="4448"/>
      <c r="W39" s="1266"/>
      <c r="X39" s="1266"/>
      <c r="Y39" s="1266"/>
      <c r="Z39" s="3285"/>
      <c r="AA39" s="3286"/>
      <c r="AB39" s="3286"/>
      <c r="AC39" s="3286"/>
      <c r="AD39" s="3286"/>
      <c r="AE39" s="3285"/>
      <c r="AF39" s="3286"/>
      <c r="AG39" s="3287"/>
    </row>
    <row r="40" spans="4:33" s="501" customFormat="1" ht="13.5" customHeight="1" thickBot="1">
      <c r="D40" s="299"/>
      <c r="E40" s="4463"/>
      <c r="F40" s="3291" t="s">
        <v>611</v>
      </c>
      <c r="G40" s="1458">
        <f t="shared" ref="G40:U40" si="14">G38-G39</f>
        <v>0</v>
      </c>
      <c r="H40" s="387">
        <f t="shared" si="14"/>
        <v>0</v>
      </c>
      <c r="I40" s="387">
        <f t="shared" si="14"/>
        <v>165957.21481793479</v>
      </c>
      <c r="J40" s="387">
        <f t="shared" si="14"/>
        <v>24058.977366609288</v>
      </c>
      <c r="K40" s="653">
        <f t="shared" si="14"/>
        <v>205133.60807281354</v>
      </c>
      <c r="L40" s="1458">
        <f t="shared" si="14"/>
        <v>100432.16</v>
      </c>
      <c r="M40" s="387">
        <f t="shared" si="14"/>
        <v>0</v>
      </c>
      <c r="N40" s="387">
        <f t="shared" si="14"/>
        <v>182091</v>
      </c>
      <c r="O40" s="387">
        <f t="shared" si="14"/>
        <v>0</v>
      </c>
      <c r="P40" s="387">
        <f t="shared" si="14"/>
        <v>0</v>
      </c>
      <c r="Q40" s="1458">
        <f t="shared" si="14"/>
        <v>0</v>
      </c>
      <c r="R40" s="387">
        <f t="shared" si="14"/>
        <v>0</v>
      </c>
      <c r="S40" s="387">
        <f t="shared" si="14"/>
        <v>0</v>
      </c>
      <c r="T40" s="387">
        <f t="shared" si="14"/>
        <v>0</v>
      </c>
      <c r="U40" s="653">
        <f t="shared" si="14"/>
        <v>0</v>
      </c>
      <c r="V40" s="4449"/>
      <c r="W40" s="1266"/>
      <c r="X40" s="1266"/>
      <c r="Y40" s="1266"/>
      <c r="Z40" s="3285"/>
      <c r="AA40" s="3286"/>
      <c r="AB40" s="3286"/>
      <c r="AC40" s="3286"/>
      <c r="AD40" s="3286"/>
      <c r="AE40" s="3285"/>
      <c r="AF40" s="3286"/>
      <c r="AG40" s="3287"/>
    </row>
    <row r="41" spans="4:33" s="501" customFormat="1" ht="12.75" customHeight="1">
      <c r="D41" s="299"/>
      <c r="E41" s="4461" t="s">
        <v>1711</v>
      </c>
      <c r="F41" s="3288" t="s">
        <v>624</v>
      </c>
      <c r="G41" s="553"/>
      <c r="H41" s="554"/>
      <c r="I41" s="554"/>
      <c r="J41" s="554"/>
      <c r="K41" s="554"/>
      <c r="L41" s="564"/>
      <c r="M41" s="565"/>
      <c r="N41" s="565"/>
      <c r="O41" s="565"/>
      <c r="P41" s="565"/>
      <c r="Q41" s="553"/>
      <c r="R41" s="554"/>
      <c r="S41" s="554"/>
      <c r="T41" s="554"/>
      <c r="U41" s="554"/>
      <c r="V41" s="4447"/>
      <c r="W41" s="1266"/>
      <c r="X41" s="1266"/>
      <c r="Y41" s="1266"/>
      <c r="Z41" s="3285"/>
      <c r="AA41" s="3286"/>
      <c r="AB41" s="3286"/>
      <c r="AC41" s="3286"/>
      <c r="AD41" s="3286"/>
      <c r="AE41" s="3285"/>
      <c r="AF41" s="3286"/>
      <c r="AG41" s="3287"/>
    </row>
    <row r="42" spans="4:33" s="501" customFormat="1" ht="12.75" customHeight="1">
      <c r="D42" s="299"/>
      <c r="E42" s="4462"/>
      <c r="F42" s="3289" t="s">
        <v>585</v>
      </c>
      <c r="G42" s="497"/>
      <c r="H42" s="495"/>
      <c r="I42" s="495"/>
      <c r="J42" s="495"/>
      <c r="K42" s="495"/>
      <c r="L42" s="486"/>
      <c r="M42" s="485"/>
      <c r="N42" s="485"/>
      <c r="O42" s="485"/>
      <c r="P42" s="485"/>
      <c r="Q42" s="497"/>
      <c r="R42" s="495"/>
      <c r="S42" s="495"/>
      <c r="T42" s="495"/>
      <c r="U42" s="495"/>
      <c r="V42" s="4448"/>
      <c r="W42" s="1266"/>
      <c r="X42" s="1266"/>
      <c r="Y42" s="1266"/>
      <c r="Z42" s="3285"/>
      <c r="AA42" s="3286"/>
      <c r="AB42" s="3286"/>
      <c r="AC42" s="3286"/>
      <c r="AD42" s="3286"/>
      <c r="AE42" s="3285"/>
      <c r="AF42" s="3286"/>
      <c r="AG42" s="3287"/>
    </row>
    <row r="43" spans="4:33" s="501" customFormat="1" ht="12.75" customHeight="1">
      <c r="D43" s="299"/>
      <c r="E43" s="4462"/>
      <c r="F43" s="3289" t="s">
        <v>584</v>
      </c>
      <c r="G43" s="497"/>
      <c r="H43" s="495"/>
      <c r="I43" s="495"/>
      <c r="J43" s="495"/>
      <c r="K43" s="495"/>
      <c r="L43" s="486">
        <v>1665338.8210760001</v>
      </c>
      <c r="M43" s="3522">
        <v>403759.5</v>
      </c>
      <c r="N43" s="3522">
        <v>244963</v>
      </c>
      <c r="O43" s="485">
        <v>822675</v>
      </c>
      <c r="P43" s="3522"/>
      <c r="Q43" s="497">
        <f>'[7]Regulatory Export'!F16*1000</f>
        <v>360117.50004071987</v>
      </c>
      <c r="R43" s="495">
        <f>'[7]Regulatory Export'!G16*1000</f>
        <v>131067.50001017997</v>
      </c>
      <c r="S43" s="495">
        <f>'[7]Regulatory Export'!H16*1000</f>
        <v>131067.50001017997</v>
      </c>
      <c r="T43" s="495">
        <f>'[7]Regulatory Export'!I16*1000</f>
        <v>131067.50001017997</v>
      </c>
      <c r="U43" s="495">
        <f>'[7]Regulatory Export'!J16*1000</f>
        <v>131067.50001017997</v>
      </c>
      <c r="V43" s="4448"/>
      <c r="W43" s="1266"/>
      <c r="X43" s="1266"/>
      <c r="Y43" s="1266"/>
      <c r="Z43" s="3285"/>
      <c r="AA43" s="3286"/>
      <c r="AB43" s="3286"/>
      <c r="AC43" s="3286"/>
      <c r="AD43" s="3286"/>
      <c r="AE43" s="3285"/>
      <c r="AF43" s="3286"/>
      <c r="AG43" s="3287"/>
    </row>
    <row r="44" spans="4:33" s="501" customFormat="1" ht="12.75" customHeight="1">
      <c r="D44" s="299"/>
      <c r="E44" s="4462"/>
      <c r="F44" s="3289" t="s">
        <v>604</v>
      </c>
      <c r="G44" s="497"/>
      <c r="H44" s="495"/>
      <c r="I44" s="495"/>
      <c r="J44" s="495"/>
      <c r="K44" s="495"/>
      <c r="L44" s="486"/>
      <c r="M44" s="485"/>
      <c r="N44" s="485"/>
      <c r="O44" s="485"/>
      <c r="P44" s="485"/>
      <c r="Q44" s="497"/>
      <c r="R44" s="495"/>
      <c r="S44" s="495"/>
      <c r="T44" s="495"/>
      <c r="U44" s="495"/>
      <c r="V44" s="4448"/>
      <c r="W44" s="1266"/>
      <c r="X44" s="1266"/>
      <c r="Y44" s="1266"/>
      <c r="Z44" s="3285"/>
      <c r="AA44" s="3286"/>
      <c r="AB44" s="3286"/>
      <c r="AC44" s="3286"/>
      <c r="AD44" s="3286"/>
      <c r="AE44" s="3285"/>
      <c r="AF44" s="3286"/>
      <c r="AG44" s="3287"/>
    </row>
    <row r="45" spans="4:33" s="501" customFormat="1" ht="12.75" customHeight="1">
      <c r="D45" s="299"/>
      <c r="E45" s="4462"/>
      <c r="F45" s="3290" t="s">
        <v>592</v>
      </c>
      <c r="G45" s="486">
        <v>0</v>
      </c>
      <c r="H45" s="485">
        <v>0</v>
      </c>
      <c r="I45" s="3522">
        <v>24470.55954515026</v>
      </c>
      <c r="J45" s="3522">
        <v>84503.843552954262</v>
      </c>
      <c r="K45" s="650"/>
      <c r="L45" s="384">
        <f t="shared" ref="L45:P45" si="15">SUM(L42:L44)</f>
        <v>1665338.8210760001</v>
      </c>
      <c r="M45" s="385">
        <f t="shared" si="15"/>
        <v>403759.5</v>
      </c>
      <c r="N45" s="385">
        <f t="shared" si="15"/>
        <v>244963</v>
      </c>
      <c r="O45" s="385">
        <f t="shared" si="15"/>
        <v>822675</v>
      </c>
      <c r="P45" s="385">
        <f t="shared" si="15"/>
        <v>0</v>
      </c>
      <c r="Q45" s="486">
        <f>SUM(Q43:Q44)</f>
        <v>360117.50004071987</v>
      </c>
      <c r="R45" s="485">
        <f t="shared" ref="R45:U45" si="16">SUM(R43:R44)</f>
        <v>131067.50001017997</v>
      </c>
      <c r="S45" s="485">
        <f t="shared" si="16"/>
        <v>131067.50001017997</v>
      </c>
      <c r="T45" s="485">
        <f t="shared" si="16"/>
        <v>131067.50001017997</v>
      </c>
      <c r="U45" s="650">
        <f t="shared" si="16"/>
        <v>131067.50001017997</v>
      </c>
      <c r="V45" s="4448"/>
      <c r="W45" s="1266"/>
      <c r="X45" s="1266"/>
      <c r="Y45" s="1266"/>
      <c r="Z45" s="3285"/>
      <c r="AA45" s="3286"/>
      <c r="AB45" s="3286"/>
      <c r="AC45" s="3286"/>
      <c r="AD45" s="3286"/>
      <c r="AE45" s="3285"/>
      <c r="AF45" s="3286"/>
      <c r="AG45" s="3287"/>
    </row>
    <row r="46" spans="4:33" s="501" customFormat="1" ht="12.75" customHeight="1">
      <c r="D46" s="299"/>
      <c r="E46" s="4462"/>
      <c r="F46" s="3289" t="s">
        <v>609</v>
      </c>
      <c r="G46" s="486">
        <v>0</v>
      </c>
      <c r="H46" s="485">
        <v>0</v>
      </c>
      <c r="I46" s="485">
        <v>2726.3395145411973</v>
      </c>
      <c r="J46" s="485">
        <v>9308.5128870724129</v>
      </c>
      <c r="K46" s="650">
        <v>0</v>
      </c>
      <c r="L46" s="486">
        <v>58919.86892399934</v>
      </c>
      <c r="M46" s="485">
        <v>0</v>
      </c>
      <c r="N46" s="485">
        <v>0</v>
      </c>
      <c r="O46" s="485">
        <f>O45*0.05243291</f>
        <v>43135.24423425</v>
      </c>
      <c r="P46" s="485">
        <v>0</v>
      </c>
      <c r="Q46" s="486"/>
      <c r="R46" s="485"/>
      <c r="S46" s="485"/>
      <c r="T46" s="485"/>
      <c r="U46" s="650"/>
      <c r="V46" s="4448"/>
      <c r="W46" s="1266"/>
      <c r="X46" s="1266"/>
      <c r="Y46" s="1266"/>
      <c r="Z46" s="3285"/>
      <c r="AA46" s="3286"/>
      <c r="AB46" s="3286"/>
      <c r="AC46" s="3286"/>
      <c r="AD46" s="3286"/>
      <c r="AE46" s="3285"/>
      <c r="AF46" s="3286"/>
      <c r="AG46" s="3287"/>
    </row>
    <row r="47" spans="4:33" s="501" customFormat="1" ht="12.75" customHeight="1">
      <c r="D47" s="299"/>
      <c r="E47" s="4462"/>
      <c r="F47" s="3289" t="s">
        <v>607</v>
      </c>
      <c r="G47" s="486"/>
      <c r="H47" s="485"/>
      <c r="I47" s="485"/>
      <c r="J47" s="485"/>
      <c r="K47" s="650"/>
      <c r="L47" s="499"/>
      <c r="M47" s="494"/>
      <c r="N47" s="494"/>
      <c r="O47" s="494"/>
      <c r="P47" s="494"/>
      <c r="Q47" s="486"/>
      <c r="R47" s="485"/>
      <c r="S47" s="485"/>
      <c r="T47" s="485"/>
      <c r="U47" s="650"/>
      <c r="V47" s="4448"/>
      <c r="W47" s="1266"/>
      <c r="X47" s="1266"/>
      <c r="Y47" s="1266"/>
      <c r="Z47" s="3285"/>
      <c r="AA47" s="3286"/>
      <c r="AB47" s="3286"/>
      <c r="AC47" s="3286"/>
      <c r="AD47" s="3286"/>
      <c r="AE47" s="3285"/>
      <c r="AF47" s="3286"/>
      <c r="AG47" s="3287"/>
    </row>
    <row r="48" spans="4:33" s="501" customFormat="1" ht="12.75" customHeight="1">
      <c r="D48" s="299"/>
      <c r="E48" s="4462"/>
      <c r="F48" s="3290" t="s">
        <v>610</v>
      </c>
      <c r="G48" s="384">
        <f t="shared" ref="G48:N48" si="17">SUM(G45:G47)</f>
        <v>0</v>
      </c>
      <c r="H48" s="385">
        <f t="shared" si="17"/>
        <v>0</v>
      </c>
      <c r="I48" s="385">
        <f t="shared" si="17"/>
        <v>27196.899059691455</v>
      </c>
      <c r="J48" s="385">
        <f t="shared" si="17"/>
        <v>93812.356440026677</v>
      </c>
      <c r="K48" s="651">
        <f t="shared" si="17"/>
        <v>0</v>
      </c>
      <c r="L48" s="384">
        <f t="shared" si="17"/>
        <v>1724258.6899999995</v>
      </c>
      <c r="M48" s="385">
        <f t="shared" si="17"/>
        <v>403759.5</v>
      </c>
      <c r="N48" s="385">
        <f t="shared" si="17"/>
        <v>244963</v>
      </c>
      <c r="O48" s="385">
        <f>SUM(O45:O47)</f>
        <v>865810.24423425004</v>
      </c>
      <c r="P48" s="385">
        <f t="shared" ref="P48" si="18">SUM(P45:P47)</f>
        <v>0</v>
      </c>
      <c r="Q48" s="384">
        <f t="shared" ref="Q48:U48" si="19">SUM(Q45:Q47)</f>
        <v>360117.50004071987</v>
      </c>
      <c r="R48" s="385">
        <f t="shared" si="19"/>
        <v>131067.50001017997</v>
      </c>
      <c r="S48" s="385">
        <f t="shared" si="19"/>
        <v>131067.50001017997</v>
      </c>
      <c r="T48" s="385">
        <f t="shared" si="19"/>
        <v>131067.50001017997</v>
      </c>
      <c r="U48" s="651">
        <f t="shared" si="19"/>
        <v>131067.50001017997</v>
      </c>
      <c r="V48" s="4448"/>
      <c r="W48" s="1266"/>
      <c r="X48" s="1266"/>
      <c r="Y48" s="1266"/>
      <c r="Z48" s="3285"/>
      <c r="AA48" s="3286"/>
      <c r="AB48" s="3286"/>
      <c r="AC48" s="3286"/>
      <c r="AD48" s="3286"/>
      <c r="AE48" s="3285"/>
      <c r="AF48" s="3286"/>
      <c r="AG48" s="3287"/>
    </row>
    <row r="49" spans="4:33" s="501" customFormat="1" ht="12.75" customHeight="1">
      <c r="D49" s="299"/>
      <c r="E49" s="4462"/>
      <c r="F49" s="3289" t="s">
        <v>35</v>
      </c>
      <c r="G49" s="486"/>
      <c r="H49" s="485"/>
      <c r="I49" s="485"/>
      <c r="J49" s="485"/>
      <c r="K49" s="650"/>
      <c r="L49" s="486"/>
      <c r="M49" s="485"/>
      <c r="N49" s="485"/>
      <c r="O49" s="485"/>
      <c r="P49" s="485"/>
      <c r="Q49" s="486"/>
      <c r="R49" s="485"/>
      <c r="S49" s="485"/>
      <c r="T49" s="485"/>
      <c r="U49" s="650"/>
      <c r="V49" s="4448"/>
      <c r="W49" s="1266"/>
      <c r="X49" s="1266"/>
      <c r="Y49" s="1266"/>
      <c r="Z49" s="3285"/>
      <c r="AA49" s="3286"/>
      <c r="AB49" s="3286"/>
      <c r="AC49" s="3286"/>
      <c r="AD49" s="3286"/>
      <c r="AE49" s="3285"/>
      <c r="AF49" s="3286"/>
      <c r="AG49" s="3287"/>
    </row>
    <row r="50" spans="4:33" s="501" customFormat="1" ht="13.5" customHeight="1" thickBot="1">
      <c r="D50" s="299"/>
      <c r="E50" s="4463"/>
      <c r="F50" s="3291" t="s">
        <v>611</v>
      </c>
      <c r="G50" s="1458">
        <f t="shared" ref="G50:U50" si="20">G48-G49</f>
        <v>0</v>
      </c>
      <c r="H50" s="387">
        <f t="shared" si="20"/>
        <v>0</v>
      </c>
      <c r="I50" s="387">
        <f t="shared" si="20"/>
        <v>27196.899059691455</v>
      </c>
      <c r="J50" s="387">
        <f t="shared" si="20"/>
        <v>93812.356440026677</v>
      </c>
      <c r="K50" s="653">
        <f t="shared" si="20"/>
        <v>0</v>
      </c>
      <c r="L50" s="1458">
        <f t="shared" si="20"/>
        <v>1724258.6899999995</v>
      </c>
      <c r="M50" s="387">
        <f t="shared" si="20"/>
        <v>403759.5</v>
      </c>
      <c r="N50" s="387">
        <f t="shared" si="20"/>
        <v>244963</v>
      </c>
      <c r="O50" s="387">
        <f t="shared" si="20"/>
        <v>865810.24423425004</v>
      </c>
      <c r="P50" s="387">
        <f t="shared" si="20"/>
        <v>0</v>
      </c>
      <c r="Q50" s="1458">
        <f t="shared" si="20"/>
        <v>360117.50004071987</v>
      </c>
      <c r="R50" s="387">
        <f t="shared" si="20"/>
        <v>131067.50001017997</v>
      </c>
      <c r="S50" s="387">
        <f t="shared" si="20"/>
        <v>131067.50001017997</v>
      </c>
      <c r="T50" s="387">
        <f t="shared" si="20"/>
        <v>131067.50001017997</v>
      </c>
      <c r="U50" s="653">
        <f t="shared" si="20"/>
        <v>131067.50001017997</v>
      </c>
      <c r="V50" s="4449"/>
      <c r="W50" s="1266"/>
      <c r="X50" s="1266"/>
      <c r="Y50" s="1266"/>
      <c r="Z50" s="3285"/>
      <c r="AA50" s="3286"/>
      <c r="AB50" s="3286"/>
      <c r="AC50" s="3286"/>
      <c r="AD50" s="3286"/>
      <c r="AE50" s="3285"/>
      <c r="AF50" s="3286"/>
      <c r="AG50" s="3287"/>
    </row>
    <row r="51" spans="4:33" s="501" customFormat="1" ht="12.75" customHeight="1">
      <c r="D51" s="299"/>
      <c r="E51" s="4450" t="s">
        <v>1356</v>
      </c>
      <c r="F51" s="3288" t="s">
        <v>624</v>
      </c>
      <c r="G51" s="553"/>
      <c r="H51" s="554"/>
      <c r="I51" s="554"/>
      <c r="J51" s="554"/>
      <c r="K51" s="554"/>
      <c r="L51" s="564"/>
      <c r="M51" s="565"/>
      <c r="N51" s="565"/>
      <c r="O51" s="565"/>
      <c r="P51" s="565"/>
      <c r="Q51" s="553"/>
      <c r="R51" s="554"/>
      <c r="S51" s="554"/>
      <c r="T51" s="554"/>
      <c r="U51" s="554"/>
      <c r="V51" s="4447"/>
      <c r="W51" s="1266"/>
      <c r="X51" s="1266"/>
      <c r="Y51" s="1266"/>
      <c r="Z51" s="3285"/>
      <c r="AA51" s="3286"/>
      <c r="AB51" s="3286"/>
      <c r="AC51" s="3286"/>
      <c r="AD51" s="3286"/>
      <c r="AE51" s="3285"/>
      <c r="AF51" s="3286"/>
      <c r="AG51" s="3287"/>
    </row>
    <row r="52" spans="4:33" s="501" customFormat="1" ht="12.75" customHeight="1">
      <c r="D52" s="299"/>
      <c r="E52" s="4451"/>
      <c r="F52" s="3289" t="s">
        <v>585</v>
      </c>
      <c r="G52" s="497"/>
      <c r="H52" s="495"/>
      <c r="I52" s="495"/>
      <c r="J52" s="495"/>
      <c r="K52" s="495"/>
      <c r="L52" s="486"/>
      <c r="M52" s="485"/>
      <c r="N52" s="485"/>
      <c r="O52" s="485"/>
      <c r="P52" s="485"/>
      <c r="Q52" s="497"/>
      <c r="R52" s="495"/>
      <c r="S52" s="495"/>
      <c r="T52" s="495"/>
      <c r="U52" s="495"/>
      <c r="V52" s="4448"/>
      <c r="W52" s="1266"/>
      <c r="X52" s="1266"/>
      <c r="Y52" s="1266"/>
      <c r="Z52" s="3285"/>
      <c r="AA52" s="3286"/>
      <c r="AB52" s="3286"/>
      <c r="AC52" s="3286"/>
      <c r="AD52" s="3286"/>
      <c r="AE52" s="3285"/>
      <c r="AF52" s="3286"/>
      <c r="AG52" s="3287"/>
    </row>
    <row r="53" spans="4:33" s="501" customFormat="1" ht="12.75" customHeight="1">
      <c r="D53" s="299"/>
      <c r="E53" s="4451"/>
      <c r="F53" s="3289" t="s">
        <v>584</v>
      </c>
      <c r="G53" s="497"/>
      <c r="H53" s="495"/>
      <c r="I53" s="495"/>
      <c r="J53" s="495"/>
      <c r="K53" s="495"/>
      <c r="L53" s="3118">
        <v>99972.381909550226</v>
      </c>
      <c r="M53" s="485">
        <v>118989.96</v>
      </c>
      <c r="N53" s="3119">
        <v>123819.85999999999</v>
      </c>
      <c r="O53" s="485">
        <v>275622.71000000002</v>
      </c>
      <c r="P53" s="485">
        <v>99711</v>
      </c>
      <c r="Q53" s="497"/>
      <c r="R53" s="495"/>
      <c r="S53" s="495"/>
      <c r="T53" s="495"/>
      <c r="U53" s="495"/>
      <c r="V53" s="4448"/>
      <c r="W53" s="1266"/>
      <c r="X53" s="1266"/>
      <c r="Y53" s="1266"/>
      <c r="Z53" s="3285"/>
      <c r="AA53" s="3286"/>
      <c r="AB53" s="3286"/>
      <c r="AC53" s="3286"/>
      <c r="AD53" s="3286"/>
      <c r="AE53" s="3285"/>
      <c r="AF53" s="3286"/>
      <c r="AG53" s="3287"/>
    </row>
    <row r="54" spans="4:33" s="501" customFormat="1" ht="12.75" customHeight="1">
      <c r="D54" s="299"/>
      <c r="E54" s="4451"/>
      <c r="F54" s="3289" t="s">
        <v>604</v>
      </c>
      <c r="G54" s="497"/>
      <c r="H54" s="495"/>
      <c r="I54" s="495"/>
      <c r="J54" s="495"/>
      <c r="K54" s="495"/>
      <c r="L54" s="486"/>
      <c r="M54" s="485"/>
      <c r="N54" s="485"/>
      <c r="O54" s="485"/>
      <c r="P54" s="485"/>
      <c r="Q54" s="497"/>
      <c r="R54" s="495"/>
      <c r="S54" s="495"/>
      <c r="T54" s="495"/>
      <c r="U54" s="495"/>
      <c r="V54" s="4448"/>
      <c r="W54" s="1266"/>
      <c r="X54" s="1266"/>
      <c r="Y54" s="1266"/>
      <c r="Z54" s="3285"/>
      <c r="AA54" s="3286"/>
      <c r="AB54" s="3286"/>
      <c r="AC54" s="3286"/>
      <c r="AD54" s="3286"/>
      <c r="AE54" s="3285"/>
      <c r="AF54" s="3286"/>
      <c r="AG54" s="3287"/>
    </row>
    <row r="55" spans="4:33" s="501" customFormat="1" ht="12.75" customHeight="1">
      <c r="D55" s="299"/>
      <c r="E55" s="4451"/>
      <c r="F55" s="3290" t="s">
        <v>592</v>
      </c>
      <c r="G55" s="486"/>
      <c r="H55" s="485"/>
      <c r="I55" s="485"/>
      <c r="J55" s="485"/>
      <c r="K55" s="650"/>
      <c r="L55" s="384">
        <f t="shared" ref="L55:P55" si="21">SUM(L52:L54)</f>
        <v>99972.381909550226</v>
      </c>
      <c r="M55" s="385">
        <f t="shared" si="21"/>
        <v>118989.96</v>
      </c>
      <c r="N55" s="385">
        <f t="shared" si="21"/>
        <v>123819.85999999999</v>
      </c>
      <c r="O55" s="385">
        <f t="shared" si="21"/>
        <v>275622.71000000002</v>
      </c>
      <c r="P55" s="385">
        <f t="shared" si="21"/>
        <v>99711</v>
      </c>
      <c r="Q55" s="486">
        <f>'[7]Regulatory Export'!F18*1000/1.06</f>
        <v>279706.82640999992</v>
      </c>
      <c r="R55" s="485">
        <f>'[7]Regulatory Export'!G18*1000/1.06</f>
        <v>338306.52891000005</v>
      </c>
      <c r="S55" s="485">
        <f>'[7]Regulatory Export'!H18*1000/1.06</f>
        <v>255021.34671999994</v>
      </c>
      <c r="T55" s="485">
        <f>'[7]Regulatory Export'!I18*1000/1.06</f>
        <v>162824.68545000002</v>
      </c>
      <c r="U55" s="650">
        <f>'[7]Regulatory Export'!J18*1000/1.06</f>
        <v>177422.0876</v>
      </c>
      <c r="V55" s="4448"/>
      <c r="W55" s="1266"/>
      <c r="X55" s="1266"/>
      <c r="Y55" s="1266"/>
      <c r="Z55" s="3285"/>
      <c r="AA55" s="3286"/>
      <c r="AB55" s="3286"/>
      <c r="AC55" s="3286"/>
      <c r="AD55" s="3286"/>
      <c r="AE55" s="3285"/>
      <c r="AF55" s="3286"/>
      <c r="AG55" s="3287"/>
    </row>
    <row r="56" spans="4:33" s="501" customFormat="1" ht="12.75" customHeight="1">
      <c r="D56" s="299"/>
      <c r="E56" s="4451"/>
      <c r="F56" s="3289" t="s">
        <v>609</v>
      </c>
      <c r="G56" s="486"/>
      <c r="H56" s="485"/>
      <c r="I56" s="485"/>
      <c r="J56" s="485"/>
      <c r="K56" s="650"/>
      <c r="L56" s="486">
        <v>4141.42809044978</v>
      </c>
      <c r="M56" s="485">
        <v>5487.0500000000011</v>
      </c>
      <c r="N56" s="485">
        <v>6453.1399999999994</v>
      </c>
      <c r="O56" s="485">
        <f>O55*0.05243291</f>
        <v>14451.700747386101</v>
      </c>
      <c r="P56" s="485">
        <f>P55*0.06</f>
        <v>5982.66</v>
      </c>
      <c r="Q56" s="486">
        <f>Q55*0.06</f>
        <v>16782.409584599995</v>
      </c>
      <c r="R56" s="485">
        <f t="shared" ref="R56:U56" si="22">R55*0.06</f>
        <v>20298.391734600002</v>
      </c>
      <c r="S56" s="485">
        <f t="shared" si="22"/>
        <v>15301.280803199996</v>
      </c>
      <c r="T56" s="485">
        <f t="shared" si="22"/>
        <v>9769.4811270000009</v>
      </c>
      <c r="U56" s="650">
        <f t="shared" si="22"/>
        <v>10645.325256</v>
      </c>
      <c r="V56" s="4448"/>
      <c r="W56" s="1266"/>
      <c r="X56" s="1266"/>
      <c r="Y56" s="1266"/>
      <c r="Z56" s="3285"/>
      <c r="AA56" s="3286"/>
      <c r="AB56" s="3286"/>
      <c r="AC56" s="3286"/>
      <c r="AD56" s="3286"/>
      <c r="AE56" s="3285"/>
      <c r="AF56" s="3286"/>
      <c r="AG56" s="3287"/>
    </row>
    <row r="57" spans="4:33" s="501" customFormat="1" ht="12.75" customHeight="1">
      <c r="D57" s="299"/>
      <c r="E57" s="4451"/>
      <c r="F57" s="3289" t="s">
        <v>607</v>
      </c>
      <c r="G57" s="486"/>
      <c r="H57" s="485"/>
      <c r="I57" s="485"/>
      <c r="J57" s="485"/>
      <c r="K57" s="650"/>
      <c r="L57" s="499"/>
      <c r="M57" s="494"/>
      <c r="N57" s="494"/>
      <c r="O57" s="494"/>
      <c r="P57" s="494"/>
      <c r="Q57" s="486"/>
      <c r="R57" s="485"/>
      <c r="S57" s="485"/>
      <c r="T57" s="485"/>
      <c r="U57" s="650"/>
      <c r="V57" s="4448"/>
      <c r="W57" s="1266"/>
      <c r="X57" s="1266"/>
      <c r="Y57" s="1266"/>
      <c r="Z57" s="3285"/>
      <c r="AA57" s="3286"/>
      <c r="AB57" s="3286"/>
      <c r="AC57" s="3286"/>
      <c r="AD57" s="3286"/>
      <c r="AE57" s="3285"/>
      <c r="AF57" s="3286"/>
      <c r="AG57" s="3287"/>
    </row>
    <row r="58" spans="4:33" s="501" customFormat="1" ht="12.75" customHeight="1">
      <c r="D58" s="299"/>
      <c r="E58" s="4451"/>
      <c r="F58" s="3290" t="s">
        <v>610</v>
      </c>
      <c r="G58" s="384">
        <f t="shared" ref="G58:N58" si="23">SUM(G55:G57)</f>
        <v>0</v>
      </c>
      <c r="H58" s="385">
        <f t="shared" si="23"/>
        <v>0</v>
      </c>
      <c r="I58" s="385">
        <f t="shared" si="23"/>
        <v>0</v>
      </c>
      <c r="J58" s="385">
        <f t="shared" si="23"/>
        <v>0</v>
      </c>
      <c r="K58" s="651">
        <f t="shared" si="23"/>
        <v>0</v>
      </c>
      <c r="L58" s="384">
        <f t="shared" si="23"/>
        <v>104113.81000000001</v>
      </c>
      <c r="M58" s="385">
        <f t="shared" si="23"/>
        <v>124477.01000000001</v>
      </c>
      <c r="N58" s="385">
        <f t="shared" si="23"/>
        <v>130272.99999999999</v>
      </c>
      <c r="O58" s="385">
        <f>SUM(O55:O57)</f>
        <v>290074.41074738611</v>
      </c>
      <c r="P58" s="385">
        <f t="shared" ref="P58" si="24">SUM(P55:P57)</f>
        <v>105693.66</v>
      </c>
      <c r="Q58" s="384">
        <f t="shared" ref="Q58:U58" si="25">SUM(Q55:Q57)</f>
        <v>296489.23599459993</v>
      </c>
      <c r="R58" s="385">
        <f t="shared" si="25"/>
        <v>358604.92064460006</v>
      </c>
      <c r="S58" s="385">
        <f t="shared" si="25"/>
        <v>270322.62752319995</v>
      </c>
      <c r="T58" s="385">
        <f t="shared" si="25"/>
        <v>172594.16657700003</v>
      </c>
      <c r="U58" s="651">
        <f t="shared" si="25"/>
        <v>188067.41285600001</v>
      </c>
      <c r="V58" s="4448"/>
      <c r="W58" s="1266"/>
      <c r="X58" s="1266"/>
      <c r="Y58" s="1266"/>
      <c r="Z58" s="3285"/>
      <c r="AA58" s="3286"/>
      <c r="AB58" s="3286"/>
      <c r="AC58" s="3286"/>
      <c r="AD58" s="3286"/>
      <c r="AE58" s="3285"/>
      <c r="AF58" s="3286"/>
      <c r="AG58" s="3287"/>
    </row>
    <row r="59" spans="4:33" s="501" customFormat="1" ht="12.75" customHeight="1">
      <c r="D59" s="299"/>
      <c r="E59" s="4451"/>
      <c r="F59" s="3289" t="s">
        <v>35</v>
      </c>
      <c r="G59" s="486"/>
      <c r="H59" s="485"/>
      <c r="I59" s="485"/>
      <c r="J59" s="485"/>
      <c r="K59" s="650"/>
      <c r="L59" s="486"/>
      <c r="M59" s="485"/>
      <c r="N59" s="485"/>
      <c r="O59" s="485"/>
      <c r="P59" s="3119"/>
      <c r="Q59" s="486"/>
      <c r="R59" s="485"/>
      <c r="S59" s="485"/>
      <c r="T59" s="485"/>
      <c r="U59" s="650"/>
      <c r="V59" s="4448"/>
      <c r="W59" s="1266"/>
      <c r="X59" s="1266"/>
      <c r="Y59" s="1266"/>
      <c r="Z59" s="3285"/>
      <c r="AA59" s="3286"/>
      <c r="AB59" s="3286"/>
      <c r="AC59" s="3286"/>
      <c r="AD59" s="3286"/>
      <c r="AE59" s="3285"/>
      <c r="AF59" s="3286"/>
      <c r="AG59" s="3287"/>
    </row>
    <row r="60" spans="4:33" s="501" customFormat="1" ht="13.5" customHeight="1" thickBot="1">
      <c r="D60" s="299"/>
      <c r="E60" s="4452"/>
      <c r="F60" s="3291" t="s">
        <v>611</v>
      </c>
      <c r="G60" s="1458">
        <f t="shared" ref="G60:U60" si="26">G58-G59</f>
        <v>0</v>
      </c>
      <c r="H60" s="387">
        <f t="shared" si="26"/>
        <v>0</v>
      </c>
      <c r="I60" s="387">
        <f t="shared" si="26"/>
        <v>0</v>
      </c>
      <c r="J60" s="387">
        <f t="shared" si="26"/>
        <v>0</v>
      </c>
      <c r="K60" s="653">
        <f t="shared" si="26"/>
        <v>0</v>
      </c>
      <c r="L60" s="1458">
        <f t="shared" si="26"/>
        <v>104113.81000000001</v>
      </c>
      <c r="M60" s="387">
        <f t="shared" si="26"/>
        <v>124477.01000000001</v>
      </c>
      <c r="N60" s="387">
        <f t="shared" si="26"/>
        <v>130272.99999999999</v>
      </c>
      <c r="O60" s="387">
        <f t="shared" si="26"/>
        <v>290074.41074738611</v>
      </c>
      <c r="P60" s="387">
        <f t="shared" si="26"/>
        <v>105693.66</v>
      </c>
      <c r="Q60" s="1458">
        <f t="shared" si="26"/>
        <v>296489.23599459993</v>
      </c>
      <c r="R60" s="387">
        <f t="shared" si="26"/>
        <v>358604.92064460006</v>
      </c>
      <c r="S60" s="387">
        <f t="shared" si="26"/>
        <v>270322.62752319995</v>
      </c>
      <c r="T60" s="387">
        <f t="shared" si="26"/>
        <v>172594.16657700003</v>
      </c>
      <c r="U60" s="653">
        <f t="shared" si="26"/>
        <v>188067.41285600001</v>
      </c>
      <c r="V60" s="4449"/>
      <c r="W60" s="1266"/>
      <c r="X60" s="1266"/>
      <c r="Y60" s="1266"/>
      <c r="Z60" s="3285"/>
      <c r="AA60" s="3286"/>
      <c r="AB60" s="3286"/>
      <c r="AC60" s="3286"/>
      <c r="AD60" s="3286"/>
      <c r="AE60" s="3285"/>
      <c r="AF60" s="3286"/>
      <c r="AG60" s="3287"/>
    </row>
    <row r="61" spans="4:33" s="501" customFormat="1" ht="12.75" customHeight="1">
      <c r="D61" s="299"/>
      <c r="E61" s="4461" t="s">
        <v>1594</v>
      </c>
      <c r="F61" s="3288" t="s">
        <v>624</v>
      </c>
      <c r="G61" s="553"/>
      <c r="H61" s="554"/>
      <c r="I61" s="554"/>
      <c r="J61" s="554"/>
      <c r="K61" s="554"/>
      <c r="L61" s="564"/>
      <c r="M61" s="565"/>
      <c r="N61" s="565"/>
      <c r="O61" s="565"/>
      <c r="P61" s="565"/>
      <c r="Q61" s="553"/>
      <c r="R61" s="554"/>
      <c r="S61" s="554"/>
      <c r="T61" s="554"/>
      <c r="U61" s="554"/>
      <c r="V61" s="4447"/>
      <c r="W61" s="1266"/>
      <c r="X61" s="1266"/>
      <c r="Y61" s="1266"/>
      <c r="Z61" s="3285"/>
      <c r="AA61" s="3286"/>
      <c r="AB61" s="3286"/>
      <c r="AC61" s="3286"/>
      <c r="AD61" s="3286"/>
      <c r="AE61" s="3285"/>
      <c r="AF61" s="3286"/>
      <c r="AG61" s="3287"/>
    </row>
    <row r="62" spans="4:33" s="501" customFormat="1" ht="12.75" customHeight="1">
      <c r="D62" s="299"/>
      <c r="E62" s="4462"/>
      <c r="F62" s="3289" t="s">
        <v>585</v>
      </c>
      <c r="G62" s="497"/>
      <c r="H62" s="495"/>
      <c r="I62" s="495"/>
      <c r="J62" s="495"/>
      <c r="K62" s="495"/>
      <c r="L62" s="486"/>
      <c r="M62" s="485"/>
      <c r="N62" s="485"/>
      <c r="O62" s="485"/>
      <c r="P62" s="485"/>
      <c r="Q62" s="497"/>
      <c r="R62" s="495"/>
      <c r="S62" s="495"/>
      <c r="T62" s="495"/>
      <c r="U62" s="495"/>
      <c r="V62" s="4448"/>
      <c r="W62" s="1266"/>
      <c r="X62" s="1266"/>
      <c r="Y62" s="1266"/>
      <c r="Z62" s="3285"/>
      <c r="AA62" s="3286"/>
      <c r="AB62" s="3286"/>
      <c r="AC62" s="3286"/>
      <c r="AD62" s="3286"/>
      <c r="AE62" s="3285"/>
      <c r="AF62" s="3286"/>
      <c r="AG62" s="3287"/>
    </row>
    <row r="63" spans="4:33" s="501" customFormat="1" ht="12.75" customHeight="1">
      <c r="D63" s="299"/>
      <c r="E63" s="4462"/>
      <c r="F63" s="3289" t="s">
        <v>584</v>
      </c>
      <c r="G63" s="497"/>
      <c r="H63" s="495"/>
      <c r="I63" s="495"/>
      <c r="J63" s="495"/>
      <c r="K63" s="495"/>
      <c r="L63" s="486">
        <v>0</v>
      </c>
      <c r="M63" s="485"/>
      <c r="N63" s="485"/>
      <c r="O63" s="485"/>
      <c r="P63" s="485"/>
      <c r="Q63" s="497"/>
      <c r="R63" s="495"/>
      <c r="S63" s="495"/>
      <c r="T63" s="495"/>
      <c r="U63" s="495"/>
      <c r="V63" s="4448"/>
      <c r="W63" s="1266"/>
      <c r="X63" s="1266"/>
      <c r="Y63" s="1266"/>
      <c r="Z63" s="3285"/>
      <c r="AA63" s="3286"/>
      <c r="AB63" s="3286"/>
      <c r="AC63" s="3286"/>
      <c r="AD63" s="3286"/>
      <c r="AE63" s="3285"/>
      <c r="AF63" s="3286"/>
      <c r="AG63" s="3287"/>
    </row>
    <row r="64" spans="4:33" s="501" customFormat="1" ht="12.75" customHeight="1">
      <c r="D64" s="299"/>
      <c r="E64" s="4462"/>
      <c r="F64" s="3289" t="s">
        <v>604</v>
      </c>
      <c r="G64" s="497"/>
      <c r="H64" s="495"/>
      <c r="I64" s="495"/>
      <c r="J64" s="495"/>
      <c r="K64" s="495"/>
      <c r="L64" s="486"/>
      <c r="M64" s="3522">
        <v>326787.82</v>
      </c>
      <c r="N64" s="3119">
        <v>203406.84000000003</v>
      </c>
      <c r="O64" s="485">
        <v>95538.85</v>
      </c>
      <c r="P64" s="485">
        <v>110000</v>
      </c>
      <c r="Q64" s="497"/>
      <c r="R64" s="495"/>
      <c r="S64" s="495"/>
      <c r="T64" s="495"/>
      <c r="U64" s="495"/>
      <c r="V64" s="4448"/>
      <c r="W64" s="1266"/>
      <c r="X64" s="1266"/>
      <c r="Y64" s="1266"/>
      <c r="Z64" s="3285"/>
      <c r="AA64" s="3286"/>
      <c r="AB64" s="3286"/>
      <c r="AC64" s="3286"/>
      <c r="AD64" s="3286"/>
      <c r="AE64" s="3285"/>
      <c r="AF64" s="3286"/>
      <c r="AG64" s="3287"/>
    </row>
    <row r="65" spans="4:33" s="501" customFormat="1" ht="12.75" customHeight="1">
      <c r="D65" s="299"/>
      <c r="E65" s="4462"/>
      <c r="F65" s="3290" t="s">
        <v>592</v>
      </c>
      <c r="G65" s="3585">
        <v>82638.550217391487</v>
      </c>
      <c r="H65" s="3522">
        <v>114082.73113043481</v>
      </c>
      <c r="I65" s="485">
        <v>56182.454999999994</v>
      </c>
      <c r="J65" s="485">
        <v>110782.83600000001</v>
      </c>
      <c r="K65" s="650">
        <v>764165.04656136746</v>
      </c>
      <c r="L65" s="384">
        <f t="shared" ref="L65:P65" si="27">SUM(L62:L64)</f>
        <v>0</v>
      </c>
      <c r="M65" s="385">
        <f t="shared" si="27"/>
        <v>326787.82</v>
      </c>
      <c r="N65" s="385">
        <f t="shared" si="27"/>
        <v>203406.84000000003</v>
      </c>
      <c r="O65" s="385">
        <f t="shared" si="27"/>
        <v>95538.85</v>
      </c>
      <c r="P65" s="385">
        <f t="shared" si="27"/>
        <v>110000</v>
      </c>
      <c r="Q65" s="486"/>
      <c r="R65" s="485"/>
      <c r="S65" s="485"/>
      <c r="T65" s="485"/>
      <c r="U65" s="650"/>
      <c r="V65" s="4448"/>
      <c r="W65" s="1266"/>
      <c r="X65" s="1266"/>
      <c r="Y65" s="1266"/>
      <c r="Z65" s="3285"/>
      <c r="AA65" s="3286"/>
      <c r="AB65" s="3286"/>
      <c r="AC65" s="3286"/>
      <c r="AD65" s="3286"/>
      <c r="AE65" s="3285"/>
      <c r="AF65" s="3286"/>
      <c r="AG65" s="3287"/>
    </row>
    <row r="66" spans="4:33" s="501" customFormat="1" ht="12.75" customHeight="1">
      <c r="D66" s="299"/>
      <c r="E66" s="4462"/>
      <c r="F66" s="3289" t="s">
        <v>609</v>
      </c>
      <c r="G66" s="486">
        <v>9132.5621534044494</v>
      </c>
      <c r="H66" s="485">
        <v>4867.5298615652191</v>
      </c>
      <c r="I66" s="485">
        <v>6259.4583016304341</v>
      </c>
      <c r="J66" s="485">
        <v>12203.272812392426</v>
      </c>
      <c r="K66" s="650">
        <v>82249.279379576692</v>
      </c>
      <c r="L66" s="3201"/>
      <c r="M66" s="485">
        <v>13352.9</v>
      </c>
      <c r="N66" s="485">
        <v>10785.16</v>
      </c>
      <c r="O66" s="485">
        <f>O65*0.05243291</f>
        <v>5009.3799235534998</v>
      </c>
      <c r="P66" s="485">
        <f>P65*0.06</f>
        <v>6600</v>
      </c>
      <c r="Q66" s="486"/>
      <c r="R66" s="485"/>
      <c r="S66" s="485"/>
      <c r="T66" s="485"/>
      <c r="U66" s="650"/>
      <c r="V66" s="4448"/>
      <c r="W66" s="1266"/>
      <c r="X66" s="1266"/>
      <c r="Y66" s="1266"/>
      <c r="Z66" s="3285"/>
      <c r="AA66" s="3286"/>
      <c r="AB66" s="3286"/>
      <c r="AC66" s="3286"/>
      <c r="AD66" s="3286"/>
      <c r="AE66" s="3285"/>
      <c r="AF66" s="3286"/>
      <c r="AG66" s="3287"/>
    </row>
    <row r="67" spans="4:33" s="501" customFormat="1" ht="12.75" customHeight="1">
      <c r="D67" s="299"/>
      <c r="E67" s="4462"/>
      <c r="F67" s="3289" t="s">
        <v>607</v>
      </c>
      <c r="G67" s="486"/>
      <c r="H67" s="485"/>
      <c r="I67" s="485"/>
      <c r="J67" s="485"/>
      <c r="K67" s="650"/>
      <c r="L67" s="499"/>
      <c r="M67" s="494"/>
      <c r="N67" s="494"/>
      <c r="O67" s="494"/>
      <c r="P67" s="494"/>
      <c r="Q67" s="486"/>
      <c r="R67" s="485"/>
      <c r="S67" s="485"/>
      <c r="T67" s="485"/>
      <c r="U67" s="650"/>
      <c r="V67" s="4448"/>
      <c r="W67" s="1266"/>
      <c r="X67" s="1266"/>
      <c r="Y67" s="1266"/>
      <c r="Z67" s="3285"/>
      <c r="AA67" s="3286"/>
      <c r="AB67" s="3286"/>
      <c r="AC67" s="3286"/>
      <c r="AD67" s="3286"/>
      <c r="AE67" s="3285"/>
      <c r="AF67" s="3286"/>
      <c r="AG67" s="3287"/>
    </row>
    <row r="68" spans="4:33" s="501" customFormat="1" ht="12.75" customHeight="1">
      <c r="D68" s="299"/>
      <c r="E68" s="4462"/>
      <c r="F68" s="3290" t="s">
        <v>610</v>
      </c>
      <c r="G68" s="384">
        <f t="shared" ref="G68:O68" si="28">SUM(G65:G67)</f>
        <v>91771.112370795934</v>
      </c>
      <c r="H68" s="385">
        <f t="shared" si="28"/>
        <v>118950.26099200002</v>
      </c>
      <c r="I68" s="385">
        <f t="shared" si="28"/>
        <v>62441.913301630426</v>
      </c>
      <c r="J68" s="385">
        <f t="shared" si="28"/>
        <v>122986.10881239244</v>
      </c>
      <c r="K68" s="651">
        <f t="shared" si="28"/>
        <v>846414.32594094414</v>
      </c>
      <c r="L68" s="384">
        <f t="shared" si="28"/>
        <v>0</v>
      </c>
      <c r="M68" s="385">
        <f t="shared" si="28"/>
        <v>340140.72000000003</v>
      </c>
      <c r="N68" s="385">
        <f t="shared" si="28"/>
        <v>214192.00000000003</v>
      </c>
      <c r="O68" s="385">
        <f t="shared" si="28"/>
        <v>100548.2299235535</v>
      </c>
      <c r="P68" s="385">
        <f t="shared" ref="P68" si="29">SUM(P65:P67)</f>
        <v>116600</v>
      </c>
      <c r="Q68" s="384">
        <f t="shared" ref="Q68:U68" si="30">SUM(Q65:Q67)</f>
        <v>0</v>
      </c>
      <c r="R68" s="385">
        <f t="shared" si="30"/>
        <v>0</v>
      </c>
      <c r="S68" s="385">
        <f t="shared" si="30"/>
        <v>0</v>
      </c>
      <c r="T68" s="385">
        <f t="shared" si="30"/>
        <v>0</v>
      </c>
      <c r="U68" s="651">
        <f t="shared" si="30"/>
        <v>0</v>
      </c>
      <c r="V68" s="4448"/>
      <c r="W68" s="1266"/>
      <c r="X68" s="1266"/>
      <c r="Y68" s="1266"/>
      <c r="Z68" s="3285"/>
      <c r="AA68" s="3286"/>
      <c r="AB68" s="3286"/>
      <c r="AC68" s="3286"/>
      <c r="AD68" s="3286"/>
      <c r="AE68" s="3285"/>
      <c r="AF68" s="3286"/>
      <c r="AG68" s="3287"/>
    </row>
    <row r="69" spans="4:33" s="501" customFormat="1" ht="12.75" customHeight="1">
      <c r="D69" s="299"/>
      <c r="E69" s="4462"/>
      <c r="F69" s="3289" t="s">
        <v>35</v>
      </c>
      <c r="G69" s="486"/>
      <c r="H69" s="485"/>
      <c r="I69" s="485"/>
      <c r="J69" s="485"/>
      <c r="K69" s="650"/>
      <c r="L69" s="486"/>
      <c r="M69" s="485"/>
      <c r="N69" s="485"/>
      <c r="O69" s="485"/>
      <c r="P69" s="485"/>
      <c r="Q69" s="486"/>
      <c r="R69" s="485"/>
      <c r="S69" s="485"/>
      <c r="T69" s="485"/>
      <c r="U69" s="650"/>
      <c r="V69" s="4448"/>
      <c r="W69" s="1266"/>
      <c r="X69" s="1266"/>
      <c r="Y69" s="1266"/>
      <c r="Z69" s="3285"/>
      <c r="AA69" s="3286"/>
      <c r="AB69" s="3286"/>
      <c r="AC69" s="3286"/>
      <c r="AD69" s="3286"/>
      <c r="AE69" s="3285"/>
      <c r="AF69" s="3286"/>
      <c r="AG69" s="3287"/>
    </row>
    <row r="70" spans="4:33" s="501" customFormat="1" ht="13.5" customHeight="1" thickBot="1">
      <c r="D70" s="299"/>
      <c r="E70" s="4463"/>
      <c r="F70" s="3291" t="s">
        <v>611</v>
      </c>
      <c r="G70" s="1458">
        <f t="shared" ref="G70:U70" si="31">G68-G69</f>
        <v>91771.112370795934</v>
      </c>
      <c r="H70" s="387">
        <f t="shared" si="31"/>
        <v>118950.26099200002</v>
      </c>
      <c r="I70" s="387">
        <f t="shared" si="31"/>
        <v>62441.913301630426</v>
      </c>
      <c r="J70" s="387">
        <f t="shared" si="31"/>
        <v>122986.10881239244</v>
      </c>
      <c r="K70" s="653">
        <f t="shared" si="31"/>
        <v>846414.32594094414</v>
      </c>
      <c r="L70" s="1458">
        <f t="shared" si="31"/>
        <v>0</v>
      </c>
      <c r="M70" s="387">
        <f t="shared" si="31"/>
        <v>340140.72000000003</v>
      </c>
      <c r="N70" s="387">
        <f t="shared" si="31"/>
        <v>214192.00000000003</v>
      </c>
      <c r="O70" s="387">
        <f t="shared" si="31"/>
        <v>100548.2299235535</v>
      </c>
      <c r="P70" s="387">
        <f t="shared" si="31"/>
        <v>116600</v>
      </c>
      <c r="Q70" s="1458">
        <f t="shared" si="31"/>
        <v>0</v>
      </c>
      <c r="R70" s="387">
        <f t="shared" si="31"/>
        <v>0</v>
      </c>
      <c r="S70" s="387">
        <f t="shared" si="31"/>
        <v>0</v>
      </c>
      <c r="T70" s="387">
        <f t="shared" si="31"/>
        <v>0</v>
      </c>
      <c r="U70" s="653">
        <f t="shared" si="31"/>
        <v>0</v>
      </c>
      <c r="V70" s="4449"/>
      <c r="W70" s="1266"/>
      <c r="X70" s="1266"/>
      <c r="Y70" s="1266"/>
      <c r="Z70" s="3285"/>
      <c r="AA70" s="3286"/>
      <c r="AB70" s="3286"/>
      <c r="AC70" s="3286"/>
      <c r="AD70" s="3286"/>
      <c r="AE70" s="3285"/>
      <c r="AF70" s="3286"/>
      <c r="AG70" s="3287"/>
    </row>
    <row r="71" spans="4:33" s="501" customFormat="1" ht="12.75" customHeight="1">
      <c r="D71" s="299"/>
      <c r="E71" s="4461" t="s">
        <v>1595</v>
      </c>
      <c r="F71" s="3288" t="s">
        <v>624</v>
      </c>
      <c r="G71" s="553"/>
      <c r="H71" s="554"/>
      <c r="I71" s="554"/>
      <c r="J71" s="554"/>
      <c r="K71" s="554"/>
      <c r="L71" s="564"/>
      <c r="M71" s="565"/>
      <c r="N71" s="565"/>
      <c r="O71" s="565"/>
      <c r="P71" s="565"/>
      <c r="Q71" s="553"/>
      <c r="R71" s="554"/>
      <c r="S71" s="554"/>
      <c r="T71" s="554"/>
      <c r="U71" s="554"/>
      <c r="V71" s="4447"/>
      <c r="W71" s="1266"/>
      <c r="X71" s="1266"/>
      <c r="Y71" s="1266"/>
      <c r="Z71" s="3285"/>
      <c r="AA71" s="3286"/>
      <c r="AB71" s="3286"/>
      <c r="AC71" s="3286"/>
      <c r="AD71" s="3286"/>
      <c r="AE71" s="3285"/>
      <c r="AF71" s="3286"/>
      <c r="AG71" s="3287"/>
    </row>
    <row r="72" spans="4:33" s="501" customFormat="1" ht="12.75" customHeight="1">
      <c r="D72" s="299"/>
      <c r="E72" s="4462"/>
      <c r="F72" s="3289" t="s">
        <v>585</v>
      </c>
      <c r="G72" s="497"/>
      <c r="H72" s="495"/>
      <c r="I72" s="495"/>
      <c r="J72" s="495"/>
      <c r="K72" s="495"/>
      <c r="L72" s="486"/>
      <c r="M72" s="485"/>
      <c r="N72" s="485"/>
      <c r="O72" s="485"/>
      <c r="P72" s="485"/>
      <c r="Q72" s="497"/>
      <c r="R72" s="495"/>
      <c r="S72" s="495"/>
      <c r="T72" s="495"/>
      <c r="U72" s="495"/>
      <c r="V72" s="4448"/>
      <c r="W72" s="1266"/>
      <c r="X72" s="1266"/>
      <c r="Y72" s="1266"/>
      <c r="Z72" s="3285"/>
      <c r="AA72" s="3286"/>
      <c r="AB72" s="3286"/>
      <c r="AC72" s="3286"/>
      <c r="AD72" s="3286"/>
      <c r="AE72" s="3285"/>
      <c r="AF72" s="3286"/>
      <c r="AG72" s="3287"/>
    </row>
    <row r="73" spans="4:33" s="501" customFormat="1" ht="12.75" customHeight="1">
      <c r="D73" s="299"/>
      <c r="E73" s="4462"/>
      <c r="F73" s="3289" t="s">
        <v>584</v>
      </c>
      <c r="G73" s="497"/>
      <c r="H73" s="495"/>
      <c r="I73" s="495"/>
      <c r="J73" s="495"/>
      <c r="K73" s="495"/>
      <c r="L73" s="486">
        <v>899167.01623300929</v>
      </c>
      <c r="M73" s="3522">
        <v>0</v>
      </c>
      <c r="N73" s="3119">
        <v>1045468.64</v>
      </c>
      <c r="O73" s="485">
        <v>1182106.3899999999</v>
      </c>
      <c r="P73" s="485"/>
      <c r="Q73" s="497"/>
      <c r="R73" s="495"/>
      <c r="S73" s="495"/>
      <c r="T73" s="495"/>
      <c r="U73" s="495"/>
      <c r="V73" s="4448"/>
      <c r="W73" s="1266"/>
      <c r="X73" s="1266"/>
      <c r="Y73" s="1266"/>
      <c r="Z73" s="3285"/>
      <c r="AA73" s="3286"/>
      <c r="AB73" s="3286"/>
      <c r="AC73" s="3286"/>
      <c r="AD73" s="3286"/>
      <c r="AE73" s="3285"/>
      <c r="AF73" s="3286"/>
      <c r="AG73" s="3287"/>
    </row>
    <row r="74" spans="4:33" s="501" customFormat="1" ht="12.75" customHeight="1">
      <c r="D74" s="299"/>
      <c r="E74" s="4462"/>
      <c r="F74" s="3289" t="s">
        <v>604</v>
      </c>
      <c r="G74" s="497"/>
      <c r="H74" s="495"/>
      <c r="I74" s="495"/>
      <c r="J74" s="495"/>
      <c r="K74" s="495"/>
      <c r="L74" s="486"/>
      <c r="M74" s="485"/>
      <c r="N74" s="485"/>
      <c r="O74" s="485"/>
      <c r="P74" s="485"/>
      <c r="Q74" s="497"/>
      <c r="R74" s="495"/>
      <c r="S74" s="495"/>
      <c r="T74" s="495"/>
      <c r="U74" s="495"/>
      <c r="V74" s="4448"/>
      <c r="W74" s="1266"/>
      <c r="X74" s="1266"/>
      <c r="Y74" s="1266"/>
      <c r="Z74" s="3285"/>
      <c r="AA74" s="3286"/>
      <c r="AB74" s="3286"/>
      <c r="AC74" s="3286"/>
      <c r="AD74" s="3286"/>
      <c r="AE74" s="3285"/>
      <c r="AF74" s="3286"/>
      <c r="AG74" s="3287"/>
    </row>
    <row r="75" spans="4:33" s="501" customFormat="1" ht="12.75" customHeight="1">
      <c r="D75" s="299"/>
      <c r="E75" s="4462"/>
      <c r="F75" s="3290" t="s">
        <v>592</v>
      </c>
      <c r="G75" s="486">
        <v>599952.91499999992</v>
      </c>
      <c r="H75" s="485">
        <v>617285.97000000009</v>
      </c>
      <c r="I75" s="485">
        <v>785287.82700000005</v>
      </c>
      <c r="J75" s="485">
        <v>738049.77899999986</v>
      </c>
      <c r="K75" s="3586">
        <v>101529.79943863244</v>
      </c>
      <c r="L75" s="384">
        <f>SUM(L72:L74)</f>
        <v>899167.01623300929</v>
      </c>
      <c r="M75" s="385">
        <f t="shared" ref="M75:P75" si="32">SUM(M72:M74)</f>
        <v>0</v>
      </c>
      <c r="N75" s="385">
        <f t="shared" si="32"/>
        <v>1045468.64</v>
      </c>
      <c r="O75" s="385">
        <f t="shared" si="32"/>
        <v>1182106.3899999999</v>
      </c>
      <c r="P75" s="385">
        <f t="shared" si="32"/>
        <v>0</v>
      </c>
      <c r="Q75" s="486">
        <f>'[7]Regulatory Export'!F19*1000/1.06</f>
        <v>111913.30961999999</v>
      </c>
      <c r="R75" s="485">
        <f>'[7]Regulatory Export'!G19*1000/1.06</f>
        <v>111844.32966</v>
      </c>
      <c r="S75" s="485">
        <f>'[7]Regulatory Export'!H19*1000/1.06</f>
        <v>112085.75951999998</v>
      </c>
      <c r="T75" s="485">
        <f>'[7]Regulatory Export'!I19*1000/1.06</f>
        <v>112465.1493</v>
      </c>
      <c r="U75" s="650">
        <f>'[7]Regulatory Export'!J19*1000/1.06</f>
        <v>112637.59919999998</v>
      </c>
      <c r="V75" s="4448"/>
      <c r="W75" s="1266"/>
      <c r="X75" s="1266"/>
      <c r="Y75" s="1266"/>
      <c r="Z75" s="3285"/>
      <c r="AA75" s="3286"/>
      <c r="AB75" s="3286"/>
      <c r="AC75" s="3286"/>
      <c r="AD75" s="3286"/>
      <c r="AE75" s="3285"/>
      <c r="AF75" s="3286"/>
      <c r="AG75" s="3287"/>
    </row>
    <row r="76" spans="4:33" s="501" customFormat="1" ht="12.75" customHeight="1">
      <c r="D76" s="299"/>
      <c r="E76" s="4462"/>
      <c r="F76" s="3289" t="s">
        <v>609</v>
      </c>
      <c r="G76" s="486">
        <v>66302.074164420468</v>
      </c>
      <c r="H76" s="485">
        <v>26337.534720000007</v>
      </c>
      <c r="I76" s="485">
        <v>87491.306812499999</v>
      </c>
      <c r="J76" s="485">
        <v>81299.803538726308</v>
      </c>
      <c r="K76" s="650">
        <v>10927.94400497334</v>
      </c>
      <c r="L76" s="486">
        <v>37564.963766990993</v>
      </c>
      <c r="M76" s="3522">
        <v>0</v>
      </c>
      <c r="N76" s="485">
        <v>56651.359999999993</v>
      </c>
      <c r="O76" s="485">
        <f>O75*0.05243291</f>
        <v>61981.277957294893</v>
      </c>
      <c r="P76" s="485">
        <f t="shared" ref="P76" si="33">P75*0.06</f>
        <v>0</v>
      </c>
      <c r="Q76" s="486">
        <f>Q75*0.06</f>
        <v>6714.7985771999993</v>
      </c>
      <c r="R76" s="485">
        <f t="shared" ref="R76:U76" si="34">R75*0.06</f>
        <v>6710.6597795999996</v>
      </c>
      <c r="S76" s="485">
        <f t="shared" si="34"/>
        <v>6725.1455711999988</v>
      </c>
      <c r="T76" s="485">
        <f t="shared" si="34"/>
        <v>6747.908958</v>
      </c>
      <c r="U76" s="650">
        <f t="shared" si="34"/>
        <v>6758.2559519999986</v>
      </c>
      <c r="V76" s="4448"/>
      <c r="W76" s="1266"/>
      <c r="X76" s="1266"/>
      <c r="Y76" s="1266"/>
      <c r="Z76" s="3285"/>
      <c r="AA76" s="3286"/>
      <c r="AB76" s="3286"/>
      <c r="AC76" s="3286"/>
      <c r="AD76" s="3286"/>
      <c r="AE76" s="3285"/>
      <c r="AF76" s="3286"/>
      <c r="AG76" s="3287"/>
    </row>
    <row r="77" spans="4:33" s="501" customFormat="1" ht="12.75" customHeight="1">
      <c r="D77" s="299"/>
      <c r="E77" s="4462"/>
      <c r="F77" s="3289" t="s">
        <v>607</v>
      </c>
      <c r="G77" s="486"/>
      <c r="H77" s="485"/>
      <c r="I77" s="485"/>
      <c r="J77" s="485"/>
      <c r="K77" s="650"/>
      <c r="L77" s="499"/>
      <c r="M77" s="494"/>
      <c r="N77" s="494"/>
      <c r="O77" s="494"/>
      <c r="P77" s="494"/>
      <c r="Q77" s="486"/>
      <c r="R77" s="485"/>
      <c r="S77" s="485"/>
      <c r="T77" s="485"/>
      <c r="U77" s="650"/>
      <c r="V77" s="4448"/>
      <c r="W77" s="1266"/>
      <c r="X77" s="1266"/>
      <c r="Y77" s="1266"/>
      <c r="Z77" s="3285"/>
      <c r="AA77" s="3286"/>
      <c r="AB77" s="3286"/>
      <c r="AC77" s="3286"/>
      <c r="AD77" s="3286"/>
      <c r="AE77" s="3285"/>
      <c r="AF77" s="3286"/>
      <c r="AG77" s="3287"/>
    </row>
    <row r="78" spans="4:33" s="501" customFormat="1" ht="12.75" customHeight="1">
      <c r="D78" s="299"/>
      <c r="E78" s="4462"/>
      <c r="F78" s="3290" t="s">
        <v>610</v>
      </c>
      <c r="G78" s="384">
        <f t="shared" ref="G78:U78" si="35">SUM(G75:G77)</f>
        <v>666254.9891644204</v>
      </c>
      <c r="H78" s="385">
        <f t="shared" si="35"/>
        <v>643623.50472000008</v>
      </c>
      <c r="I78" s="385">
        <f t="shared" si="35"/>
        <v>872779.13381250005</v>
      </c>
      <c r="J78" s="385">
        <f t="shared" si="35"/>
        <v>819349.58253872616</v>
      </c>
      <c r="K78" s="651">
        <f t="shared" si="35"/>
        <v>112457.74344360578</v>
      </c>
      <c r="L78" s="384">
        <f t="shared" si="35"/>
        <v>936731.98000000033</v>
      </c>
      <c r="M78" s="385">
        <f t="shared" si="35"/>
        <v>0</v>
      </c>
      <c r="N78" s="385">
        <f t="shared" si="35"/>
        <v>1102120</v>
      </c>
      <c r="O78" s="385">
        <f t="shared" si="35"/>
        <v>1244087.6679572947</v>
      </c>
      <c r="P78" s="385">
        <f t="shared" si="35"/>
        <v>0</v>
      </c>
      <c r="Q78" s="384">
        <f t="shared" si="35"/>
        <v>118628.10819719998</v>
      </c>
      <c r="R78" s="385">
        <f t="shared" si="35"/>
        <v>118554.9894396</v>
      </c>
      <c r="S78" s="385">
        <f t="shared" si="35"/>
        <v>118810.90509119998</v>
      </c>
      <c r="T78" s="385">
        <f t="shared" si="35"/>
        <v>119213.058258</v>
      </c>
      <c r="U78" s="651">
        <f t="shared" si="35"/>
        <v>119395.85515199997</v>
      </c>
      <c r="V78" s="4448"/>
      <c r="W78" s="1266"/>
      <c r="X78" s="1266"/>
      <c r="Y78" s="1266"/>
      <c r="Z78" s="3285"/>
      <c r="AA78" s="3286"/>
      <c r="AB78" s="3286"/>
      <c r="AC78" s="3286"/>
      <c r="AD78" s="3286"/>
      <c r="AE78" s="3285"/>
      <c r="AF78" s="3286"/>
      <c r="AG78" s="3287"/>
    </row>
    <row r="79" spans="4:33" s="501" customFormat="1" ht="12.75" customHeight="1">
      <c r="D79" s="299"/>
      <c r="E79" s="4462"/>
      <c r="F79" s="3289" t="s">
        <v>35</v>
      </c>
      <c r="G79" s="486"/>
      <c r="H79" s="485"/>
      <c r="I79" s="485"/>
      <c r="J79" s="485"/>
      <c r="K79" s="650"/>
      <c r="L79" s="486"/>
      <c r="M79" s="485"/>
      <c r="N79" s="485"/>
      <c r="O79" s="485"/>
      <c r="P79" s="3119"/>
      <c r="Q79" s="486"/>
      <c r="R79" s="485"/>
      <c r="S79" s="485"/>
      <c r="T79" s="485"/>
      <c r="U79" s="650"/>
      <c r="V79" s="4448"/>
      <c r="W79" s="1266"/>
      <c r="X79" s="1266"/>
      <c r="Y79" s="1266"/>
      <c r="Z79" s="3285"/>
      <c r="AA79" s="3286"/>
      <c r="AB79" s="3286"/>
      <c r="AC79" s="3286"/>
      <c r="AD79" s="3286"/>
      <c r="AE79" s="3285"/>
      <c r="AF79" s="3286"/>
      <c r="AG79" s="3287"/>
    </row>
    <row r="80" spans="4:33" s="501" customFormat="1" ht="13.5" customHeight="1" thickBot="1">
      <c r="D80" s="299"/>
      <c r="E80" s="4463"/>
      <c r="F80" s="3291" t="s">
        <v>611</v>
      </c>
      <c r="G80" s="1458">
        <f t="shared" ref="G80:U80" si="36">G78-G79</f>
        <v>666254.9891644204</v>
      </c>
      <c r="H80" s="387">
        <f t="shared" si="36"/>
        <v>643623.50472000008</v>
      </c>
      <c r="I80" s="387">
        <f t="shared" si="36"/>
        <v>872779.13381250005</v>
      </c>
      <c r="J80" s="387">
        <f t="shared" si="36"/>
        <v>819349.58253872616</v>
      </c>
      <c r="K80" s="653">
        <f t="shared" si="36"/>
        <v>112457.74344360578</v>
      </c>
      <c r="L80" s="1458">
        <f t="shared" si="36"/>
        <v>936731.98000000033</v>
      </c>
      <c r="M80" s="387">
        <f t="shared" si="36"/>
        <v>0</v>
      </c>
      <c r="N80" s="387">
        <f t="shared" si="36"/>
        <v>1102120</v>
      </c>
      <c r="O80" s="387">
        <f t="shared" si="36"/>
        <v>1244087.6679572947</v>
      </c>
      <c r="P80" s="387">
        <f t="shared" si="36"/>
        <v>0</v>
      </c>
      <c r="Q80" s="1458">
        <f t="shared" si="36"/>
        <v>118628.10819719998</v>
      </c>
      <c r="R80" s="387">
        <f t="shared" si="36"/>
        <v>118554.9894396</v>
      </c>
      <c r="S80" s="387">
        <f t="shared" si="36"/>
        <v>118810.90509119998</v>
      </c>
      <c r="T80" s="387">
        <f t="shared" si="36"/>
        <v>119213.058258</v>
      </c>
      <c r="U80" s="653">
        <f t="shared" si="36"/>
        <v>119395.85515199997</v>
      </c>
      <c r="V80" s="4449"/>
      <c r="W80" s="1266"/>
      <c r="X80" s="1266"/>
      <c r="Y80" s="1266"/>
      <c r="Z80" s="3285"/>
      <c r="AA80" s="3286"/>
      <c r="AB80" s="3286"/>
      <c r="AC80" s="3286"/>
      <c r="AD80" s="3286"/>
      <c r="AE80" s="3285"/>
      <c r="AF80" s="3286"/>
      <c r="AG80" s="3287"/>
    </row>
    <row r="81" spans="4:33" s="501" customFormat="1" ht="12.75" customHeight="1">
      <c r="D81" s="299"/>
      <c r="E81" s="4450" t="s">
        <v>1596</v>
      </c>
      <c r="F81" s="3288" t="s">
        <v>624</v>
      </c>
      <c r="G81" s="553"/>
      <c r="H81" s="554"/>
      <c r="I81" s="554"/>
      <c r="J81" s="554"/>
      <c r="K81" s="554"/>
      <c r="L81" s="564"/>
      <c r="M81" s="565"/>
      <c r="N81" s="565"/>
      <c r="O81" s="565"/>
      <c r="P81" s="565"/>
      <c r="Q81" s="553"/>
      <c r="R81" s="554"/>
      <c r="S81" s="554"/>
      <c r="T81" s="554"/>
      <c r="U81" s="554"/>
      <c r="V81" s="4447"/>
      <c r="W81" s="1266"/>
      <c r="X81" s="1266"/>
      <c r="Y81" s="1266"/>
      <c r="Z81" s="3285"/>
      <c r="AA81" s="3286"/>
      <c r="AB81" s="3286"/>
      <c r="AC81" s="3286"/>
      <c r="AD81" s="3286"/>
      <c r="AE81" s="3285"/>
      <c r="AF81" s="3286"/>
      <c r="AG81" s="3287"/>
    </row>
    <row r="82" spans="4:33" s="501" customFormat="1" ht="12.75" customHeight="1">
      <c r="D82" s="299"/>
      <c r="E82" s="4451"/>
      <c r="F82" s="3289" t="s">
        <v>585</v>
      </c>
      <c r="G82" s="497"/>
      <c r="H82" s="495"/>
      <c r="I82" s="495"/>
      <c r="J82" s="495"/>
      <c r="K82" s="495"/>
      <c r="L82" s="486"/>
      <c r="M82" s="485"/>
      <c r="N82" s="485"/>
      <c r="O82" s="485"/>
      <c r="P82" s="485"/>
      <c r="Q82" s="497"/>
      <c r="R82" s="495"/>
      <c r="S82" s="495"/>
      <c r="T82" s="495"/>
      <c r="U82" s="495"/>
      <c r="V82" s="4448"/>
      <c r="W82" s="1266"/>
      <c r="X82" s="1266"/>
      <c r="Y82" s="1266"/>
      <c r="Z82" s="3285"/>
      <c r="AA82" s="3286"/>
      <c r="AB82" s="3286"/>
      <c r="AC82" s="3286"/>
      <c r="AD82" s="3286"/>
      <c r="AE82" s="3285"/>
      <c r="AF82" s="3286"/>
      <c r="AG82" s="3287"/>
    </row>
    <row r="83" spans="4:33" s="501" customFormat="1" ht="12.75" customHeight="1">
      <c r="D83" s="299"/>
      <c r="E83" s="4451"/>
      <c r="F83" s="3289" t="s">
        <v>584</v>
      </c>
      <c r="G83" s="497"/>
      <c r="H83" s="495"/>
      <c r="I83" s="495"/>
      <c r="J83" s="495"/>
      <c r="K83" s="495"/>
      <c r="L83" s="486"/>
      <c r="M83" s="485"/>
      <c r="N83" s="485"/>
      <c r="O83" s="485"/>
      <c r="P83" s="485">
        <v>0</v>
      </c>
      <c r="Q83" s="497"/>
      <c r="R83" s="495"/>
      <c r="S83" s="495"/>
      <c r="T83" s="495"/>
      <c r="U83" s="495"/>
      <c r="V83" s="4448"/>
      <c r="W83" s="1266"/>
      <c r="X83" s="1266"/>
      <c r="Y83" s="1266"/>
      <c r="Z83" s="3285"/>
      <c r="AA83" s="3286"/>
      <c r="AB83" s="3286"/>
      <c r="AC83" s="3286"/>
      <c r="AD83" s="3286"/>
      <c r="AE83" s="3285"/>
      <c r="AF83" s="3286"/>
      <c r="AG83" s="3287"/>
    </row>
    <row r="84" spans="4:33" s="501" customFormat="1" ht="12.75" customHeight="1">
      <c r="D84" s="299"/>
      <c r="E84" s="4451"/>
      <c r="F84" s="3289" t="s">
        <v>604</v>
      </c>
      <c r="G84" s="497"/>
      <c r="H84" s="495"/>
      <c r="I84" s="495"/>
      <c r="J84" s="495"/>
      <c r="K84" s="495"/>
      <c r="L84" s="486"/>
      <c r="M84" s="485"/>
      <c r="N84" s="485"/>
      <c r="O84" s="485"/>
      <c r="P84" s="485"/>
      <c r="Q84" s="497"/>
      <c r="R84" s="495"/>
      <c r="S84" s="495"/>
      <c r="T84" s="495"/>
      <c r="U84" s="495"/>
      <c r="V84" s="4448"/>
      <c r="W84" s="1266"/>
      <c r="X84" s="1266"/>
      <c r="Y84" s="1266"/>
      <c r="Z84" s="3285"/>
      <c r="AA84" s="3286"/>
      <c r="AB84" s="3286"/>
      <c r="AC84" s="3286"/>
      <c r="AD84" s="3286"/>
      <c r="AE84" s="3285"/>
      <c r="AF84" s="3286"/>
      <c r="AG84" s="3287"/>
    </row>
    <row r="85" spans="4:33" s="501" customFormat="1" ht="12.75" customHeight="1">
      <c r="D85" s="299"/>
      <c r="E85" s="4451"/>
      <c r="F85" s="3290" t="s">
        <v>592</v>
      </c>
      <c r="G85" s="486"/>
      <c r="H85" s="485"/>
      <c r="I85" s="485"/>
      <c r="J85" s="485"/>
      <c r="K85" s="650"/>
      <c r="L85" s="384">
        <f>SUM(L82:L84)</f>
        <v>0</v>
      </c>
      <c r="M85" s="385">
        <f t="shared" ref="M85:P85" si="37">SUM(M82:M84)</f>
        <v>0</v>
      </c>
      <c r="N85" s="385">
        <f t="shared" si="37"/>
        <v>0</v>
      </c>
      <c r="O85" s="385">
        <f t="shared" si="37"/>
        <v>0</v>
      </c>
      <c r="P85" s="385">
        <f t="shared" si="37"/>
        <v>0</v>
      </c>
      <c r="Q85" s="486">
        <f>'[7]Regulatory Export'!F21*1000/1.06</f>
        <v>30176.699999999997</v>
      </c>
      <c r="R85" s="485">
        <f>'[7]Regulatory Export'!G21*1000/1.06</f>
        <v>0</v>
      </c>
      <c r="S85" s="485">
        <f>'[7]Regulatory Export'!H21*1000/1.06</f>
        <v>0</v>
      </c>
      <c r="T85" s="485">
        <f>'[7]Regulatory Export'!I21*1000/1.06</f>
        <v>0</v>
      </c>
      <c r="U85" s="650">
        <f>'[7]Regulatory Export'!J21*1000/1.06</f>
        <v>0</v>
      </c>
      <c r="V85" s="4448"/>
      <c r="W85" s="1266"/>
      <c r="X85" s="1266"/>
      <c r="Y85" s="1266"/>
      <c r="Z85" s="3285"/>
      <c r="AA85" s="3286"/>
      <c r="AB85" s="3286"/>
      <c r="AC85" s="3286"/>
      <c r="AD85" s="3286"/>
      <c r="AE85" s="3285"/>
      <c r="AF85" s="3286"/>
      <c r="AG85" s="3287"/>
    </row>
    <row r="86" spans="4:33" s="501" customFormat="1" ht="12.75" customHeight="1">
      <c r="D86" s="299"/>
      <c r="E86" s="4451"/>
      <c r="F86" s="3289" t="s">
        <v>609</v>
      </c>
      <c r="G86" s="486"/>
      <c r="H86" s="485"/>
      <c r="I86" s="485"/>
      <c r="J86" s="485"/>
      <c r="K86" s="650"/>
      <c r="L86" s="486"/>
      <c r="M86" s="485"/>
      <c r="N86" s="485"/>
      <c r="O86" s="485"/>
      <c r="P86" s="485">
        <f t="shared" ref="P86" si="38">P85*0.06</f>
        <v>0</v>
      </c>
      <c r="Q86" s="486">
        <f>Q85*0.06</f>
        <v>1810.6019999999999</v>
      </c>
      <c r="R86" s="485">
        <f t="shared" ref="R86:U86" si="39">R85*0.06</f>
        <v>0</v>
      </c>
      <c r="S86" s="485">
        <f t="shared" si="39"/>
        <v>0</v>
      </c>
      <c r="T86" s="485">
        <f t="shared" si="39"/>
        <v>0</v>
      </c>
      <c r="U86" s="650">
        <f t="shared" si="39"/>
        <v>0</v>
      </c>
      <c r="V86" s="4448"/>
      <c r="W86" s="1266"/>
      <c r="X86" s="1266"/>
      <c r="Y86" s="1266"/>
      <c r="Z86" s="3285"/>
      <c r="AA86" s="3286"/>
      <c r="AB86" s="3286"/>
      <c r="AC86" s="3286"/>
      <c r="AD86" s="3286"/>
      <c r="AE86" s="3285"/>
      <c r="AF86" s="3286"/>
      <c r="AG86" s="3287"/>
    </row>
    <row r="87" spans="4:33" s="501" customFormat="1" ht="12.75" customHeight="1">
      <c r="D87" s="299"/>
      <c r="E87" s="4451"/>
      <c r="F87" s="3289" t="s">
        <v>607</v>
      </c>
      <c r="G87" s="486"/>
      <c r="H87" s="485"/>
      <c r="I87" s="485"/>
      <c r="J87" s="485"/>
      <c r="K87" s="650"/>
      <c r="L87" s="499"/>
      <c r="M87" s="494"/>
      <c r="N87" s="494"/>
      <c r="O87" s="494"/>
      <c r="P87" s="494"/>
      <c r="Q87" s="486"/>
      <c r="R87" s="485"/>
      <c r="S87" s="485"/>
      <c r="T87" s="485"/>
      <c r="U87" s="650"/>
      <c r="V87" s="4448"/>
      <c r="W87" s="1266"/>
      <c r="X87" s="1266"/>
      <c r="Y87" s="1266"/>
      <c r="Z87" s="3285"/>
      <c r="AA87" s="3286"/>
      <c r="AB87" s="3286"/>
      <c r="AC87" s="3286"/>
      <c r="AD87" s="3286"/>
      <c r="AE87" s="3285"/>
      <c r="AF87" s="3286"/>
      <c r="AG87" s="3287"/>
    </row>
    <row r="88" spans="4:33" s="501" customFormat="1" ht="12.75" customHeight="1">
      <c r="D88" s="299"/>
      <c r="E88" s="4451"/>
      <c r="F88" s="3290" t="s">
        <v>610</v>
      </c>
      <c r="G88" s="384">
        <f t="shared" ref="G88:U88" si="40">SUM(G85:G87)</f>
        <v>0</v>
      </c>
      <c r="H88" s="385">
        <f t="shared" si="40"/>
        <v>0</v>
      </c>
      <c r="I88" s="385">
        <f t="shared" si="40"/>
        <v>0</v>
      </c>
      <c r="J88" s="385">
        <f t="shared" si="40"/>
        <v>0</v>
      </c>
      <c r="K88" s="651">
        <f t="shared" si="40"/>
        <v>0</v>
      </c>
      <c r="L88" s="384">
        <f t="shared" si="40"/>
        <v>0</v>
      </c>
      <c r="M88" s="385">
        <f t="shared" si="40"/>
        <v>0</v>
      </c>
      <c r="N88" s="385">
        <f t="shared" si="40"/>
        <v>0</v>
      </c>
      <c r="O88" s="385">
        <f t="shared" si="40"/>
        <v>0</v>
      </c>
      <c r="P88" s="385">
        <f t="shared" si="40"/>
        <v>0</v>
      </c>
      <c r="Q88" s="384">
        <f t="shared" si="40"/>
        <v>31987.301999999996</v>
      </c>
      <c r="R88" s="385">
        <f t="shared" si="40"/>
        <v>0</v>
      </c>
      <c r="S88" s="385">
        <f t="shared" si="40"/>
        <v>0</v>
      </c>
      <c r="T88" s="385">
        <f t="shared" si="40"/>
        <v>0</v>
      </c>
      <c r="U88" s="651">
        <f t="shared" si="40"/>
        <v>0</v>
      </c>
      <c r="V88" s="4448"/>
      <c r="W88" s="1266"/>
      <c r="X88" s="1266"/>
      <c r="Y88" s="1266"/>
      <c r="Z88" s="3285"/>
      <c r="AA88" s="3286"/>
      <c r="AB88" s="3286"/>
      <c r="AC88" s="3286"/>
      <c r="AD88" s="3286"/>
      <c r="AE88" s="3285"/>
      <c r="AF88" s="3286"/>
      <c r="AG88" s="3287"/>
    </row>
    <row r="89" spans="4:33" s="501" customFormat="1" ht="12.75" customHeight="1">
      <c r="D89" s="299"/>
      <c r="E89" s="4451"/>
      <c r="F89" s="3289" t="s">
        <v>35</v>
      </c>
      <c r="G89" s="486"/>
      <c r="H89" s="485"/>
      <c r="I89" s="485"/>
      <c r="J89" s="485"/>
      <c r="K89" s="650"/>
      <c r="L89" s="486"/>
      <c r="M89" s="485"/>
      <c r="N89" s="485"/>
      <c r="O89" s="485"/>
      <c r="P89" s="3119"/>
      <c r="Q89" s="486"/>
      <c r="R89" s="485"/>
      <c r="S89" s="485"/>
      <c r="T89" s="485"/>
      <c r="U89" s="650"/>
      <c r="V89" s="4448"/>
      <c r="W89" s="1266"/>
      <c r="X89" s="1266"/>
      <c r="Y89" s="1266"/>
      <c r="Z89" s="3285"/>
      <c r="AA89" s="3286"/>
      <c r="AB89" s="3286"/>
      <c r="AC89" s="3286"/>
      <c r="AD89" s="3286"/>
      <c r="AE89" s="3285"/>
      <c r="AF89" s="3286"/>
      <c r="AG89" s="3287"/>
    </row>
    <row r="90" spans="4:33" s="501" customFormat="1" ht="13.5" customHeight="1" thickBot="1">
      <c r="D90" s="299"/>
      <c r="E90" s="4452"/>
      <c r="F90" s="3291" t="s">
        <v>611</v>
      </c>
      <c r="G90" s="1458">
        <f t="shared" ref="G90:U90" si="41">G88-G89</f>
        <v>0</v>
      </c>
      <c r="H90" s="387">
        <f t="shared" si="41"/>
        <v>0</v>
      </c>
      <c r="I90" s="387">
        <f t="shared" si="41"/>
        <v>0</v>
      </c>
      <c r="J90" s="387">
        <f t="shared" si="41"/>
        <v>0</v>
      </c>
      <c r="K90" s="653">
        <f t="shared" si="41"/>
        <v>0</v>
      </c>
      <c r="L90" s="1458">
        <f t="shared" si="41"/>
        <v>0</v>
      </c>
      <c r="M90" s="387">
        <f t="shared" si="41"/>
        <v>0</v>
      </c>
      <c r="N90" s="387">
        <f t="shared" si="41"/>
        <v>0</v>
      </c>
      <c r="O90" s="387">
        <f t="shared" si="41"/>
        <v>0</v>
      </c>
      <c r="P90" s="387">
        <f t="shared" si="41"/>
        <v>0</v>
      </c>
      <c r="Q90" s="1458">
        <f t="shared" si="41"/>
        <v>31987.301999999996</v>
      </c>
      <c r="R90" s="387">
        <f t="shared" si="41"/>
        <v>0</v>
      </c>
      <c r="S90" s="387">
        <f t="shared" si="41"/>
        <v>0</v>
      </c>
      <c r="T90" s="387">
        <f t="shared" si="41"/>
        <v>0</v>
      </c>
      <c r="U90" s="653">
        <f t="shared" si="41"/>
        <v>0</v>
      </c>
      <c r="V90" s="4449"/>
      <c r="W90" s="1266"/>
      <c r="X90" s="1266"/>
      <c r="Y90" s="1266"/>
      <c r="Z90" s="3285"/>
      <c r="AA90" s="3286"/>
      <c r="AB90" s="3286"/>
      <c r="AC90" s="3286"/>
      <c r="AD90" s="3286"/>
      <c r="AE90" s="3285"/>
      <c r="AF90" s="3286"/>
      <c r="AG90" s="3287"/>
    </row>
    <row r="91" spans="4:33" s="501" customFormat="1" ht="12.75" customHeight="1">
      <c r="D91" s="299"/>
      <c r="E91" s="4450" t="s">
        <v>1597</v>
      </c>
      <c r="F91" s="3288" t="s">
        <v>624</v>
      </c>
      <c r="G91" s="553"/>
      <c r="H91" s="554"/>
      <c r="I91" s="554"/>
      <c r="J91" s="554"/>
      <c r="K91" s="554"/>
      <c r="L91" s="564"/>
      <c r="M91" s="565"/>
      <c r="N91" s="565"/>
      <c r="O91" s="565"/>
      <c r="P91" s="565"/>
      <c r="Q91" s="553"/>
      <c r="R91" s="554"/>
      <c r="S91" s="554"/>
      <c r="T91" s="554"/>
      <c r="U91" s="554"/>
      <c r="V91" s="4447"/>
      <c r="W91" s="1266"/>
      <c r="X91" s="1266"/>
      <c r="Y91" s="1266"/>
      <c r="Z91" s="3285"/>
      <c r="AA91" s="3286"/>
      <c r="AB91" s="3286"/>
      <c r="AC91" s="3286"/>
      <c r="AD91" s="3286"/>
      <c r="AE91" s="3285"/>
      <c r="AF91" s="3286"/>
      <c r="AG91" s="3287"/>
    </row>
    <row r="92" spans="4:33" s="501" customFormat="1" ht="12.75" customHeight="1">
      <c r="D92" s="299"/>
      <c r="E92" s="4451"/>
      <c r="F92" s="3289" t="s">
        <v>585</v>
      </c>
      <c r="G92" s="497"/>
      <c r="H92" s="495"/>
      <c r="I92" s="495"/>
      <c r="J92" s="495"/>
      <c r="K92" s="495"/>
      <c r="L92" s="486"/>
      <c r="M92" s="485"/>
      <c r="N92" s="485"/>
      <c r="O92" s="485"/>
      <c r="P92" s="485"/>
      <c r="Q92" s="497"/>
      <c r="R92" s="495"/>
      <c r="S92" s="495"/>
      <c r="T92" s="495"/>
      <c r="U92" s="495"/>
      <c r="V92" s="4448"/>
      <c r="W92" s="1266"/>
      <c r="X92" s="1266"/>
      <c r="Y92" s="1266"/>
      <c r="Z92" s="3285"/>
      <c r="AA92" s="3286"/>
      <c r="AB92" s="3286"/>
      <c r="AC92" s="3286"/>
      <c r="AD92" s="3286"/>
      <c r="AE92" s="3285"/>
      <c r="AF92" s="3286"/>
      <c r="AG92" s="3287"/>
    </row>
    <row r="93" spans="4:33" s="501" customFormat="1" ht="12.75" customHeight="1">
      <c r="D93" s="299"/>
      <c r="E93" s="4451"/>
      <c r="F93" s="3289" t="s">
        <v>584</v>
      </c>
      <c r="G93" s="497"/>
      <c r="H93" s="495"/>
      <c r="I93" s="495"/>
      <c r="J93" s="495"/>
      <c r="K93" s="495"/>
      <c r="L93" s="486"/>
      <c r="M93" s="485"/>
      <c r="N93" s="485"/>
      <c r="O93" s="485"/>
      <c r="P93" s="485">
        <v>580000</v>
      </c>
      <c r="Q93" s="497"/>
      <c r="R93" s="495"/>
      <c r="S93" s="495"/>
      <c r="T93" s="495"/>
      <c r="U93" s="495"/>
      <c r="V93" s="4448"/>
      <c r="W93" s="1266"/>
      <c r="X93" s="1266"/>
      <c r="Y93" s="1266"/>
      <c r="Z93" s="3285"/>
      <c r="AA93" s="3286"/>
      <c r="AB93" s="3286"/>
      <c r="AC93" s="3286"/>
      <c r="AD93" s="3286"/>
      <c r="AE93" s="3285"/>
      <c r="AF93" s="3286"/>
      <c r="AG93" s="3287"/>
    </row>
    <row r="94" spans="4:33" s="501" customFormat="1" ht="12.75" customHeight="1">
      <c r="D94" s="299"/>
      <c r="E94" s="4451"/>
      <c r="F94" s="3289" t="s">
        <v>604</v>
      </c>
      <c r="G94" s="497"/>
      <c r="H94" s="495"/>
      <c r="I94" s="495"/>
      <c r="J94" s="495"/>
      <c r="K94" s="495"/>
      <c r="L94" s="486"/>
      <c r="M94" s="485"/>
      <c r="N94" s="485"/>
      <c r="O94" s="485"/>
      <c r="P94" s="485"/>
      <c r="Q94" s="497"/>
      <c r="R94" s="495"/>
      <c r="S94" s="495"/>
      <c r="T94" s="495"/>
      <c r="U94" s="495"/>
      <c r="V94" s="4448"/>
      <c r="W94" s="1266"/>
      <c r="X94" s="1266"/>
      <c r="Y94" s="1266"/>
      <c r="Z94" s="3285"/>
      <c r="AA94" s="3286"/>
      <c r="AB94" s="3286"/>
      <c r="AC94" s="3286"/>
      <c r="AD94" s="3286"/>
      <c r="AE94" s="3285"/>
      <c r="AF94" s="3286"/>
      <c r="AG94" s="3287"/>
    </row>
    <row r="95" spans="4:33" s="501" customFormat="1" ht="12.75" customHeight="1">
      <c r="D95" s="299"/>
      <c r="E95" s="4451"/>
      <c r="F95" s="3290" t="s">
        <v>592</v>
      </c>
      <c r="G95" s="486"/>
      <c r="H95" s="485"/>
      <c r="I95" s="485"/>
      <c r="J95" s="485"/>
      <c r="K95" s="650"/>
      <c r="L95" s="384">
        <f>SUM(L92:L94)</f>
        <v>0</v>
      </c>
      <c r="M95" s="385">
        <f t="shared" ref="M95:P95" si="42">SUM(M92:M94)</f>
        <v>0</v>
      </c>
      <c r="N95" s="385">
        <f t="shared" si="42"/>
        <v>0</v>
      </c>
      <c r="O95" s="385">
        <f t="shared" si="42"/>
        <v>0</v>
      </c>
      <c r="P95" s="385">
        <f t="shared" si="42"/>
        <v>580000</v>
      </c>
      <c r="Q95" s="486">
        <f>'[7]Regulatory Export'!F22*1000/1.06</f>
        <v>1071797.5991745847</v>
      </c>
      <c r="R95" s="485">
        <f>'[7]Regulatory Export'!G22*1000/1.06</f>
        <v>38200.260000000009</v>
      </c>
      <c r="S95" s="485">
        <f>'[7]Regulatory Export'!H22*1000/1.06</f>
        <v>1545170.5724545994</v>
      </c>
      <c r="T95" s="485">
        <f>'[7]Regulatory Export'!I22*1000/1.06</f>
        <v>38412.299999999996</v>
      </c>
      <c r="U95" s="650">
        <f>'[7]Regulatory Export'!J22*1000/1.06</f>
        <v>1565945.9044743998</v>
      </c>
      <c r="V95" s="4448"/>
      <c r="W95" s="1266"/>
      <c r="X95" s="1266"/>
      <c r="Y95" s="1266"/>
      <c r="Z95" s="3285"/>
      <c r="AA95" s="3286"/>
      <c r="AB95" s="3286"/>
      <c r="AC95" s="3286"/>
      <c r="AD95" s="3286"/>
      <c r="AE95" s="3285"/>
      <c r="AF95" s="3286"/>
      <c r="AG95" s="3287"/>
    </row>
    <row r="96" spans="4:33" s="501" customFormat="1" ht="12.75" customHeight="1">
      <c r="D96" s="299"/>
      <c r="E96" s="4451"/>
      <c r="F96" s="3289" t="s">
        <v>609</v>
      </c>
      <c r="G96" s="486"/>
      <c r="H96" s="485"/>
      <c r="I96" s="485"/>
      <c r="J96" s="485"/>
      <c r="K96" s="650"/>
      <c r="L96" s="486"/>
      <c r="M96" s="485"/>
      <c r="N96" s="485"/>
      <c r="O96" s="485">
        <f t="shared" ref="O96" si="43">O95*0.06</f>
        <v>0</v>
      </c>
      <c r="P96" s="485">
        <f>P95*0.06</f>
        <v>34800</v>
      </c>
      <c r="Q96" s="486">
        <f>Q95*0.06</f>
        <v>64307.855950475081</v>
      </c>
      <c r="R96" s="485">
        <f t="shared" ref="R96:U96" si="44">R95*0.06</f>
        <v>2292.0156000000006</v>
      </c>
      <c r="S96" s="485">
        <f t="shared" si="44"/>
        <v>92710.234347275968</v>
      </c>
      <c r="T96" s="485">
        <f t="shared" si="44"/>
        <v>2304.7379999999998</v>
      </c>
      <c r="U96" s="650">
        <f t="shared" si="44"/>
        <v>93956.754268463977</v>
      </c>
      <c r="V96" s="4448"/>
      <c r="W96" s="1266"/>
      <c r="X96" s="1266"/>
      <c r="Y96" s="1266"/>
      <c r="Z96" s="3285"/>
      <c r="AA96" s="3286"/>
      <c r="AB96" s="3286"/>
      <c r="AC96" s="3286"/>
      <c r="AD96" s="3286"/>
      <c r="AE96" s="3285"/>
      <c r="AF96" s="3286"/>
      <c r="AG96" s="3287"/>
    </row>
    <row r="97" spans="2:33" s="501" customFormat="1" ht="12.75" customHeight="1">
      <c r="D97" s="299"/>
      <c r="E97" s="4451"/>
      <c r="F97" s="3289" t="s">
        <v>607</v>
      </c>
      <c r="G97" s="486"/>
      <c r="H97" s="485"/>
      <c r="I97" s="485"/>
      <c r="J97" s="485"/>
      <c r="K97" s="650"/>
      <c r="L97" s="499"/>
      <c r="M97" s="494"/>
      <c r="N97" s="494"/>
      <c r="O97" s="494"/>
      <c r="P97" s="494"/>
      <c r="Q97" s="486"/>
      <c r="R97" s="485"/>
      <c r="S97" s="485"/>
      <c r="T97" s="485"/>
      <c r="U97" s="650"/>
      <c r="V97" s="4448"/>
      <c r="W97" s="1266"/>
      <c r="X97" s="1266"/>
      <c r="Y97" s="1266"/>
      <c r="Z97" s="3285"/>
      <c r="AA97" s="3286"/>
      <c r="AB97" s="3286"/>
      <c r="AC97" s="3286"/>
      <c r="AD97" s="3286"/>
      <c r="AE97" s="3285"/>
      <c r="AF97" s="3286"/>
      <c r="AG97" s="3287"/>
    </row>
    <row r="98" spans="2:33" s="501" customFormat="1" ht="12.75" customHeight="1">
      <c r="D98" s="299"/>
      <c r="E98" s="4451"/>
      <c r="F98" s="3290" t="s">
        <v>610</v>
      </c>
      <c r="G98" s="384">
        <f t="shared" ref="G98:U98" si="45">SUM(G95:G97)</f>
        <v>0</v>
      </c>
      <c r="H98" s="385">
        <f t="shared" si="45"/>
        <v>0</v>
      </c>
      <c r="I98" s="385">
        <f t="shared" si="45"/>
        <v>0</v>
      </c>
      <c r="J98" s="385">
        <f t="shared" si="45"/>
        <v>0</v>
      </c>
      <c r="K98" s="651">
        <f t="shared" si="45"/>
        <v>0</v>
      </c>
      <c r="L98" s="384">
        <f t="shared" si="45"/>
        <v>0</v>
      </c>
      <c r="M98" s="385">
        <f t="shared" si="45"/>
        <v>0</v>
      </c>
      <c r="N98" s="385">
        <f t="shared" si="45"/>
        <v>0</v>
      </c>
      <c r="O98" s="385">
        <f>SUM(O95:O97)</f>
        <v>0</v>
      </c>
      <c r="P98" s="385">
        <f t="shared" si="45"/>
        <v>614800</v>
      </c>
      <c r="Q98" s="384">
        <f t="shared" si="45"/>
        <v>1136105.4551250597</v>
      </c>
      <c r="R98" s="385">
        <f t="shared" si="45"/>
        <v>40492.275600000008</v>
      </c>
      <c r="S98" s="385">
        <f t="shared" si="45"/>
        <v>1637880.8068018754</v>
      </c>
      <c r="T98" s="385">
        <f t="shared" si="45"/>
        <v>40717.037999999993</v>
      </c>
      <c r="U98" s="651">
        <f t="shared" si="45"/>
        <v>1659902.6587428637</v>
      </c>
      <c r="V98" s="4448"/>
      <c r="W98" s="1266"/>
      <c r="X98" s="1266"/>
      <c r="Y98" s="1266"/>
      <c r="Z98" s="3285"/>
      <c r="AA98" s="3286"/>
      <c r="AB98" s="3286"/>
      <c r="AC98" s="3286"/>
      <c r="AD98" s="3286"/>
      <c r="AE98" s="3285"/>
      <c r="AF98" s="3286"/>
      <c r="AG98" s="3287"/>
    </row>
    <row r="99" spans="2:33" s="501" customFormat="1" ht="12.75" customHeight="1">
      <c r="D99" s="299"/>
      <c r="E99" s="4451"/>
      <c r="F99" s="3289" t="s">
        <v>35</v>
      </c>
      <c r="G99" s="486"/>
      <c r="H99" s="485"/>
      <c r="I99" s="485"/>
      <c r="J99" s="485"/>
      <c r="K99" s="650"/>
      <c r="L99" s="486"/>
      <c r="M99" s="485"/>
      <c r="N99" s="485"/>
      <c r="O99" s="485"/>
      <c r="P99" s="3119"/>
      <c r="Q99" s="486"/>
      <c r="R99" s="485"/>
      <c r="S99" s="485"/>
      <c r="T99" s="485"/>
      <c r="U99" s="650"/>
      <c r="V99" s="4448"/>
      <c r="W99" s="1266"/>
      <c r="X99" s="1266"/>
      <c r="Y99" s="1266"/>
      <c r="Z99" s="3285"/>
      <c r="AA99" s="3286"/>
      <c r="AB99" s="3286"/>
      <c r="AC99" s="3286"/>
      <c r="AD99" s="3286"/>
      <c r="AE99" s="3285"/>
      <c r="AF99" s="3286"/>
      <c r="AG99" s="3287"/>
    </row>
    <row r="100" spans="2:33" s="501" customFormat="1" ht="13.5" customHeight="1" thickBot="1">
      <c r="D100" s="299"/>
      <c r="E100" s="4452"/>
      <c r="F100" s="3291" t="s">
        <v>611</v>
      </c>
      <c r="G100" s="1458">
        <f t="shared" ref="G100:U100" si="46">G98-G99</f>
        <v>0</v>
      </c>
      <c r="H100" s="387">
        <f t="shared" si="46"/>
        <v>0</v>
      </c>
      <c r="I100" s="387">
        <f t="shared" si="46"/>
        <v>0</v>
      </c>
      <c r="J100" s="387">
        <f t="shared" si="46"/>
        <v>0</v>
      </c>
      <c r="K100" s="653">
        <f t="shared" si="46"/>
        <v>0</v>
      </c>
      <c r="L100" s="1458">
        <f t="shared" si="46"/>
        <v>0</v>
      </c>
      <c r="M100" s="387">
        <f t="shared" si="46"/>
        <v>0</v>
      </c>
      <c r="N100" s="387">
        <f t="shared" si="46"/>
        <v>0</v>
      </c>
      <c r="O100" s="387">
        <f t="shared" si="46"/>
        <v>0</v>
      </c>
      <c r="P100" s="387">
        <f t="shared" si="46"/>
        <v>614800</v>
      </c>
      <c r="Q100" s="1458">
        <f t="shared" si="46"/>
        <v>1136105.4551250597</v>
      </c>
      <c r="R100" s="387">
        <f t="shared" si="46"/>
        <v>40492.275600000008</v>
      </c>
      <c r="S100" s="387">
        <f t="shared" si="46"/>
        <v>1637880.8068018754</v>
      </c>
      <c r="T100" s="387">
        <f t="shared" si="46"/>
        <v>40717.037999999993</v>
      </c>
      <c r="U100" s="653">
        <f t="shared" si="46"/>
        <v>1659902.6587428637</v>
      </c>
      <c r="V100" s="4449"/>
      <c r="W100" s="1266"/>
      <c r="X100" s="1266"/>
      <c r="Y100" s="1266"/>
      <c r="Z100" s="3285"/>
      <c r="AA100" s="3286"/>
      <c r="AB100" s="3286"/>
      <c r="AC100" s="3286"/>
      <c r="AD100" s="3286"/>
      <c r="AE100" s="3285"/>
      <c r="AF100" s="3286"/>
      <c r="AG100" s="3287"/>
    </row>
    <row r="101" spans="2:33" s="78" customFormat="1" ht="12.75" customHeight="1">
      <c r="D101" s="299"/>
      <c r="E101" s="4450" t="s">
        <v>1598</v>
      </c>
      <c r="F101" s="3288" t="s">
        <v>624</v>
      </c>
      <c r="G101" s="553"/>
      <c r="H101" s="554"/>
      <c r="I101" s="554"/>
      <c r="J101" s="554"/>
      <c r="K101" s="554"/>
      <c r="L101" s="564"/>
      <c r="M101" s="565"/>
      <c r="N101" s="565"/>
      <c r="O101" s="565"/>
      <c r="P101" s="565"/>
      <c r="Q101" s="553"/>
      <c r="R101" s="554"/>
      <c r="S101" s="554"/>
      <c r="T101" s="554"/>
      <c r="U101" s="554"/>
      <c r="V101" s="4447"/>
      <c r="W101"/>
      <c r="X101"/>
      <c r="Y101"/>
      <c r="Z101" s="553"/>
      <c r="AA101" s="554"/>
      <c r="AB101" s="554"/>
      <c r="AC101" s="554"/>
      <c r="AD101" s="554"/>
      <c r="AE101" s="564"/>
      <c r="AF101" s="565"/>
      <c r="AG101" s="566"/>
    </row>
    <row r="102" spans="2:33" s="501" customFormat="1" ht="12.75" customHeight="1">
      <c r="B102" s="78"/>
      <c r="C102" s="78"/>
      <c r="D102" s="299"/>
      <c r="E102" s="4451"/>
      <c r="F102" s="3289" t="s">
        <v>585</v>
      </c>
      <c r="G102" s="497"/>
      <c r="H102" s="495"/>
      <c r="I102" s="495"/>
      <c r="J102" s="495"/>
      <c r="K102" s="495"/>
      <c r="L102" s="486"/>
      <c r="M102" s="485"/>
      <c r="N102" s="485"/>
      <c r="O102" s="485"/>
      <c r="P102" s="485"/>
      <c r="Q102" s="497"/>
      <c r="R102" s="495"/>
      <c r="S102" s="495"/>
      <c r="T102" s="495"/>
      <c r="U102" s="495"/>
      <c r="V102" s="4448"/>
      <c r="W102"/>
      <c r="X102"/>
      <c r="Y102"/>
      <c r="Z102" s="497"/>
      <c r="AA102" s="495"/>
      <c r="AB102" s="495"/>
      <c r="AC102" s="495"/>
      <c r="AD102" s="495"/>
      <c r="AE102" s="489"/>
      <c r="AF102" s="490"/>
      <c r="AG102" s="491"/>
    </row>
    <row r="103" spans="2:33" s="501" customFormat="1" ht="12.75" customHeight="1">
      <c r="D103" s="299"/>
      <c r="E103" s="4451"/>
      <c r="F103" s="3289" t="s">
        <v>584</v>
      </c>
      <c r="G103" s="497"/>
      <c r="H103" s="495"/>
      <c r="I103" s="495"/>
      <c r="J103" s="495"/>
      <c r="K103" s="495"/>
      <c r="L103" s="3585">
        <v>2306027.3102140808</v>
      </c>
      <c r="M103" s="494">
        <v>5756887.3700000001</v>
      </c>
      <c r="N103" s="3119">
        <v>5588025.6600000001</v>
      </c>
      <c r="O103" s="485">
        <v>8060368.4300000025</v>
      </c>
      <c r="P103" s="485">
        <v>10600000</v>
      </c>
      <c r="Q103" s="497">
        <f>'[7]Regulatory Export'!F15*1000/1.06</f>
        <v>5935483.0582528813</v>
      </c>
      <c r="R103" s="495">
        <f>'[7]Regulatory Export'!G15*1000/1.06</f>
        <v>5931824.607034442</v>
      </c>
      <c r="S103" s="495">
        <f>'[7]Regulatory Export'!H15*1000/1.06</f>
        <v>5944629.1862989804</v>
      </c>
      <c r="T103" s="495">
        <f>'[7]Regulatory Export'!I15*1000/1.06</f>
        <v>5964750.6680004029</v>
      </c>
      <c r="U103" s="495">
        <f>'[7]Regulatory Export'!J15*1000/1.06</f>
        <v>5973896.7960465029</v>
      </c>
      <c r="V103" s="4448"/>
      <c r="W103"/>
      <c r="X103"/>
      <c r="Y103"/>
      <c r="Z103" s="497"/>
      <c r="AA103" s="495"/>
      <c r="AB103" s="495"/>
      <c r="AC103" s="495"/>
      <c r="AD103" s="495"/>
      <c r="AE103" s="489"/>
      <c r="AF103" s="490"/>
      <c r="AG103" s="491"/>
    </row>
    <row r="104" spans="2:33" s="501" customFormat="1" ht="12.75" customHeight="1">
      <c r="D104" s="299"/>
      <c r="E104" s="4451"/>
      <c r="F104" s="3289" t="s">
        <v>604</v>
      </c>
      <c r="G104" s="497"/>
      <c r="H104" s="495"/>
      <c r="I104" s="495"/>
      <c r="J104" s="495"/>
      <c r="K104" s="495"/>
      <c r="L104" s="486"/>
      <c r="M104" s="485"/>
      <c r="N104" s="3119">
        <f>452844-1365</f>
        <v>451479</v>
      </c>
      <c r="O104" s="485"/>
      <c r="P104" s="485"/>
      <c r="Q104" s="497"/>
      <c r="R104" s="495"/>
      <c r="S104" s="495"/>
      <c r="T104" s="495"/>
      <c r="U104" s="495"/>
      <c r="V104" s="4448"/>
      <c r="W104"/>
      <c r="X104"/>
      <c r="Y104"/>
      <c r="Z104" s="497"/>
      <c r="AA104" s="495"/>
      <c r="AB104" s="495"/>
      <c r="AC104" s="495"/>
      <c r="AD104" s="495"/>
      <c r="AE104" s="489"/>
      <c r="AF104" s="490"/>
      <c r="AG104" s="491"/>
    </row>
    <row r="105" spans="2:33" s="501" customFormat="1" ht="12.75" customHeight="1">
      <c r="D105" s="299"/>
      <c r="E105" s="4451"/>
      <c r="F105" s="3290" t="s">
        <v>592</v>
      </c>
      <c r="G105" s="486"/>
      <c r="H105" s="485"/>
      <c r="I105" s="485"/>
      <c r="J105" s="485"/>
      <c r="K105" s="650"/>
      <c r="L105" s="384">
        <f>SUM(L102:L104)</f>
        <v>2306027.3102140808</v>
      </c>
      <c r="M105" s="385">
        <f t="shared" ref="M105:P105" si="47">SUM(M102:M104)</f>
        <v>5756887.3700000001</v>
      </c>
      <c r="N105" s="385">
        <f t="shared" si="47"/>
        <v>6039504.6600000001</v>
      </c>
      <c r="O105" s="385">
        <f t="shared" si="47"/>
        <v>8060368.4300000025</v>
      </c>
      <c r="P105" s="385">
        <f t="shared" si="47"/>
        <v>10600000</v>
      </c>
      <c r="Q105" s="486">
        <f>SUM(Q103:Q104)</f>
        <v>5935483.0582528813</v>
      </c>
      <c r="R105" s="485">
        <f t="shared" ref="R105:U105" si="48">SUM(R103:R104)</f>
        <v>5931824.607034442</v>
      </c>
      <c r="S105" s="485">
        <f t="shared" si="48"/>
        <v>5944629.1862989804</v>
      </c>
      <c r="T105" s="485">
        <f t="shared" si="48"/>
        <v>5964750.6680004029</v>
      </c>
      <c r="U105" s="650">
        <f t="shared" si="48"/>
        <v>5973896.7960465029</v>
      </c>
      <c r="V105" s="4448"/>
      <c r="W105"/>
      <c r="X105"/>
      <c r="Y105"/>
      <c r="Z105" s="489"/>
      <c r="AA105" s="490"/>
      <c r="AB105" s="490"/>
      <c r="AC105" s="490"/>
      <c r="AD105" s="1292"/>
      <c r="AE105" s="384">
        <f t="shared" ref="AE105:AG105" si="49">SUM(AE102:AE104)</f>
        <v>0</v>
      </c>
      <c r="AF105" s="385">
        <f t="shared" si="49"/>
        <v>0</v>
      </c>
      <c r="AG105" s="477">
        <f t="shared" si="49"/>
        <v>0</v>
      </c>
    </row>
    <row r="106" spans="2:33" s="501" customFormat="1" ht="12.75" customHeight="1">
      <c r="D106" s="299"/>
      <c r="E106" s="4451"/>
      <c r="F106" s="3289" t="s">
        <v>609</v>
      </c>
      <c r="G106" s="486"/>
      <c r="H106" s="485"/>
      <c r="I106" s="485"/>
      <c r="J106" s="485"/>
      <c r="K106" s="650"/>
      <c r="L106" s="486">
        <v>95843.049785919517</v>
      </c>
      <c r="M106" s="3202">
        <v>281552.12</v>
      </c>
      <c r="N106" s="3119">
        <f>289655.34+30040-76</f>
        <v>319619.34000000003</v>
      </c>
      <c r="O106" s="485">
        <f>O105*0.05243291</f>
        <v>422628.57245703141</v>
      </c>
      <c r="P106" s="485">
        <f>P105*0.06</f>
        <v>636000</v>
      </c>
      <c r="Q106" s="486">
        <f>Q103*0.06</f>
        <v>356128.98349517287</v>
      </c>
      <c r="R106" s="485">
        <f t="shared" ref="R106:U106" si="50">R103*0.06</f>
        <v>355909.47642206651</v>
      </c>
      <c r="S106" s="485">
        <f t="shared" si="50"/>
        <v>356677.75117793883</v>
      </c>
      <c r="T106" s="485">
        <f t="shared" si="50"/>
        <v>357885.04008002416</v>
      </c>
      <c r="U106" s="650">
        <f t="shared" si="50"/>
        <v>358433.80776279018</v>
      </c>
      <c r="V106" s="4448"/>
      <c r="W106"/>
      <c r="X106"/>
      <c r="Y106"/>
      <c r="Z106" s="489"/>
      <c r="AA106" s="490"/>
      <c r="AB106" s="490"/>
      <c r="AC106" s="490"/>
      <c r="AD106" s="1292"/>
      <c r="AE106" s="536"/>
      <c r="AF106" s="537"/>
      <c r="AG106" s="573"/>
    </row>
    <row r="107" spans="2:33" s="501" customFormat="1" ht="12.75" customHeight="1">
      <c r="D107" s="299"/>
      <c r="E107" s="4451"/>
      <c r="F107" s="3289" t="s">
        <v>607</v>
      </c>
      <c r="G107" s="486"/>
      <c r="H107" s="485"/>
      <c r="I107" s="485"/>
      <c r="J107" s="485"/>
      <c r="K107" s="650"/>
      <c r="L107" s="499"/>
      <c r="M107" s="494"/>
      <c r="N107" s="494"/>
      <c r="O107" s="494"/>
      <c r="P107" s="3119"/>
      <c r="Q107" s="486"/>
      <c r="R107" s="485"/>
      <c r="S107" s="485"/>
      <c r="T107" s="485"/>
      <c r="U107" s="650"/>
      <c r="V107" s="4448"/>
      <c r="W107"/>
      <c r="X107"/>
      <c r="Y107"/>
      <c r="Z107" s="489"/>
      <c r="AA107" s="490"/>
      <c r="AB107" s="490"/>
      <c r="AC107" s="490"/>
      <c r="AD107" s="1292"/>
      <c r="AE107" s="489"/>
      <c r="AF107" s="490"/>
      <c r="AG107" s="491"/>
    </row>
    <row r="108" spans="2:33" s="501" customFormat="1" ht="12.75" customHeight="1">
      <c r="D108" s="299"/>
      <c r="E108" s="4451"/>
      <c r="F108" s="3290" t="s">
        <v>610</v>
      </c>
      <c r="G108" s="384">
        <f t="shared" ref="G108:U108" si="51">SUM(G105:G107)</f>
        <v>0</v>
      </c>
      <c r="H108" s="385">
        <f t="shared" si="51"/>
        <v>0</v>
      </c>
      <c r="I108" s="385">
        <f t="shared" si="51"/>
        <v>0</v>
      </c>
      <c r="J108" s="385">
        <f t="shared" si="51"/>
        <v>0</v>
      </c>
      <c r="K108" s="651">
        <f t="shared" si="51"/>
        <v>0</v>
      </c>
      <c r="L108" s="384">
        <f t="shared" si="51"/>
        <v>2401870.3600000003</v>
      </c>
      <c r="M108" s="385">
        <f t="shared" si="51"/>
        <v>6038439.4900000002</v>
      </c>
      <c r="N108" s="385">
        <f t="shared" si="51"/>
        <v>6359124</v>
      </c>
      <c r="O108" s="385">
        <f t="shared" si="51"/>
        <v>8482997.0024570338</v>
      </c>
      <c r="P108" s="385">
        <f t="shared" si="51"/>
        <v>11236000</v>
      </c>
      <c r="Q108" s="384">
        <f t="shared" si="51"/>
        <v>6291612.0417480543</v>
      </c>
      <c r="R108" s="385">
        <f t="shared" si="51"/>
        <v>6287734.0834565088</v>
      </c>
      <c r="S108" s="385">
        <f t="shared" si="51"/>
        <v>6301306.937476919</v>
      </c>
      <c r="T108" s="385">
        <f t="shared" si="51"/>
        <v>6322635.7080804268</v>
      </c>
      <c r="U108" s="651">
        <f t="shared" si="51"/>
        <v>6332330.6038092934</v>
      </c>
      <c r="V108" s="4448"/>
      <c r="W108"/>
      <c r="X108"/>
      <c r="Y108"/>
      <c r="Z108" s="384">
        <f t="shared" ref="Z108:AG108" si="52">SUM(Z106:Z107)</f>
        <v>0</v>
      </c>
      <c r="AA108" s="385">
        <f t="shared" si="52"/>
        <v>0</v>
      </c>
      <c r="AB108" s="385">
        <f t="shared" si="52"/>
        <v>0</v>
      </c>
      <c r="AC108" s="385">
        <f t="shared" si="52"/>
        <v>0</v>
      </c>
      <c r="AD108" s="651">
        <f t="shared" si="52"/>
        <v>0</v>
      </c>
      <c r="AE108" s="384">
        <f t="shared" si="52"/>
        <v>0</v>
      </c>
      <c r="AF108" s="385">
        <f t="shared" si="52"/>
        <v>0</v>
      </c>
      <c r="AG108" s="477">
        <f t="shared" si="52"/>
        <v>0</v>
      </c>
    </row>
    <row r="109" spans="2:33" s="501" customFormat="1" ht="12.75" customHeight="1">
      <c r="D109" s="299"/>
      <c r="E109" s="4451"/>
      <c r="F109" s="3289" t="s">
        <v>35</v>
      </c>
      <c r="G109" s="486"/>
      <c r="H109" s="485"/>
      <c r="I109" s="485"/>
      <c r="J109" s="485"/>
      <c r="K109" s="650"/>
      <c r="L109" s="486">
        <v>2392378.5</v>
      </c>
      <c r="M109" s="485">
        <v>3281172.2700000005</v>
      </c>
      <c r="N109" s="485">
        <v>2285727.4699999904</v>
      </c>
      <c r="O109" s="485">
        <v>14844972.189999999</v>
      </c>
      <c r="P109" s="485">
        <f>'[8]Chapter 6'!$F$14*1000000</f>
        <v>12770000</v>
      </c>
      <c r="Q109" s="486">
        <f>Q108</f>
        <v>6291612.0417480543</v>
      </c>
      <c r="R109" s="485">
        <f t="shared" ref="R109:U109" si="53">R108</f>
        <v>6287734.0834565088</v>
      </c>
      <c r="S109" s="485">
        <f t="shared" si="53"/>
        <v>6301306.937476919</v>
      </c>
      <c r="T109" s="485">
        <f t="shared" si="53"/>
        <v>6322635.7080804268</v>
      </c>
      <c r="U109" s="650">
        <f t="shared" si="53"/>
        <v>6332330.6038092934</v>
      </c>
      <c r="V109" s="4448"/>
      <c r="W109"/>
      <c r="X109"/>
      <c r="Y109"/>
      <c r="Z109" s="489"/>
      <c r="AA109" s="490"/>
      <c r="AB109" s="490"/>
      <c r="AC109" s="490"/>
      <c r="AD109" s="1292"/>
      <c r="AE109" s="489"/>
      <c r="AF109" s="490"/>
      <c r="AG109" s="491"/>
    </row>
    <row r="110" spans="2:33" s="501" customFormat="1" ht="13.5" customHeight="1" thickBot="1">
      <c r="D110" s="299"/>
      <c r="E110" s="4452"/>
      <c r="F110" s="3291" t="s">
        <v>611</v>
      </c>
      <c r="G110" s="1458">
        <f t="shared" ref="G110:U110" si="54">G108-G109</f>
        <v>0</v>
      </c>
      <c r="H110" s="387">
        <f t="shared" si="54"/>
        <v>0</v>
      </c>
      <c r="I110" s="387">
        <f t="shared" si="54"/>
        <v>0</v>
      </c>
      <c r="J110" s="387">
        <f t="shared" si="54"/>
        <v>0</v>
      </c>
      <c r="K110" s="653">
        <f t="shared" si="54"/>
        <v>0</v>
      </c>
      <c r="L110" s="1458">
        <f t="shared" si="54"/>
        <v>9491.8600000003353</v>
      </c>
      <c r="M110" s="387">
        <f t="shared" si="54"/>
        <v>2757267.2199999997</v>
      </c>
      <c r="N110" s="387">
        <f t="shared" si="54"/>
        <v>4073396.5300000096</v>
      </c>
      <c r="O110" s="387">
        <f t="shared" si="54"/>
        <v>-6361975.1875429656</v>
      </c>
      <c r="P110" s="387">
        <f t="shared" si="54"/>
        <v>-1534000</v>
      </c>
      <c r="Q110" s="1458">
        <f t="shared" si="54"/>
        <v>0</v>
      </c>
      <c r="R110" s="387">
        <f t="shared" si="54"/>
        <v>0</v>
      </c>
      <c r="S110" s="387">
        <f t="shared" si="54"/>
        <v>0</v>
      </c>
      <c r="T110" s="387">
        <f t="shared" si="54"/>
        <v>0</v>
      </c>
      <c r="U110" s="653">
        <f t="shared" si="54"/>
        <v>0</v>
      </c>
      <c r="V110" s="4449"/>
      <c r="W110"/>
      <c r="X110"/>
      <c r="Y110"/>
      <c r="Z110" s="1458">
        <f t="shared" ref="Z110:AD110" si="55">Z108-Z109</f>
        <v>0</v>
      </c>
      <c r="AA110" s="387">
        <f t="shared" si="55"/>
        <v>0</v>
      </c>
      <c r="AB110" s="387">
        <f t="shared" si="55"/>
        <v>0</v>
      </c>
      <c r="AC110" s="387">
        <f t="shared" si="55"/>
        <v>0</v>
      </c>
      <c r="AD110" s="653">
        <f t="shared" si="55"/>
        <v>0</v>
      </c>
      <c r="AE110" s="1458">
        <f>AE108-AE109</f>
        <v>0</v>
      </c>
      <c r="AF110" s="387">
        <f>AF108-AF109</f>
        <v>0</v>
      </c>
      <c r="AG110" s="528">
        <f t="shared" ref="AG110" si="56">AG108-AG109</f>
        <v>0</v>
      </c>
    </row>
    <row r="111" spans="2:33" s="78" customFormat="1" ht="12.75" customHeight="1">
      <c r="D111" s="299"/>
      <c r="E111" s="4450" t="s">
        <v>1599</v>
      </c>
      <c r="F111" s="3288" t="s">
        <v>624</v>
      </c>
      <c r="G111" s="497"/>
      <c r="H111" s="495"/>
      <c r="I111" s="495"/>
      <c r="J111" s="495"/>
      <c r="K111" s="556"/>
      <c r="L111" s="406"/>
      <c r="M111" s="407"/>
      <c r="N111" s="565"/>
      <c r="O111" s="565"/>
      <c r="P111" s="1112"/>
      <c r="Q111" s="497"/>
      <c r="R111" s="495"/>
      <c r="S111" s="495"/>
      <c r="T111" s="495"/>
      <c r="U111" s="556"/>
      <c r="V111" s="3292"/>
      <c r="W111"/>
      <c r="X111"/>
      <c r="Y111"/>
      <c r="Z111" s="553"/>
      <c r="AA111" s="554"/>
      <c r="AB111" s="554"/>
      <c r="AC111" s="554"/>
      <c r="AD111" s="554"/>
      <c r="AE111" s="564"/>
      <c r="AF111" s="565"/>
      <c r="AG111" s="566"/>
    </row>
    <row r="112" spans="2:33" s="501" customFormat="1" ht="12.75" customHeight="1">
      <c r="B112" s="78"/>
      <c r="C112" s="78"/>
      <c r="D112" s="299"/>
      <c r="E112" s="4451"/>
      <c r="F112" s="3289" t="s">
        <v>585</v>
      </c>
      <c r="G112" s="497"/>
      <c r="H112" s="495"/>
      <c r="I112" s="495"/>
      <c r="J112" s="495"/>
      <c r="K112" s="556"/>
      <c r="L112" s="486"/>
      <c r="M112" s="485"/>
      <c r="N112" s="485"/>
      <c r="O112" s="485"/>
      <c r="P112" s="487"/>
      <c r="Q112" s="497"/>
      <c r="R112" s="495"/>
      <c r="S112" s="495"/>
      <c r="T112" s="495"/>
      <c r="U112" s="556"/>
      <c r="V112" s="482"/>
      <c r="W112"/>
      <c r="X112"/>
      <c r="Y112"/>
      <c r="Z112" s="497"/>
      <c r="AA112" s="495"/>
      <c r="AB112" s="495"/>
      <c r="AC112" s="495"/>
      <c r="AD112" s="495"/>
      <c r="AE112" s="489"/>
      <c r="AF112" s="490"/>
      <c r="AG112" s="491"/>
    </row>
    <row r="113" spans="1:33" s="501" customFormat="1" ht="12.75" customHeight="1">
      <c r="D113" s="299"/>
      <c r="E113" s="4451"/>
      <c r="F113" s="3289" t="s">
        <v>584</v>
      </c>
      <c r="G113" s="497"/>
      <c r="H113" s="495"/>
      <c r="I113" s="495"/>
      <c r="J113" s="495"/>
      <c r="K113" s="556"/>
      <c r="L113" s="486"/>
      <c r="M113" s="485"/>
      <c r="N113" s="3119">
        <v>2746841.8</v>
      </c>
      <c r="O113" s="485">
        <v>4084676.63</v>
      </c>
      <c r="P113" s="487">
        <v>930000</v>
      </c>
      <c r="Q113" s="497">
        <v>0</v>
      </c>
      <c r="R113" s="495">
        <v>0</v>
      </c>
      <c r="S113" s="495">
        <v>0</v>
      </c>
      <c r="T113" s="495">
        <v>0</v>
      </c>
      <c r="U113" s="556">
        <v>0</v>
      </c>
      <c r="V113" s="482"/>
      <c r="W113"/>
      <c r="X113"/>
      <c r="Y113"/>
      <c r="Z113" s="497"/>
      <c r="AA113" s="495"/>
      <c r="AB113" s="495"/>
      <c r="AC113" s="495"/>
      <c r="AD113" s="495"/>
      <c r="AE113" s="489"/>
      <c r="AF113" s="490"/>
      <c r="AG113" s="491"/>
    </row>
    <row r="114" spans="1:33" s="501" customFormat="1" ht="12.75" customHeight="1">
      <c r="D114" s="299"/>
      <c r="E114" s="4451"/>
      <c r="F114" s="3289" t="s">
        <v>590</v>
      </c>
      <c r="G114" s="497"/>
      <c r="H114" s="495"/>
      <c r="I114" s="495"/>
      <c r="J114" s="495"/>
      <c r="K114" s="556"/>
      <c r="L114" s="486"/>
      <c r="M114" s="485"/>
      <c r="N114" s="485"/>
      <c r="O114" s="485"/>
      <c r="P114" s="487"/>
      <c r="Q114" s="497">
        <v>0</v>
      </c>
      <c r="R114" s="495">
        <v>0</v>
      </c>
      <c r="S114" s="495">
        <v>0</v>
      </c>
      <c r="T114" s="495">
        <v>0</v>
      </c>
      <c r="U114" s="556">
        <v>0</v>
      </c>
      <c r="V114" s="482"/>
      <c r="W114"/>
      <c r="X114"/>
      <c r="Y114"/>
      <c r="Z114" s="497"/>
      <c r="AA114" s="495"/>
      <c r="AB114" s="495"/>
      <c r="AC114" s="495"/>
      <c r="AD114" s="495"/>
      <c r="AE114" s="489"/>
      <c r="AF114" s="490"/>
      <c r="AG114" s="491"/>
    </row>
    <row r="115" spans="1:33" s="501" customFormat="1" ht="12.75" customHeight="1">
      <c r="D115" s="299"/>
      <c r="E115" s="4451"/>
      <c r="F115" s="3290" t="s">
        <v>592</v>
      </c>
      <c r="G115" s="486"/>
      <c r="H115" s="485"/>
      <c r="I115" s="485"/>
      <c r="J115" s="485"/>
      <c r="K115" s="487"/>
      <c r="L115" s="384">
        <f>SUM(L112:L114)</f>
        <v>0</v>
      </c>
      <c r="M115" s="385">
        <f>SUM(M112:M114)</f>
        <v>0</v>
      </c>
      <c r="N115" s="385">
        <f>SUM(N112:N114)</f>
        <v>2746841.8</v>
      </c>
      <c r="O115" s="385">
        <f>SUM(O112:O114)</f>
        <v>4084676.63</v>
      </c>
      <c r="P115" s="477">
        <f>SUM(P112:P114)</f>
        <v>930000</v>
      </c>
      <c r="Q115" s="486">
        <f>SUM(Q113:Q114)</f>
        <v>0</v>
      </c>
      <c r="R115" s="485">
        <f t="shared" ref="R115:U115" si="57">SUM(R113:R114)</f>
        <v>0</v>
      </c>
      <c r="S115" s="485">
        <f t="shared" si="57"/>
        <v>0</v>
      </c>
      <c r="T115" s="485">
        <f t="shared" si="57"/>
        <v>0</v>
      </c>
      <c r="U115" s="487">
        <f t="shared" si="57"/>
        <v>0</v>
      </c>
      <c r="V115" s="482"/>
      <c r="W115"/>
      <c r="X115"/>
      <c r="Y115"/>
      <c r="Z115" s="489"/>
      <c r="AA115" s="490"/>
      <c r="AB115" s="490"/>
      <c r="AC115" s="490"/>
      <c r="AD115" s="1292"/>
      <c r="AE115" s="384">
        <f t="shared" ref="AE115:AG115" si="58">SUM(AE112:AE114)</f>
        <v>0</v>
      </c>
      <c r="AF115" s="385">
        <f t="shared" si="58"/>
        <v>0</v>
      </c>
      <c r="AG115" s="477">
        <f t="shared" si="58"/>
        <v>0</v>
      </c>
    </row>
    <row r="116" spans="1:33" s="501" customFormat="1" ht="12.75" customHeight="1">
      <c r="D116" s="299"/>
      <c r="E116" s="4451"/>
      <c r="F116" s="3289" t="s">
        <v>609</v>
      </c>
      <c r="G116" s="486"/>
      <c r="H116" s="485"/>
      <c r="I116" s="485"/>
      <c r="J116" s="485"/>
      <c r="K116" s="487"/>
      <c r="L116" s="3293"/>
      <c r="M116" s="3294"/>
      <c r="N116" s="3119">
        <v>148963.20000000001</v>
      </c>
      <c r="O116" s="485">
        <f>244.31737*1000</f>
        <v>244317.37000000002</v>
      </c>
      <c r="P116" s="3295">
        <f>P115*0.06</f>
        <v>55800</v>
      </c>
      <c r="Q116" s="486">
        <v>0</v>
      </c>
      <c r="R116" s="485">
        <v>0</v>
      </c>
      <c r="S116" s="485">
        <v>0</v>
      </c>
      <c r="T116" s="485">
        <v>0</v>
      </c>
      <c r="U116" s="487">
        <v>0</v>
      </c>
      <c r="V116" s="482"/>
      <c r="W116"/>
      <c r="X116"/>
      <c r="Y116"/>
      <c r="Z116" s="489"/>
      <c r="AA116" s="490"/>
      <c r="AB116" s="490"/>
      <c r="AC116" s="490"/>
      <c r="AD116" s="1292"/>
      <c r="AE116" s="536"/>
      <c r="AF116" s="537"/>
      <c r="AG116" s="573"/>
    </row>
    <row r="117" spans="1:33" s="501" customFormat="1" ht="12.75" customHeight="1">
      <c r="D117" s="299"/>
      <c r="E117" s="4451"/>
      <c r="F117" s="3289" t="s">
        <v>607</v>
      </c>
      <c r="G117" s="486"/>
      <c r="H117" s="485"/>
      <c r="I117" s="485"/>
      <c r="J117" s="485"/>
      <c r="K117" s="487"/>
      <c r="L117" s="489"/>
      <c r="M117" s="490"/>
      <c r="N117" s="494"/>
      <c r="O117" s="494"/>
      <c r="P117" s="491"/>
      <c r="Q117" s="486">
        <v>0</v>
      </c>
      <c r="R117" s="485">
        <v>0</v>
      </c>
      <c r="S117" s="485">
        <v>0</v>
      </c>
      <c r="T117" s="485">
        <v>0</v>
      </c>
      <c r="U117" s="487">
        <v>0</v>
      </c>
      <c r="V117" s="482"/>
      <c r="W117"/>
      <c r="X117"/>
      <c r="Y117"/>
      <c r="Z117" s="489"/>
      <c r="AA117" s="490"/>
      <c r="AB117" s="490"/>
      <c r="AC117" s="490"/>
      <c r="AD117" s="1292"/>
      <c r="AE117" s="489"/>
      <c r="AF117" s="490"/>
      <c r="AG117" s="491"/>
    </row>
    <row r="118" spans="1:33" s="501" customFormat="1" ht="12.75" customHeight="1">
      <c r="D118" s="299"/>
      <c r="E118" s="4451"/>
      <c r="F118" s="3290" t="s">
        <v>610</v>
      </c>
      <c r="G118" s="384">
        <f t="shared" ref="G118:M118" si="59">SUM(G116:G117)</f>
        <v>0</v>
      </c>
      <c r="H118" s="385">
        <f t="shared" si="59"/>
        <v>0</v>
      </c>
      <c r="I118" s="385">
        <f t="shared" si="59"/>
        <v>0</v>
      </c>
      <c r="J118" s="385">
        <f t="shared" si="59"/>
        <v>0</v>
      </c>
      <c r="K118" s="477">
        <f t="shared" si="59"/>
        <v>0</v>
      </c>
      <c r="L118" s="384">
        <f t="shared" si="59"/>
        <v>0</v>
      </c>
      <c r="M118" s="385">
        <f t="shared" si="59"/>
        <v>0</v>
      </c>
      <c r="N118" s="385">
        <f>SUM(N115:N117)</f>
        <v>2895805</v>
      </c>
      <c r="O118" s="385">
        <f>SUM(O115:O117)</f>
        <v>4328994</v>
      </c>
      <c r="P118" s="477">
        <f>SUM(P116:P117)</f>
        <v>55800</v>
      </c>
      <c r="Q118" s="384">
        <f t="shared" ref="Q118:U118" si="60">SUM(Q116:Q117)</f>
        <v>0</v>
      </c>
      <c r="R118" s="385">
        <f t="shared" si="60"/>
        <v>0</v>
      </c>
      <c r="S118" s="385">
        <f t="shared" si="60"/>
        <v>0</v>
      </c>
      <c r="T118" s="385">
        <f t="shared" si="60"/>
        <v>0</v>
      </c>
      <c r="U118" s="477">
        <f t="shared" si="60"/>
        <v>0</v>
      </c>
      <c r="V118" s="482"/>
      <c r="W118"/>
      <c r="X118"/>
      <c r="Y118"/>
      <c r="Z118" s="384">
        <f>SUM(Z115:Z117)</f>
        <v>0</v>
      </c>
      <c r="AA118" s="385">
        <f t="shared" ref="AA118:AG118" si="61">SUM(AA115:AA117)</f>
        <v>0</v>
      </c>
      <c r="AB118" s="385">
        <f t="shared" si="61"/>
        <v>0</v>
      </c>
      <c r="AC118" s="385">
        <f t="shared" si="61"/>
        <v>0</v>
      </c>
      <c r="AD118" s="651">
        <f t="shared" si="61"/>
        <v>0</v>
      </c>
      <c r="AE118" s="384">
        <f t="shared" si="61"/>
        <v>0</v>
      </c>
      <c r="AF118" s="385">
        <f t="shared" si="61"/>
        <v>0</v>
      </c>
      <c r="AG118" s="477">
        <f t="shared" si="61"/>
        <v>0</v>
      </c>
    </row>
    <row r="119" spans="1:33" s="501" customFormat="1" ht="12.75" customHeight="1">
      <c r="D119" s="299"/>
      <c r="E119" s="4451"/>
      <c r="F119" s="3289" t="s">
        <v>35</v>
      </c>
      <c r="G119" s="486"/>
      <c r="H119" s="485"/>
      <c r="I119" s="485"/>
      <c r="J119" s="485"/>
      <c r="K119" s="487"/>
      <c r="L119" s="486"/>
      <c r="M119" s="485"/>
      <c r="N119" s="485">
        <v>1405903.0368240001</v>
      </c>
      <c r="O119" s="485"/>
      <c r="P119" s="487"/>
      <c r="Q119" s="486"/>
      <c r="R119" s="485"/>
      <c r="S119" s="485"/>
      <c r="T119" s="485"/>
      <c r="U119" s="487"/>
      <c r="V119" s="482"/>
      <c r="W119"/>
      <c r="X119"/>
      <c r="Y119"/>
      <c r="Z119" s="489"/>
      <c r="AA119" s="490"/>
      <c r="AB119" s="490"/>
      <c r="AC119" s="490"/>
      <c r="AD119" s="1292"/>
      <c r="AE119" s="489"/>
      <c r="AF119" s="490"/>
      <c r="AG119" s="491"/>
    </row>
    <row r="120" spans="1:33" s="501" customFormat="1" ht="13.5" customHeight="1" thickBot="1">
      <c r="D120" s="299"/>
      <c r="E120" s="4452"/>
      <c r="F120" s="3291" t="s">
        <v>611</v>
      </c>
      <c r="G120" s="1458">
        <f t="shared" ref="G120:U120" si="62">G118-G119</f>
        <v>0</v>
      </c>
      <c r="H120" s="387">
        <f t="shared" si="62"/>
        <v>0</v>
      </c>
      <c r="I120" s="387">
        <f t="shared" si="62"/>
        <v>0</v>
      </c>
      <c r="J120" s="387">
        <f t="shared" si="62"/>
        <v>0</v>
      </c>
      <c r="K120" s="528">
        <f t="shared" si="62"/>
        <v>0</v>
      </c>
      <c r="L120" s="1458">
        <f t="shared" si="62"/>
        <v>0</v>
      </c>
      <c r="M120" s="387">
        <f t="shared" si="62"/>
        <v>0</v>
      </c>
      <c r="N120" s="387">
        <f t="shared" si="62"/>
        <v>1489901.9631759999</v>
      </c>
      <c r="O120" s="387">
        <f t="shared" si="62"/>
        <v>4328994</v>
      </c>
      <c r="P120" s="528">
        <f t="shared" si="62"/>
        <v>55800</v>
      </c>
      <c r="Q120" s="1458">
        <f t="shared" si="62"/>
        <v>0</v>
      </c>
      <c r="R120" s="387">
        <f t="shared" si="62"/>
        <v>0</v>
      </c>
      <c r="S120" s="387">
        <f t="shared" si="62"/>
        <v>0</v>
      </c>
      <c r="T120" s="387">
        <f t="shared" si="62"/>
        <v>0</v>
      </c>
      <c r="U120" s="528">
        <f t="shared" si="62"/>
        <v>0</v>
      </c>
      <c r="V120" s="482"/>
      <c r="W120"/>
      <c r="X120"/>
      <c r="Y120"/>
      <c r="Z120" s="1458">
        <f>Z118-Z119</f>
        <v>0</v>
      </c>
      <c r="AA120" s="387">
        <f t="shared" ref="AA120:AD120" si="63">AA118-AA119</f>
        <v>0</v>
      </c>
      <c r="AB120" s="387">
        <f t="shared" si="63"/>
        <v>0</v>
      </c>
      <c r="AC120" s="387">
        <f t="shared" si="63"/>
        <v>0</v>
      </c>
      <c r="AD120" s="653">
        <f t="shared" si="63"/>
        <v>0</v>
      </c>
      <c r="AE120" s="1458">
        <f>AE118-AE119</f>
        <v>0</v>
      </c>
      <c r="AF120" s="387">
        <f>AF118-AF119</f>
        <v>0</v>
      </c>
      <c r="AG120" s="528">
        <f t="shared" ref="AG120" si="64">AG118-AG119</f>
        <v>0</v>
      </c>
    </row>
    <row r="121" spans="1:33" ht="12.75" customHeight="1">
      <c r="D121" s="299"/>
      <c r="E121" s="4453" t="s">
        <v>360</v>
      </c>
      <c r="F121" s="3296" t="s">
        <v>605</v>
      </c>
      <c r="G121" s="3297">
        <f>SUMIF($F$21:$F$120,"Total direct expenditure ",G$21:G$120)</f>
        <v>1060869.5652173914</v>
      </c>
      <c r="H121" s="3298">
        <f t="shared" ref="H121:P121" si="65">SUMIF($F$21:$F$120,"Total direct expenditure ",H$21:H$120)</f>
        <v>1206521.739130435</v>
      </c>
      <c r="I121" s="3298">
        <f t="shared" si="65"/>
        <v>1315719.0635451502</v>
      </c>
      <c r="J121" s="3298">
        <f t="shared" si="65"/>
        <v>1545596.4325529544</v>
      </c>
      <c r="K121" s="3299">
        <f t="shared" si="65"/>
        <v>1050894.8459999999</v>
      </c>
      <c r="L121" s="3300">
        <f t="shared" si="65"/>
        <v>5204540.25</v>
      </c>
      <c r="M121" s="3298">
        <f t="shared" si="65"/>
        <v>6952649.9199999999</v>
      </c>
      <c r="N121" s="3298">
        <f t="shared" si="65"/>
        <v>10971627.719999999</v>
      </c>
      <c r="O121" s="3298">
        <f t="shared" si="65"/>
        <v>15295365.950000003</v>
      </c>
      <c r="P121" s="3298">
        <f t="shared" si="65"/>
        <v>13619711</v>
      </c>
      <c r="Q121" s="3297">
        <f>SUMIF($F$21:$F$120,"Total direct expenditure ",Q$21:Q$120)</f>
        <v>10217826.220459685</v>
      </c>
      <c r="R121" s="3298">
        <f t="shared" ref="R121:U121" si="66">SUMIF($F$21:$F$120,"Total direct expenditure ",R$21:R$120)</f>
        <v>8686478.012158921</v>
      </c>
      <c r="S121" s="3298">
        <f t="shared" si="66"/>
        <v>9450188.3963237591</v>
      </c>
      <c r="T121" s="3298">
        <f t="shared" si="66"/>
        <v>8059941.941215083</v>
      </c>
      <c r="U121" s="3299">
        <f t="shared" si="66"/>
        <v>9470013.084431082</v>
      </c>
      <c r="V121" s="3301"/>
      <c r="Z121" s="1258">
        <f>SUMIF($F$21:$F$120,"Total direct expenditure ",Z$21:Z$120)</f>
        <v>0</v>
      </c>
      <c r="AA121" s="654">
        <f t="shared" ref="AA121:AG121" si="67">SUMIF($F$21:$F$120,"Total direct expenditure ",AA$21:AA$120)</f>
        <v>0</v>
      </c>
      <c r="AB121" s="654">
        <f t="shared" si="67"/>
        <v>0</v>
      </c>
      <c r="AC121" s="654">
        <f t="shared" si="67"/>
        <v>0</v>
      </c>
      <c r="AD121" s="655">
        <f t="shared" si="67"/>
        <v>0</v>
      </c>
      <c r="AE121" s="1258">
        <f t="shared" si="67"/>
        <v>0</v>
      </c>
      <c r="AF121" s="654">
        <f t="shared" si="67"/>
        <v>0</v>
      </c>
      <c r="AG121" s="1829">
        <f t="shared" si="67"/>
        <v>0</v>
      </c>
    </row>
    <row r="122" spans="1:33" ht="12.75" customHeight="1">
      <c r="D122" s="299"/>
      <c r="E122" s="4454"/>
      <c r="F122" s="3302" t="s">
        <v>644</v>
      </c>
      <c r="G122" s="3297">
        <f>SUMIF($F$21:$F$120,"Total overhead expenditure",G$21:G$120)</f>
        <v>117238.95464666588</v>
      </c>
      <c r="H122" s="3298">
        <f t="shared" ref="H122:P122" si="68">SUMIF($F$21:$F$120,"Total overhead expenditure",H$21:H$120)</f>
        <v>51478.260869565231</v>
      </c>
      <c r="I122" s="3298">
        <f t="shared" si="68"/>
        <v>146588.26523193251</v>
      </c>
      <c r="J122" s="3298">
        <f t="shared" si="68"/>
        <v>170255.02871495538</v>
      </c>
      <c r="K122" s="3299">
        <f t="shared" si="68"/>
        <v>113110.83145736356</v>
      </c>
      <c r="L122" s="3300">
        <f t="shared" si="68"/>
        <v>207025.65000000002</v>
      </c>
      <c r="M122" s="3298">
        <f t="shared" si="68"/>
        <v>315470.83999999997</v>
      </c>
      <c r="N122" s="3298">
        <f t="shared" si="68"/>
        <v>562818.28</v>
      </c>
      <c r="O122" s="3298">
        <f t="shared" si="68"/>
        <v>832126.43415352132</v>
      </c>
      <c r="P122" s="3298">
        <f t="shared" si="68"/>
        <v>817182.66</v>
      </c>
      <c r="Q122" s="3297">
        <f>SUMIF($F$21:$F$120,"Total overhead expenditure",Q$21:Q$120)</f>
        <v>591462.52322513796</v>
      </c>
      <c r="R122" s="3298">
        <f t="shared" ref="R122:U122" si="69">SUMIF($F$21:$F$120,"Total overhead expenditure",R$21:R$120)</f>
        <v>513324.63072892453</v>
      </c>
      <c r="S122" s="3298">
        <f t="shared" si="69"/>
        <v>559147.2537788148</v>
      </c>
      <c r="T122" s="3298">
        <f t="shared" si="69"/>
        <v>475732.46647229418</v>
      </c>
      <c r="U122" s="3299">
        <f t="shared" si="69"/>
        <v>560336.73506525415</v>
      </c>
      <c r="V122" s="3301"/>
      <c r="Z122" s="1258">
        <f>SUMIF($F$21:$F$120,"Total overhead expenditure",Z$21:Z$120)</f>
        <v>0</v>
      </c>
      <c r="AA122" s="654">
        <f t="shared" ref="AA122:AG122" si="70">SUMIF($F$21:$F$120,"Total overhead expenditure",AA$21:AA$120)</f>
        <v>0</v>
      </c>
      <c r="AB122" s="654">
        <f t="shared" si="70"/>
        <v>0</v>
      </c>
      <c r="AC122" s="654">
        <f t="shared" si="70"/>
        <v>0</v>
      </c>
      <c r="AD122" s="655">
        <f t="shared" si="70"/>
        <v>0</v>
      </c>
      <c r="AE122" s="1258">
        <f t="shared" si="70"/>
        <v>0</v>
      </c>
      <c r="AF122" s="654">
        <f t="shared" si="70"/>
        <v>0</v>
      </c>
      <c r="AG122" s="1829">
        <f t="shared" si="70"/>
        <v>0</v>
      </c>
    </row>
    <row r="123" spans="1:33" ht="12.75" customHeight="1">
      <c r="D123" s="299"/>
      <c r="E123" s="4454"/>
      <c r="F123" s="3302" t="s">
        <v>607</v>
      </c>
      <c r="G123" s="3297">
        <f>SUMIF($F$21:$F$120,"Related party margin expenditure",G$21:G$120)</f>
        <v>0</v>
      </c>
      <c r="H123" s="3298">
        <f t="shared" ref="H123:P123" si="71">SUMIF($F$21:$F$120,"Related party margin expenditure",H$21:H$120)</f>
        <v>0</v>
      </c>
      <c r="I123" s="3298">
        <f t="shared" si="71"/>
        <v>0</v>
      </c>
      <c r="J123" s="3298">
        <f t="shared" si="71"/>
        <v>0</v>
      </c>
      <c r="K123" s="3299">
        <f t="shared" si="71"/>
        <v>0</v>
      </c>
      <c r="L123" s="3300">
        <f t="shared" si="71"/>
        <v>0</v>
      </c>
      <c r="M123" s="3298">
        <f t="shared" si="71"/>
        <v>0</v>
      </c>
      <c r="N123" s="3298">
        <f t="shared" si="71"/>
        <v>0</v>
      </c>
      <c r="O123" s="3298">
        <f t="shared" si="71"/>
        <v>0</v>
      </c>
      <c r="P123" s="3587">
        <f t="shared" si="71"/>
        <v>0</v>
      </c>
      <c r="Q123" s="3297">
        <f>SUMIF($F$21:$F$120,"Related party margin expenditure",Q$21:Q$120)</f>
        <v>0</v>
      </c>
      <c r="R123" s="3298">
        <f t="shared" ref="R123:U123" si="72">SUMIF($F$21:$F$120,"Related party margin expenditure",R$21:R$120)</f>
        <v>0</v>
      </c>
      <c r="S123" s="3298">
        <f t="shared" si="72"/>
        <v>0</v>
      </c>
      <c r="T123" s="3298">
        <f t="shared" si="72"/>
        <v>0</v>
      </c>
      <c r="U123" s="3299">
        <f t="shared" si="72"/>
        <v>0</v>
      </c>
      <c r="V123" s="3301"/>
      <c r="Z123" s="1258">
        <f>SUMIF($F$21:$F$120,"Related party margin expenditure",Z$21:Z$120)</f>
        <v>0</v>
      </c>
      <c r="AA123" s="654">
        <f t="shared" ref="AA123:AG123" si="73">SUMIF($F$21:$F$120,"Related party margin expenditure",AA$21:AA$120)</f>
        <v>0</v>
      </c>
      <c r="AB123" s="654">
        <f t="shared" si="73"/>
        <v>0</v>
      </c>
      <c r="AC123" s="654">
        <f t="shared" si="73"/>
        <v>0</v>
      </c>
      <c r="AD123" s="655">
        <f t="shared" si="73"/>
        <v>0</v>
      </c>
      <c r="AE123" s="1258">
        <f t="shared" si="73"/>
        <v>0</v>
      </c>
      <c r="AF123" s="654">
        <f t="shared" si="73"/>
        <v>0</v>
      </c>
      <c r="AG123" s="1829">
        <f t="shared" si="73"/>
        <v>0</v>
      </c>
    </row>
    <row r="124" spans="1:33" ht="12.75" customHeight="1">
      <c r="D124" s="299"/>
      <c r="E124" s="4454"/>
      <c r="F124" s="3241" t="s">
        <v>610</v>
      </c>
      <c r="G124" s="660">
        <f>SUMIF($F$21:$F$120,"Total gross expenditure",G$21:G$120)</f>
        <v>1178108.5198640572</v>
      </c>
      <c r="H124" s="656">
        <f t="shared" ref="H124:P124" si="74">SUMIF($F$21:$F$120,"Total gross expenditure",H$21:H$120)</f>
        <v>1258000</v>
      </c>
      <c r="I124" s="656">
        <f t="shared" si="74"/>
        <v>1462307.3287770827</v>
      </c>
      <c r="J124" s="656">
        <f t="shared" si="74"/>
        <v>1715851.4612679097</v>
      </c>
      <c r="K124" s="657">
        <f t="shared" si="74"/>
        <v>1164005.6774573633</v>
      </c>
      <c r="L124" s="673">
        <f t="shared" si="74"/>
        <v>5411565.9000000004</v>
      </c>
      <c r="M124" s="656">
        <f t="shared" si="74"/>
        <v>7268120.7599999998</v>
      </c>
      <c r="N124" s="656">
        <f t="shared" si="74"/>
        <v>11534446</v>
      </c>
      <c r="O124" s="656">
        <f t="shared" si="74"/>
        <v>16127492.384153523</v>
      </c>
      <c r="P124" s="656">
        <f t="shared" si="74"/>
        <v>13506893.66</v>
      </c>
      <c r="Q124" s="660">
        <f>SUMIF($F$21:$F$120,"Total gross expenditure",Q$21:Q$120)</f>
        <v>10809288.743684825</v>
      </c>
      <c r="R124" s="656">
        <f t="shared" ref="R124:U124" si="75">SUMIF($F$21:$F$120,"Total gross expenditure",R$21:R$120)</f>
        <v>9199802.6428878456</v>
      </c>
      <c r="S124" s="656">
        <f t="shared" si="75"/>
        <v>10009335.650102574</v>
      </c>
      <c r="T124" s="656">
        <f t="shared" si="75"/>
        <v>8535674.4076873772</v>
      </c>
      <c r="U124" s="657">
        <f t="shared" si="75"/>
        <v>10030349.819496337</v>
      </c>
      <c r="V124" s="3301"/>
      <c r="Z124" s="673">
        <f>SUMIF($F$21:$F$120,"Total gross expenditure",Z$21:Z$120)</f>
        <v>0</v>
      </c>
      <c r="AA124" s="656">
        <f t="shared" ref="AA124:AG124" si="76">SUMIF($F$21:$F$120,"Total gross expenditure",AA$21:AA$120)</f>
        <v>0</v>
      </c>
      <c r="AB124" s="656">
        <f t="shared" si="76"/>
        <v>0</v>
      </c>
      <c r="AC124" s="656">
        <f t="shared" si="76"/>
        <v>0</v>
      </c>
      <c r="AD124" s="657">
        <f t="shared" si="76"/>
        <v>0</v>
      </c>
      <c r="AE124" s="673">
        <f t="shared" si="76"/>
        <v>0</v>
      </c>
      <c r="AF124" s="656">
        <f t="shared" si="76"/>
        <v>0</v>
      </c>
      <c r="AG124" s="674">
        <f t="shared" si="76"/>
        <v>0</v>
      </c>
    </row>
    <row r="125" spans="1:33" ht="12.75" customHeight="1">
      <c r="D125" s="299"/>
      <c r="E125" s="4454"/>
      <c r="F125" s="3302" t="s">
        <v>35</v>
      </c>
      <c r="G125" s="3297">
        <f>SUMIF($F$21:$F$120,"Less customer contributions",G$21:G$120)</f>
        <v>0</v>
      </c>
      <c r="H125" s="3298">
        <f t="shared" ref="H125:P125" si="77">SUMIF($F$21:$F$120,"Less customer contributions",H$21:H$120)</f>
        <v>0</v>
      </c>
      <c r="I125" s="3298">
        <f t="shared" si="77"/>
        <v>0</v>
      </c>
      <c r="J125" s="3298">
        <f t="shared" si="77"/>
        <v>0</v>
      </c>
      <c r="K125" s="3299">
        <f t="shared" si="77"/>
        <v>0</v>
      </c>
      <c r="L125" s="3300">
        <f t="shared" si="77"/>
        <v>2392378.5</v>
      </c>
      <c r="M125" s="3298">
        <f t="shared" si="77"/>
        <v>3281172.2700000005</v>
      </c>
      <c r="N125" s="3298">
        <f t="shared" si="77"/>
        <v>3691630.5068239905</v>
      </c>
      <c r="O125" s="3298">
        <f>SUMIF($F$21:$F$120,"Less customer contributions",O$21:O$120)</f>
        <v>14844972.189999999</v>
      </c>
      <c r="P125" s="3298">
        <f t="shared" si="77"/>
        <v>12770000</v>
      </c>
      <c r="Q125" s="3297">
        <f>SUMIF($F$21:$F$120,"Less customer contributions",Q$21:Q$120)</f>
        <v>6291612.0417480543</v>
      </c>
      <c r="R125" s="3298">
        <f t="shared" ref="R125:U125" si="78">SUMIF($F$21:$F$120,"Less customer contributions",R$21:R$120)</f>
        <v>6287734.0834565088</v>
      </c>
      <c r="S125" s="3298">
        <f t="shared" si="78"/>
        <v>6301306.937476919</v>
      </c>
      <c r="T125" s="3298">
        <f t="shared" si="78"/>
        <v>6322635.7080804268</v>
      </c>
      <c r="U125" s="3299">
        <f t="shared" si="78"/>
        <v>6332330.6038092934</v>
      </c>
      <c r="V125" s="3301"/>
      <c r="Z125" s="1258">
        <f>SUMIF($F$21:$F$120,"Less customer contributions",Z$21:Z$120)</f>
        <v>0</v>
      </c>
      <c r="AA125" s="654">
        <f t="shared" ref="AA125:AG125" si="79">SUMIF($F$21:$F$120,"Less customer contributions",AA$21:AA$120)</f>
        <v>0</v>
      </c>
      <c r="AB125" s="654">
        <f t="shared" si="79"/>
        <v>0</v>
      </c>
      <c r="AC125" s="654">
        <f t="shared" si="79"/>
        <v>0</v>
      </c>
      <c r="AD125" s="655">
        <f t="shared" si="79"/>
        <v>0</v>
      </c>
      <c r="AE125" s="1258">
        <f t="shared" si="79"/>
        <v>0</v>
      </c>
      <c r="AF125" s="654">
        <f t="shared" si="79"/>
        <v>0</v>
      </c>
      <c r="AG125" s="1829">
        <f t="shared" si="79"/>
        <v>0</v>
      </c>
    </row>
    <row r="126" spans="1:33" ht="13.5" customHeight="1" thickBot="1">
      <c r="D126" s="299"/>
      <c r="E126" s="4455"/>
      <c r="F126" s="3243" t="s">
        <v>646</v>
      </c>
      <c r="G126" s="661">
        <f>SUMIF($F$21:$F$120,"Total net expenditure",G$21:G$120)</f>
        <v>1178108.5198640572</v>
      </c>
      <c r="H126" s="658">
        <f t="shared" ref="H126:P126" si="80">SUMIF($F$21:$F$120,"Total net expenditure",H$21:H$120)</f>
        <v>1258000</v>
      </c>
      <c r="I126" s="658">
        <f t="shared" si="80"/>
        <v>1462307.3287770827</v>
      </c>
      <c r="J126" s="658">
        <f t="shared" si="80"/>
        <v>1715851.4612679097</v>
      </c>
      <c r="K126" s="659">
        <f t="shared" si="80"/>
        <v>1164005.6774573633</v>
      </c>
      <c r="L126" s="1831">
        <f t="shared" si="80"/>
        <v>3019187.4000000004</v>
      </c>
      <c r="M126" s="675">
        <f t="shared" si="80"/>
        <v>3986948.4899999998</v>
      </c>
      <c r="N126" s="675">
        <f>SUMIF($F$21:$F$120,"Total net expenditure",N$21:N$120)</f>
        <v>7842815.4931760095</v>
      </c>
      <c r="O126" s="675">
        <f t="shared" si="80"/>
        <v>1282520.194153524</v>
      </c>
      <c r="P126" s="675">
        <f t="shared" si="80"/>
        <v>736893.66000000015</v>
      </c>
      <c r="Q126" s="661">
        <f>SUMIF($F$21:$F$120,"Total net expenditure",Q$21:Q$120)</f>
        <v>4517676.7019367693</v>
      </c>
      <c r="R126" s="658">
        <f t="shared" ref="R126:U126" si="81">SUMIF($F$21:$F$120,"Total net expenditure",R$21:R$120)</f>
        <v>2912068.5594313373</v>
      </c>
      <c r="S126" s="658">
        <f t="shared" si="81"/>
        <v>3708028.7126256549</v>
      </c>
      <c r="T126" s="658">
        <f t="shared" si="81"/>
        <v>2213038.6996069504</v>
      </c>
      <c r="U126" s="659">
        <f t="shared" si="81"/>
        <v>3698019.215687044</v>
      </c>
      <c r="V126" s="3301"/>
      <c r="Z126" s="1830">
        <f>SUMIF($F$21:$F$120,"Total net expenditure",Z$21:Z$120)</f>
        <v>0</v>
      </c>
      <c r="AA126" s="658">
        <f t="shared" ref="AA126:AG126" si="82">SUMIF($F$21:$F$120,"Total net expenditure",AA$21:AA$120)</f>
        <v>0</v>
      </c>
      <c r="AB126" s="658">
        <f t="shared" si="82"/>
        <v>0</v>
      </c>
      <c r="AC126" s="658">
        <f t="shared" si="82"/>
        <v>0</v>
      </c>
      <c r="AD126" s="659">
        <f t="shared" si="82"/>
        <v>0</v>
      </c>
      <c r="AE126" s="1831">
        <f t="shared" si="82"/>
        <v>0</v>
      </c>
      <c r="AF126" s="675">
        <f t="shared" si="82"/>
        <v>0</v>
      </c>
      <c r="AG126" s="677">
        <f t="shared" si="82"/>
        <v>0</v>
      </c>
    </row>
    <row r="127" spans="1:33" s="69" customFormat="1" ht="32.25" customHeight="1" thickBot="1">
      <c r="A127" s="75"/>
      <c r="B127" s="75"/>
      <c r="C127" s="75"/>
      <c r="D127" s="348"/>
      <c r="E127" s="4341" t="s">
        <v>127</v>
      </c>
      <c r="F127" s="4342"/>
      <c r="G127" s="3303"/>
      <c r="H127" s="3304"/>
      <c r="I127" s="3304"/>
      <c r="J127" s="3304"/>
      <c r="K127" s="3304"/>
      <c r="L127" s="3304"/>
      <c r="M127" s="3304"/>
      <c r="N127" s="3304"/>
      <c r="O127" s="3304"/>
      <c r="P127" s="3304"/>
      <c r="Q127" s="3304"/>
      <c r="R127" s="3304"/>
      <c r="S127" s="3304"/>
      <c r="T127" s="3304"/>
      <c r="U127" s="3304"/>
      <c r="V127" s="3305"/>
      <c r="W127"/>
      <c r="X127"/>
      <c r="Y127"/>
      <c r="Z127" s="1832"/>
      <c r="AA127" s="1833"/>
      <c r="AB127" s="1833"/>
      <c r="AC127" s="1833"/>
      <c r="AD127" s="1833"/>
      <c r="AE127" s="1833"/>
      <c r="AF127" s="1833"/>
      <c r="AG127" s="1834"/>
    </row>
    <row r="128" spans="1:33" s="78" customFormat="1" ht="56.25" customHeight="1" thickBot="1">
      <c r="D128" s="299"/>
      <c r="E128" s="3588"/>
      <c r="F128" s="3588"/>
      <c r="G128" s="3589"/>
      <c r="H128" s="3589"/>
      <c r="I128" s="3589"/>
      <c r="J128" s="3589"/>
      <c r="K128" s="3589"/>
      <c r="L128" s="3590"/>
      <c r="M128" s="3590"/>
      <c r="N128" s="3590"/>
      <c r="O128" s="3590"/>
      <c r="P128" s="3590"/>
      <c r="Q128" s="3590"/>
      <c r="R128" s="3590"/>
      <c r="S128" s="3590"/>
      <c r="T128" s="3590"/>
      <c r="U128" s="3590"/>
      <c r="V128" s="3588"/>
      <c r="W128"/>
      <c r="X128"/>
      <c r="Y128"/>
      <c r="Z128" s="82"/>
      <c r="AA128" s="82"/>
      <c r="AB128" s="82"/>
      <c r="AC128" s="82"/>
      <c r="AD128" s="82"/>
      <c r="AE128" s="82"/>
      <c r="AF128" s="82"/>
      <c r="AG128" s="82"/>
    </row>
    <row r="129" spans="1:34" s="223" customFormat="1" ht="24.75" customHeight="1" thickBot="1">
      <c r="A129" s="299"/>
      <c r="B129" s="1372"/>
      <c r="C129" s="1373"/>
      <c r="D129" s="1266"/>
      <c r="E129" s="3546" t="s">
        <v>756</v>
      </c>
      <c r="F129" s="3547"/>
      <c r="G129" s="3547"/>
      <c r="H129" s="3547"/>
      <c r="I129" s="3547"/>
      <c r="J129" s="3547"/>
      <c r="K129" s="3547"/>
      <c r="L129" s="3547"/>
      <c r="M129" s="3547"/>
      <c r="N129" s="3547"/>
      <c r="O129" s="3547"/>
      <c r="P129" s="3548"/>
      <c r="Q129" s="2274"/>
      <c r="R129" s="2274"/>
      <c r="S129" s="2274"/>
      <c r="T129" s="2274"/>
      <c r="U129" s="2274"/>
      <c r="V129" s="2274"/>
      <c r="W129" s="1266"/>
      <c r="X129" s="1266"/>
      <c r="Y129"/>
      <c r="Z129"/>
      <c r="AA129"/>
      <c r="AB129"/>
      <c r="AC129"/>
      <c r="AD129"/>
      <c r="AE129"/>
      <c r="AF129"/>
      <c r="AG129"/>
      <c r="AH129"/>
    </row>
    <row r="130" spans="1:34" ht="15.75" customHeight="1">
      <c r="B130" s="78"/>
      <c r="C130" s="78"/>
      <c r="D130" s="299"/>
      <c r="E130" s="3578"/>
      <c r="F130" s="3579"/>
      <c r="G130" s="4427" t="s">
        <v>36</v>
      </c>
      <c r="H130" s="4428"/>
      <c r="I130" s="4428"/>
      <c r="J130" s="4428"/>
      <c r="K130" s="4428"/>
      <c r="L130" s="4424" t="s">
        <v>37</v>
      </c>
      <c r="M130" s="4425"/>
      <c r="N130" s="4425"/>
      <c r="O130" s="4425"/>
      <c r="P130" s="4426"/>
      <c r="Q130" s="3591"/>
      <c r="R130" s="3592"/>
      <c r="S130" s="3592"/>
      <c r="T130" s="3592"/>
      <c r="U130" s="3592"/>
      <c r="V130" s="3592"/>
      <c r="Z130"/>
      <c r="AA130"/>
      <c r="AB130"/>
      <c r="AC130"/>
      <c r="AD130"/>
      <c r="AE130"/>
      <c r="AF130"/>
      <c r="AG130"/>
      <c r="AH130"/>
    </row>
    <row r="131" spans="1:34" ht="30" customHeight="1">
      <c r="B131" s="78"/>
      <c r="C131" s="78"/>
      <c r="D131" s="299"/>
      <c r="E131" s="3580"/>
      <c r="F131" s="3581"/>
      <c r="G131" s="4442" t="str">
        <f>CONCATENATE("$0's, real ",dms_DollarReal)</f>
        <v>$0's, real December 2017</v>
      </c>
      <c r="H131" s="4443"/>
      <c r="I131" s="4443"/>
      <c r="J131" s="4443"/>
      <c r="K131" s="4443"/>
      <c r="L131" s="4443"/>
      <c r="M131" s="4443"/>
      <c r="N131" s="4443"/>
      <c r="O131" s="4443"/>
      <c r="P131" s="4444"/>
      <c r="Q131" s="3591"/>
      <c r="R131" s="3593"/>
      <c r="S131" s="3593"/>
      <c r="T131" s="3593"/>
      <c r="U131" s="3593"/>
      <c r="V131" s="3593"/>
      <c r="Z131"/>
      <c r="AA131"/>
      <c r="AB131"/>
      <c r="AC131"/>
      <c r="AD131"/>
      <c r="AE131"/>
      <c r="AF131"/>
      <c r="AG131"/>
      <c r="AH131"/>
    </row>
    <row r="132" spans="1:34" ht="15">
      <c r="D132" s="299"/>
      <c r="E132" s="3580"/>
      <c r="F132" s="3581"/>
      <c r="G132" s="4442" t="s">
        <v>76</v>
      </c>
      <c r="H132" s="4443"/>
      <c r="I132" s="4443"/>
      <c r="J132" s="4443"/>
      <c r="K132" s="4443"/>
      <c r="L132" s="4443"/>
      <c r="M132" s="4443"/>
      <c r="N132" s="4443"/>
      <c r="O132" s="4443"/>
      <c r="P132" s="4444"/>
      <c r="Q132" s="3591"/>
      <c r="R132" s="3593"/>
      <c r="S132" s="3593"/>
      <c r="T132" s="3593"/>
      <c r="U132" s="3593"/>
      <c r="V132" s="3593"/>
      <c r="Z132"/>
      <c r="AA132"/>
      <c r="AB132"/>
      <c r="AC132"/>
      <c r="AD132"/>
      <c r="AE132"/>
      <c r="AF132"/>
      <c r="AG132"/>
      <c r="AH132"/>
    </row>
    <row r="133" spans="1:34" ht="15.75" thickBot="1">
      <c r="D133" s="299"/>
      <c r="E133" s="3582"/>
      <c r="F133" s="3583"/>
      <c r="G133" s="3559">
        <f t="array" ref="G133:K133">PRCP</f>
        <v>2008</v>
      </c>
      <c r="H133" s="3560">
        <v>2009</v>
      </c>
      <c r="I133" s="3560">
        <v>2010</v>
      </c>
      <c r="J133" s="3560">
        <v>2011</v>
      </c>
      <c r="K133" s="3560">
        <v>2012</v>
      </c>
      <c r="L133" s="3561">
        <f>CRCP_y1</f>
        <v>2013</v>
      </c>
      <c r="M133" s="3561">
        <f>CRCP_y2</f>
        <v>2014</v>
      </c>
      <c r="N133" s="3561">
        <f>CRCP_y3</f>
        <v>2015</v>
      </c>
      <c r="O133" s="3561">
        <f>CRCP_y4</f>
        <v>2016</v>
      </c>
      <c r="P133" s="3200">
        <f>CRCP_y5</f>
        <v>2017</v>
      </c>
      <c r="Q133" s="3591"/>
      <c r="R133" s="3593"/>
      <c r="S133" s="3593"/>
      <c r="T133" s="3593"/>
      <c r="U133" s="3593"/>
      <c r="V133" s="3593"/>
      <c r="Z133"/>
      <c r="AA133"/>
      <c r="AB133"/>
      <c r="AC133"/>
      <c r="AD133"/>
      <c r="AE133"/>
      <c r="AF133"/>
      <c r="AG133"/>
      <c r="AH133"/>
    </row>
    <row r="134" spans="1:34" s="78" customFormat="1" ht="18" customHeight="1">
      <c r="D134" s="299"/>
      <c r="E134" s="4450" t="s">
        <v>91</v>
      </c>
      <c r="F134" s="3288"/>
      <c r="G134" s="497"/>
      <c r="H134" s="495"/>
      <c r="I134" s="495"/>
      <c r="J134" s="495"/>
      <c r="K134" s="556"/>
      <c r="L134" s="406"/>
      <c r="M134" s="407"/>
      <c r="N134" s="407"/>
      <c r="O134" s="407"/>
      <c r="P134" s="1112"/>
      <c r="Q134" s="3292"/>
      <c r="R134" s="3292"/>
      <c r="S134" s="3292"/>
      <c r="T134" s="3292"/>
      <c r="U134" s="3292"/>
      <c r="V134" s="3292"/>
      <c r="W134"/>
      <c r="X134"/>
      <c r="Y134"/>
      <c r="Z134"/>
      <c r="AA134"/>
      <c r="AB134"/>
      <c r="AC134"/>
      <c r="AD134"/>
      <c r="AE134"/>
      <c r="AF134"/>
      <c r="AG134"/>
      <c r="AH134"/>
    </row>
    <row r="135" spans="1:34" s="501" customFormat="1" ht="12.75" customHeight="1">
      <c r="B135" s="78"/>
      <c r="C135" s="78"/>
      <c r="D135" s="299"/>
      <c r="E135" s="4451"/>
      <c r="F135" s="3289"/>
      <c r="G135" s="497"/>
      <c r="H135" s="495"/>
      <c r="I135" s="495"/>
      <c r="J135" s="495"/>
      <c r="K135" s="556"/>
      <c r="L135" s="486"/>
      <c r="M135" s="485"/>
      <c r="N135" s="485"/>
      <c r="O135" s="485"/>
      <c r="P135" s="487"/>
      <c r="Q135" s="482"/>
      <c r="R135" s="482"/>
      <c r="S135" s="482"/>
      <c r="T135" s="482"/>
      <c r="U135" s="482"/>
      <c r="V135" s="482"/>
      <c r="W135"/>
      <c r="X135"/>
      <c r="Y135"/>
      <c r="Z135"/>
      <c r="AA135"/>
      <c r="AB135"/>
      <c r="AC135"/>
      <c r="AD135"/>
      <c r="AE135"/>
      <c r="AF135"/>
      <c r="AG135"/>
      <c r="AH135"/>
    </row>
    <row r="136" spans="1:34" s="501" customFormat="1" ht="12.75" customHeight="1">
      <c r="D136" s="299"/>
      <c r="E136" s="4451"/>
      <c r="F136" s="3289"/>
      <c r="G136" s="497"/>
      <c r="H136" s="495"/>
      <c r="I136" s="495"/>
      <c r="J136" s="495"/>
      <c r="K136" s="556"/>
      <c r="L136" s="486"/>
      <c r="M136" s="485"/>
      <c r="N136" s="485"/>
      <c r="O136" s="485"/>
      <c r="P136" s="487"/>
      <c r="Q136" s="482"/>
      <c r="R136" s="482"/>
      <c r="S136" s="482"/>
      <c r="T136" s="482"/>
      <c r="U136" s="482"/>
      <c r="V136" s="482"/>
      <c r="W136"/>
      <c r="X136"/>
      <c r="Y136"/>
      <c r="Z136"/>
      <c r="AA136"/>
      <c r="AB136"/>
      <c r="AC136"/>
      <c r="AD136"/>
      <c r="AE136"/>
      <c r="AF136"/>
      <c r="AG136"/>
      <c r="AH136"/>
    </row>
    <row r="137" spans="1:34" s="501" customFormat="1" ht="12.75" customHeight="1">
      <c r="D137" s="299"/>
      <c r="E137" s="4451"/>
      <c r="F137" s="3289"/>
      <c r="G137" s="497"/>
      <c r="H137" s="495"/>
      <c r="I137" s="495"/>
      <c r="J137" s="495"/>
      <c r="K137" s="556"/>
      <c r="L137" s="486"/>
      <c r="M137" s="485"/>
      <c r="N137" s="485"/>
      <c r="O137" s="485"/>
      <c r="P137" s="487"/>
      <c r="Q137" s="482"/>
      <c r="R137" s="482"/>
      <c r="S137" s="482"/>
      <c r="T137" s="482"/>
      <c r="U137" s="482"/>
      <c r="V137" s="482"/>
      <c r="W137"/>
      <c r="X137"/>
      <c r="Y137"/>
      <c r="Z137"/>
      <c r="AA137"/>
      <c r="AB137"/>
      <c r="AC137"/>
      <c r="AD137"/>
      <c r="AE137"/>
      <c r="AF137"/>
      <c r="AG137"/>
      <c r="AH137"/>
    </row>
    <row r="138" spans="1:34" s="501" customFormat="1" ht="12.75" customHeight="1">
      <c r="D138" s="299"/>
      <c r="E138" s="4451"/>
      <c r="F138" s="3290"/>
      <c r="G138" s="486"/>
      <c r="H138" s="485"/>
      <c r="I138" s="485"/>
      <c r="J138" s="485"/>
      <c r="K138" s="487"/>
      <c r="L138" s="384"/>
      <c r="M138" s="385"/>
      <c r="N138" s="385"/>
      <c r="O138" s="385"/>
      <c r="P138" s="477"/>
      <c r="Q138" s="482"/>
      <c r="R138" s="482"/>
      <c r="S138" s="482"/>
      <c r="T138" s="482"/>
      <c r="U138" s="482"/>
      <c r="V138" s="482"/>
      <c r="W138"/>
      <c r="X138"/>
      <c r="Y138"/>
      <c r="Z138"/>
      <c r="AA138"/>
      <c r="AB138"/>
      <c r="AC138"/>
      <c r="AD138"/>
      <c r="AE138"/>
      <c r="AF138"/>
      <c r="AG138"/>
      <c r="AH138"/>
    </row>
    <row r="139" spans="1:34" s="501" customFormat="1" ht="12.75" customHeight="1">
      <c r="D139" s="299"/>
      <c r="E139" s="4451"/>
      <c r="F139" s="3289"/>
      <c r="G139" s="486"/>
      <c r="H139" s="485"/>
      <c r="I139" s="485"/>
      <c r="J139" s="485">
        <v>1000000</v>
      </c>
      <c r="K139" s="487"/>
      <c r="L139" s="3293"/>
      <c r="M139" s="3294"/>
      <c r="N139" s="3294"/>
      <c r="O139" s="3294"/>
      <c r="P139" s="3295"/>
      <c r="Q139" s="482"/>
      <c r="R139" s="482"/>
      <c r="S139" s="482"/>
      <c r="T139" s="482"/>
      <c r="U139" s="482"/>
      <c r="V139" s="482"/>
      <c r="W139"/>
      <c r="X139"/>
      <c r="Y139"/>
      <c r="Z139"/>
      <c r="AA139"/>
      <c r="AB139"/>
      <c r="AC139"/>
      <c r="AD139"/>
      <c r="AE139"/>
      <c r="AF139"/>
      <c r="AG139"/>
      <c r="AH139"/>
    </row>
    <row r="140" spans="1:34" s="501" customFormat="1" ht="12.75" customHeight="1">
      <c r="D140" s="299"/>
      <c r="E140" s="4451"/>
      <c r="F140" s="3289"/>
      <c r="G140" s="486"/>
      <c r="H140" s="485"/>
      <c r="I140" s="485"/>
      <c r="J140" s="485"/>
      <c r="K140" s="487"/>
      <c r="L140" s="489"/>
      <c r="M140" s="490"/>
      <c r="N140" s="490"/>
      <c r="O140" s="490"/>
      <c r="P140" s="491"/>
      <c r="Q140" s="482"/>
      <c r="R140" s="482"/>
      <c r="S140" s="482"/>
      <c r="T140" s="482"/>
      <c r="U140" s="482"/>
      <c r="V140" s="482"/>
      <c r="W140"/>
      <c r="X140"/>
      <c r="Y140"/>
      <c r="Z140"/>
      <c r="AA140"/>
      <c r="AB140"/>
      <c r="AC140"/>
      <c r="AD140"/>
      <c r="AE140"/>
      <c r="AF140"/>
      <c r="AG140"/>
      <c r="AH140"/>
    </row>
    <row r="141" spans="1:34" s="501" customFormat="1" ht="12.75" customHeight="1">
      <c r="D141" s="299"/>
      <c r="E141" s="4451"/>
      <c r="F141" s="3290"/>
      <c r="G141" s="384"/>
      <c r="H141" s="385"/>
      <c r="I141" s="385"/>
      <c r="J141" s="385"/>
      <c r="K141" s="477"/>
      <c r="L141" s="384"/>
      <c r="M141" s="385"/>
      <c r="N141" s="385"/>
      <c r="O141" s="385"/>
      <c r="P141" s="477"/>
      <c r="Q141" s="482"/>
      <c r="R141" s="482"/>
      <c r="S141" s="482"/>
      <c r="T141" s="482"/>
      <c r="U141" s="482"/>
      <c r="V141" s="482"/>
      <c r="W141"/>
      <c r="X141"/>
      <c r="Y141"/>
      <c r="Z141"/>
      <c r="AA141"/>
      <c r="AB141"/>
      <c r="AC141"/>
      <c r="AD141"/>
      <c r="AE141"/>
      <c r="AF141"/>
      <c r="AG141"/>
      <c r="AH141"/>
    </row>
    <row r="142" spans="1:34" s="501" customFormat="1" ht="12.75" customHeight="1">
      <c r="D142" s="299"/>
      <c r="E142" s="4451"/>
      <c r="F142" s="3289"/>
      <c r="G142" s="486"/>
      <c r="H142" s="485"/>
      <c r="I142" s="485"/>
      <c r="J142" s="485"/>
      <c r="K142" s="487"/>
      <c r="L142" s="486"/>
      <c r="M142" s="485"/>
      <c r="N142" s="485"/>
      <c r="O142" s="485"/>
      <c r="P142" s="487"/>
      <c r="Q142" s="482"/>
      <c r="R142" s="482"/>
      <c r="S142" s="482"/>
      <c r="T142" s="482"/>
      <c r="U142" s="482"/>
      <c r="V142" s="482"/>
      <c r="W142"/>
      <c r="X142"/>
      <c r="Y142"/>
      <c r="Z142"/>
      <c r="AA142"/>
      <c r="AB142"/>
      <c r="AC142"/>
      <c r="AD142"/>
      <c r="AE142"/>
      <c r="AF142"/>
      <c r="AG142"/>
      <c r="AH142"/>
    </row>
    <row r="143" spans="1:34" s="501" customFormat="1" ht="13.5" customHeight="1" thickBot="1">
      <c r="D143" s="299"/>
      <c r="E143" s="4452"/>
      <c r="F143" s="3291"/>
      <c r="G143" s="1458"/>
      <c r="H143" s="387"/>
      <c r="I143" s="387"/>
      <c r="J143" s="387"/>
      <c r="K143" s="528"/>
      <c r="L143" s="1458"/>
      <c r="M143" s="387"/>
      <c r="N143" s="387"/>
      <c r="O143" s="387"/>
      <c r="P143" s="528"/>
      <c r="Q143" s="482"/>
      <c r="R143" s="482"/>
      <c r="S143" s="482"/>
      <c r="T143" s="482"/>
      <c r="U143" s="482"/>
      <c r="V143" s="482"/>
      <c r="W143"/>
      <c r="X143"/>
      <c r="Y143"/>
      <c r="Z143"/>
      <c r="AA143"/>
      <c r="AB143"/>
      <c r="AC143"/>
      <c r="AD143"/>
      <c r="AE143"/>
      <c r="AF143"/>
      <c r="AG143"/>
      <c r="AH143"/>
    </row>
    <row r="144" spans="1:34" s="223" customFormat="1" ht="12.75" customHeight="1">
      <c r="D144" s="299"/>
      <c r="E144" s="4450" t="s">
        <v>1600</v>
      </c>
      <c r="F144" s="3288" t="s">
        <v>624</v>
      </c>
      <c r="G144" s="553"/>
      <c r="H144" s="554"/>
      <c r="I144" s="554"/>
      <c r="J144" s="554"/>
      <c r="K144" s="555"/>
      <c r="L144" s="564"/>
      <c r="M144" s="565"/>
      <c r="N144" s="565"/>
      <c r="O144" s="565"/>
      <c r="P144" s="566"/>
      <c r="Q144" s="3292"/>
      <c r="R144" s="3292"/>
      <c r="S144" s="3292"/>
      <c r="T144" s="3292"/>
      <c r="U144" s="3292"/>
      <c r="V144" s="3292"/>
      <c r="W144" s="1266"/>
      <c r="X144" s="1266"/>
      <c r="Y144"/>
      <c r="Z144"/>
      <c r="AA144"/>
      <c r="AB144"/>
      <c r="AC144"/>
      <c r="AD144"/>
      <c r="AE144"/>
      <c r="AF144"/>
      <c r="AG144"/>
      <c r="AH144"/>
    </row>
    <row r="145" spans="2:34" s="501" customFormat="1" ht="12.75" customHeight="1">
      <c r="B145" s="223"/>
      <c r="C145" s="223"/>
      <c r="D145" s="299"/>
      <c r="E145" s="4451"/>
      <c r="F145" s="3289" t="s">
        <v>585</v>
      </c>
      <c r="G145" s="497"/>
      <c r="H145" s="495"/>
      <c r="I145" s="495"/>
      <c r="J145" s="495"/>
      <c r="K145" s="556"/>
      <c r="L145" s="486"/>
      <c r="M145" s="485"/>
      <c r="N145" s="485"/>
      <c r="O145" s="485"/>
      <c r="P145" s="487"/>
      <c r="Q145" s="482"/>
      <c r="R145" s="482"/>
      <c r="S145" s="482"/>
      <c r="T145" s="482"/>
      <c r="U145" s="482"/>
      <c r="V145" s="482"/>
      <c r="W145" s="1266"/>
      <c r="X145" s="1266"/>
      <c r="Y145"/>
      <c r="Z145"/>
      <c r="AA145"/>
      <c r="AB145"/>
      <c r="AC145"/>
      <c r="AD145"/>
      <c r="AE145"/>
      <c r="AF145"/>
      <c r="AG145"/>
      <c r="AH145"/>
    </row>
    <row r="146" spans="2:34" s="501" customFormat="1" ht="12.75" customHeight="1">
      <c r="D146" s="299"/>
      <c r="E146" s="4451"/>
      <c r="F146" s="3289" t="s">
        <v>584</v>
      </c>
      <c r="G146" s="497"/>
      <c r="H146" s="495"/>
      <c r="I146" s="495"/>
      <c r="J146" s="495"/>
      <c r="K146" s="556"/>
      <c r="L146" s="486"/>
      <c r="M146" s="485"/>
      <c r="N146" s="485"/>
      <c r="O146" s="485"/>
      <c r="P146" s="487"/>
      <c r="Q146" s="482"/>
      <c r="R146" s="482"/>
      <c r="S146" s="482"/>
      <c r="T146" s="482"/>
      <c r="U146" s="482"/>
      <c r="V146" s="482"/>
      <c r="W146" s="1266"/>
      <c r="X146" s="1266"/>
      <c r="Y146"/>
      <c r="Z146"/>
      <c r="AA146"/>
      <c r="AB146"/>
      <c r="AC146"/>
      <c r="AD146"/>
      <c r="AE146"/>
      <c r="AF146"/>
      <c r="AG146"/>
      <c r="AH146"/>
    </row>
    <row r="147" spans="2:34" s="501" customFormat="1" ht="12.75" customHeight="1">
      <c r="D147" s="299"/>
      <c r="E147" s="4451"/>
      <c r="F147" s="3289" t="s">
        <v>590</v>
      </c>
      <c r="G147" s="497"/>
      <c r="H147" s="495"/>
      <c r="I147" s="495"/>
      <c r="J147" s="495"/>
      <c r="K147" s="556"/>
      <c r="L147" s="486"/>
      <c r="M147" s="485"/>
      <c r="N147" s="485"/>
      <c r="O147" s="485"/>
      <c r="P147" s="487"/>
      <c r="Q147" s="482"/>
      <c r="R147" s="482"/>
      <c r="S147" s="482"/>
      <c r="T147" s="482"/>
      <c r="U147" s="482"/>
      <c r="V147" s="482"/>
      <c r="W147" s="1266"/>
      <c r="X147" s="1266"/>
      <c r="Y147"/>
      <c r="Z147"/>
      <c r="AA147"/>
      <c r="AB147"/>
      <c r="AC147"/>
      <c r="AD147"/>
      <c r="AE147"/>
      <c r="AF147"/>
      <c r="AG147"/>
      <c r="AH147"/>
    </row>
    <row r="148" spans="2:34" s="501" customFormat="1" ht="12.75" customHeight="1">
      <c r="D148" s="299"/>
      <c r="E148" s="4451"/>
      <c r="F148" s="3290" t="s">
        <v>592</v>
      </c>
      <c r="G148" s="486">
        <v>3360748.9135229094</v>
      </c>
      <c r="H148" s="485">
        <v>3229469.6590884207</v>
      </c>
      <c r="I148" s="485">
        <v>4384727.0981119201</v>
      </c>
      <c r="J148" s="485">
        <v>5986334.0022126818</v>
      </c>
      <c r="K148" s="487">
        <v>3636435.3478353359</v>
      </c>
      <c r="L148" s="384">
        <v>16796875.6211497</v>
      </c>
      <c r="M148" s="385">
        <v>5353396.9499117658</v>
      </c>
      <c r="N148" s="385">
        <v>3675374.187792921</v>
      </c>
      <c r="O148" s="385">
        <v>7480767.9263472771</v>
      </c>
      <c r="P148" s="477">
        <v>4744983.2897425666</v>
      </c>
      <c r="Q148" s="482"/>
      <c r="R148" s="482"/>
      <c r="S148" s="482"/>
      <c r="T148" s="482"/>
      <c r="U148" s="482"/>
      <c r="V148" s="482"/>
      <c r="W148" s="1266"/>
      <c r="X148" s="1266"/>
      <c r="Y148"/>
      <c r="Z148"/>
      <c r="AA148"/>
      <c r="AB148"/>
      <c r="AC148"/>
      <c r="AD148"/>
      <c r="AE148"/>
      <c r="AF148"/>
      <c r="AG148"/>
      <c r="AH148"/>
    </row>
    <row r="149" spans="2:34" s="501" customFormat="1" ht="12.75" customHeight="1">
      <c r="D149" s="299"/>
      <c r="E149" s="4451"/>
      <c r="F149" s="3289" t="s">
        <v>609</v>
      </c>
      <c r="G149" s="486"/>
      <c r="H149" s="485"/>
      <c r="I149" s="485"/>
      <c r="J149" s="485"/>
      <c r="K149" s="487"/>
      <c r="L149" s="3293">
        <f>L148*0.04194</f>
        <v>704460.96355101839</v>
      </c>
      <c r="M149" s="3293">
        <f>M148*0.04194</f>
        <v>224521.46807929943</v>
      </c>
      <c r="N149" s="3293">
        <f>N148*0.04194</f>
        <v>154145.1934360351</v>
      </c>
      <c r="O149" s="3293">
        <f>O148*0.04194</f>
        <v>313743.40683100477</v>
      </c>
      <c r="P149" s="3293">
        <f>P148*0.04194</f>
        <v>199004.59917180325</v>
      </c>
      <c r="Q149" s="482"/>
      <c r="R149" s="482"/>
      <c r="S149" s="482"/>
      <c r="T149" s="482"/>
      <c r="U149" s="482"/>
      <c r="V149" s="482"/>
      <c r="W149" s="1266"/>
      <c r="X149" s="1266"/>
      <c r="Y149"/>
      <c r="Z149"/>
      <c r="AA149"/>
      <c r="AB149"/>
      <c r="AC149"/>
      <c r="AD149"/>
      <c r="AE149"/>
      <c r="AF149"/>
      <c r="AG149"/>
      <c r="AH149"/>
    </row>
    <row r="150" spans="2:34" s="501" customFormat="1" ht="12.75" customHeight="1">
      <c r="D150" s="299"/>
      <c r="E150" s="4451"/>
      <c r="F150" s="3289" t="s">
        <v>607</v>
      </c>
      <c r="G150" s="486"/>
      <c r="H150" s="485"/>
      <c r="I150" s="485"/>
      <c r="J150" s="485"/>
      <c r="K150" s="487"/>
      <c r="L150" s="489"/>
      <c r="M150" s="490"/>
      <c r="N150" s="490"/>
      <c r="O150" s="490"/>
      <c r="P150" s="491"/>
      <c r="Q150" s="482"/>
      <c r="R150" s="482"/>
      <c r="S150" s="482"/>
      <c r="T150" s="482"/>
      <c r="U150" s="482"/>
      <c r="V150" s="482"/>
      <c r="W150" s="1266"/>
      <c r="X150" s="1266"/>
      <c r="Y150"/>
      <c r="Z150"/>
      <c r="AA150"/>
      <c r="AB150"/>
      <c r="AC150"/>
      <c r="AD150"/>
      <c r="AE150"/>
      <c r="AF150"/>
      <c r="AG150"/>
      <c r="AH150"/>
    </row>
    <row r="151" spans="2:34" s="501" customFormat="1" ht="12.75" customHeight="1">
      <c r="D151" s="299"/>
      <c r="E151" s="4451"/>
      <c r="F151" s="3290" t="s">
        <v>610</v>
      </c>
      <c r="G151" s="384">
        <f t="shared" ref="G151:P151" si="83">SUM(G148:G150)</f>
        <v>3360748.9135229094</v>
      </c>
      <c r="H151" s="384">
        <f t="shared" si="83"/>
        <v>3229469.6590884207</v>
      </c>
      <c r="I151" s="384">
        <f t="shared" si="83"/>
        <v>4384727.0981119201</v>
      </c>
      <c r="J151" s="384">
        <f t="shared" si="83"/>
        <v>5986334.0022126818</v>
      </c>
      <c r="K151" s="384">
        <f t="shared" si="83"/>
        <v>3636435.3478353359</v>
      </c>
      <c r="L151" s="384">
        <f t="shared" si="83"/>
        <v>17501336.584700719</v>
      </c>
      <c r="M151" s="384">
        <f t="shared" si="83"/>
        <v>5577918.4179910654</v>
      </c>
      <c r="N151" s="384">
        <f t="shared" si="83"/>
        <v>3829519.3812289559</v>
      </c>
      <c r="O151" s="384">
        <f t="shared" si="83"/>
        <v>7794511.3331782818</v>
      </c>
      <c r="P151" s="384">
        <f t="shared" si="83"/>
        <v>4943987.88891437</v>
      </c>
      <c r="Q151" s="482"/>
      <c r="R151" s="482"/>
      <c r="S151" s="482"/>
      <c r="T151" s="482"/>
      <c r="U151" s="482"/>
      <c r="V151" s="482"/>
      <c r="W151" s="1266"/>
      <c r="X151" s="1266"/>
      <c r="Y151"/>
      <c r="Z151"/>
      <c r="AA151"/>
      <c r="AB151"/>
      <c r="AC151"/>
      <c r="AD151"/>
      <c r="AE151"/>
      <c r="AF151"/>
      <c r="AG151"/>
      <c r="AH151"/>
    </row>
    <row r="152" spans="2:34" s="501" customFormat="1" ht="12.75" customHeight="1">
      <c r="D152" s="299"/>
      <c r="E152" s="4451"/>
      <c r="F152" s="3289" t="s">
        <v>35</v>
      </c>
      <c r="G152" s="486">
        <v>-1525219.514779673</v>
      </c>
      <c r="H152" s="485">
        <v>-1542936.9294543883</v>
      </c>
      <c r="I152" s="485">
        <v>-1307302.8584770889</v>
      </c>
      <c r="J152" s="485">
        <v>-1466642.79495969</v>
      </c>
      <c r="K152" s="487">
        <v>-935307.24032609211</v>
      </c>
      <c r="L152" s="486"/>
      <c r="M152" s="485"/>
      <c r="N152" s="485"/>
      <c r="O152" s="485"/>
      <c r="P152" s="487"/>
      <c r="Q152" s="482"/>
      <c r="R152" s="482"/>
      <c r="S152" s="482"/>
      <c r="T152" s="482"/>
      <c r="U152" s="482"/>
      <c r="V152" s="482"/>
      <c r="W152" s="1266"/>
      <c r="X152" s="1266"/>
      <c r="Y152"/>
      <c r="Z152"/>
      <c r="AA152"/>
      <c r="AB152"/>
      <c r="AC152"/>
      <c r="AD152"/>
      <c r="AE152"/>
      <c r="AF152"/>
      <c r="AG152"/>
      <c r="AH152"/>
    </row>
    <row r="153" spans="2:34" s="501" customFormat="1" ht="13.5" customHeight="1" thickBot="1">
      <c r="D153" s="299"/>
      <c r="E153" s="4452"/>
      <c r="F153" s="3291" t="s">
        <v>611</v>
      </c>
      <c r="G153" s="3306">
        <f>SUM(G151:G152)</f>
        <v>1835529.3987432364</v>
      </c>
      <c r="H153" s="3306">
        <f>SUM(H151:H152)</f>
        <v>1686532.7296340324</v>
      </c>
      <c r="I153" s="3306">
        <f>SUM(I151:I152)</f>
        <v>3077424.2396348314</v>
      </c>
      <c r="J153" s="3306">
        <f>SUM(J151:J152)</f>
        <v>4519691.2072529923</v>
      </c>
      <c r="K153" s="3306">
        <f>SUM(K151:K152)</f>
        <v>2701128.1075092438</v>
      </c>
      <c r="L153" s="3306">
        <f>L151-L152</f>
        <v>17501336.584700719</v>
      </c>
      <c r="M153" s="678">
        <f>M151-M152</f>
        <v>5577918.4179910654</v>
      </c>
      <c r="N153" s="678">
        <f>N151-N152</f>
        <v>3829519.3812289559</v>
      </c>
      <c r="O153" s="678">
        <f>O151-O152</f>
        <v>7794511.3331782818</v>
      </c>
      <c r="P153" s="679">
        <f>P151-P152</f>
        <v>4943987.88891437</v>
      </c>
      <c r="Q153" s="482"/>
      <c r="R153" s="482"/>
      <c r="S153" s="482"/>
      <c r="T153" s="482"/>
      <c r="U153" s="482"/>
      <c r="V153" s="482"/>
      <c r="W153" s="1266"/>
      <c r="X153" s="1266"/>
      <c r="Y153"/>
      <c r="Z153"/>
      <c r="AA153"/>
      <c r="AB153"/>
      <c r="AC153"/>
      <c r="AD153"/>
      <c r="AE153"/>
      <c r="AF153"/>
      <c r="AG153"/>
      <c r="AH153"/>
    </row>
    <row r="154" spans="2:34" s="78" customFormat="1" ht="12.75" customHeight="1">
      <c r="D154" s="299"/>
      <c r="E154" s="4450" t="s">
        <v>1601</v>
      </c>
      <c r="F154" s="3288" t="s">
        <v>624</v>
      </c>
      <c r="G154" s="553"/>
      <c r="H154" s="554"/>
      <c r="I154" s="554"/>
      <c r="J154" s="554"/>
      <c r="K154" s="555"/>
      <c r="L154" s="564"/>
      <c r="M154" s="565"/>
      <c r="N154" s="565"/>
      <c r="O154" s="565"/>
      <c r="P154" s="566"/>
      <c r="Q154" s="3292"/>
      <c r="R154" s="3292"/>
      <c r="S154" s="3292"/>
      <c r="T154" s="3292"/>
      <c r="U154" s="3292"/>
      <c r="V154" s="3292"/>
      <c r="W154"/>
      <c r="X154"/>
      <c r="Y154"/>
      <c r="Z154"/>
      <c r="AA154"/>
      <c r="AB154"/>
      <c r="AC154"/>
      <c r="AD154"/>
      <c r="AE154"/>
      <c r="AF154"/>
      <c r="AG154"/>
      <c r="AH154"/>
    </row>
    <row r="155" spans="2:34" s="501" customFormat="1" ht="12.75" customHeight="1">
      <c r="B155" s="78"/>
      <c r="C155" s="78"/>
      <c r="D155" s="299"/>
      <c r="E155" s="4451"/>
      <c r="F155" s="3289" t="s">
        <v>585</v>
      </c>
      <c r="G155" s="497"/>
      <c r="H155" s="495"/>
      <c r="I155" s="495"/>
      <c r="J155" s="495"/>
      <c r="K155" s="556"/>
      <c r="L155" s="486"/>
      <c r="M155" s="485"/>
      <c r="N155" s="485"/>
      <c r="O155" s="485"/>
      <c r="P155" s="487"/>
      <c r="Q155" s="482"/>
      <c r="R155" s="482"/>
      <c r="S155" s="482"/>
      <c r="T155" s="482"/>
      <c r="U155" s="482"/>
      <c r="V155" s="482"/>
      <c r="W155"/>
      <c r="X155"/>
      <c r="Y155"/>
      <c r="Z155"/>
      <c r="AA155"/>
      <c r="AB155"/>
      <c r="AC155"/>
      <c r="AD155"/>
      <c r="AE155"/>
      <c r="AF155"/>
      <c r="AG155"/>
      <c r="AH155"/>
    </row>
    <row r="156" spans="2:34" s="501" customFormat="1" ht="12.75" customHeight="1">
      <c r="D156" s="299"/>
      <c r="E156" s="4451"/>
      <c r="F156" s="3289" t="s">
        <v>584</v>
      </c>
      <c r="G156" s="497"/>
      <c r="H156" s="495"/>
      <c r="I156" s="495"/>
      <c r="J156" s="495"/>
      <c r="K156" s="556"/>
      <c r="L156" s="486"/>
      <c r="M156" s="485"/>
      <c r="N156" s="485"/>
      <c r="O156" s="485"/>
      <c r="P156" s="487"/>
      <c r="Q156" s="482"/>
      <c r="R156" s="482"/>
      <c r="S156" s="482"/>
      <c r="T156" s="482"/>
      <c r="U156" s="482"/>
      <c r="V156" s="482"/>
      <c r="W156"/>
      <c r="X156"/>
      <c r="Y156"/>
      <c r="Z156"/>
      <c r="AA156"/>
      <c r="AB156"/>
      <c r="AC156"/>
      <c r="AD156"/>
      <c r="AE156"/>
      <c r="AF156"/>
      <c r="AG156"/>
      <c r="AH156"/>
    </row>
    <row r="157" spans="2:34" s="501" customFormat="1" ht="12.75" customHeight="1">
      <c r="D157" s="299"/>
      <c r="E157" s="4451"/>
      <c r="F157" s="3289" t="s">
        <v>590</v>
      </c>
      <c r="G157" s="497"/>
      <c r="H157" s="495"/>
      <c r="I157" s="495"/>
      <c r="J157" s="495"/>
      <c r="K157" s="556"/>
      <c r="L157" s="486"/>
      <c r="M157" s="485"/>
      <c r="N157" s="485"/>
      <c r="O157" s="485"/>
      <c r="P157" s="487"/>
      <c r="Q157" s="482"/>
      <c r="R157" s="482"/>
      <c r="S157" s="482"/>
      <c r="T157" s="482"/>
      <c r="U157" s="482"/>
      <c r="V157" s="482"/>
      <c r="W157"/>
      <c r="X157"/>
      <c r="Y157"/>
      <c r="Z157"/>
      <c r="AA157"/>
      <c r="AB157"/>
      <c r="AC157"/>
      <c r="AD157"/>
      <c r="AE157"/>
      <c r="AF157"/>
      <c r="AG157"/>
      <c r="AH157"/>
    </row>
    <row r="158" spans="2:34" s="501" customFormat="1" ht="12.75" customHeight="1">
      <c r="D158" s="299"/>
      <c r="E158" s="4451"/>
      <c r="F158" s="3290" t="s">
        <v>592</v>
      </c>
      <c r="G158" s="384">
        <v>8099929.9986079494</v>
      </c>
      <c r="H158" s="385">
        <v>9714664.8281521611</v>
      </c>
      <c r="I158" s="385">
        <v>275686.43431242614</v>
      </c>
      <c r="J158" s="385">
        <v>275686.43431242614</v>
      </c>
      <c r="K158" s="477">
        <v>170663.03076483525</v>
      </c>
      <c r="L158" s="384">
        <f>SUM(L155:L157)</f>
        <v>0</v>
      </c>
      <c r="M158" s="385">
        <f>SUM(M155:M157)</f>
        <v>0</v>
      </c>
      <c r="N158" s="385">
        <f>SUM(N155:N157)</f>
        <v>0</v>
      </c>
      <c r="O158" s="385">
        <f>SUM(O155:O157)</f>
        <v>0</v>
      </c>
      <c r="P158" s="477">
        <f>SUM(P155:P157)</f>
        <v>0</v>
      </c>
      <c r="Q158" s="482"/>
      <c r="R158" s="482"/>
      <c r="S158" s="482"/>
      <c r="T158" s="482"/>
      <c r="U158" s="482"/>
      <c r="V158" s="482"/>
      <c r="W158"/>
      <c r="X158"/>
      <c r="Y158"/>
      <c r="Z158"/>
      <c r="AA158"/>
      <c r="AB158"/>
      <c r="AC158"/>
      <c r="AD158"/>
      <c r="AE158"/>
      <c r="AF158"/>
      <c r="AG158"/>
      <c r="AH158"/>
    </row>
    <row r="159" spans="2:34" s="501" customFormat="1" ht="12.75" customHeight="1">
      <c r="D159" s="299"/>
      <c r="E159" s="4451"/>
      <c r="F159" s="3289" t="s">
        <v>609</v>
      </c>
      <c r="G159" s="486"/>
      <c r="H159" s="485"/>
      <c r="I159" s="485"/>
      <c r="J159" s="485"/>
      <c r="K159" s="487"/>
      <c r="L159" s="3293"/>
      <c r="M159" s="3294"/>
      <c r="N159" s="3294"/>
      <c r="O159" s="3294"/>
      <c r="P159" s="3295"/>
      <c r="Q159" s="482"/>
      <c r="R159" s="482"/>
      <c r="S159" s="482"/>
      <c r="T159" s="482"/>
      <c r="U159" s="482"/>
      <c r="V159" s="482"/>
      <c r="W159"/>
      <c r="X159"/>
      <c r="Y159"/>
      <c r="Z159"/>
      <c r="AA159"/>
      <c r="AB159"/>
      <c r="AC159"/>
      <c r="AD159"/>
      <c r="AE159"/>
      <c r="AF159"/>
      <c r="AG159"/>
      <c r="AH159"/>
    </row>
    <row r="160" spans="2:34" s="501" customFormat="1" ht="12.75" customHeight="1">
      <c r="D160" s="299"/>
      <c r="E160" s="4451"/>
      <c r="F160" s="3289" t="s">
        <v>607</v>
      </c>
      <c r="G160" s="486"/>
      <c r="H160" s="485"/>
      <c r="I160" s="485"/>
      <c r="J160" s="485"/>
      <c r="K160" s="487"/>
      <c r="L160" s="489"/>
      <c r="M160" s="490"/>
      <c r="N160" s="490"/>
      <c r="O160" s="490"/>
      <c r="P160" s="491"/>
      <c r="Q160" s="482"/>
      <c r="R160" s="482"/>
      <c r="S160" s="482"/>
      <c r="T160" s="482"/>
      <c r="U160" s="482"/>
      <c r="V160" s="482"/>
      <c r="W160"/>
      <c r="X160"/>
      <c r="Y160"/>
      <c r="Z160"/>
      <c r="AA160"/>
      <c r="AB160"/>
      <c r="AC160"/>
      <c r="AD160"/>
      <c r="AE160"/>
      <c r="AF160"/>
      <c r="AG160"/>
      <c r="AH160"/>
    </row>
    <row r="161" spans="2:34" s="501" customFormat="1" ht="12.75" customHeight="1">
      <c r="D161" s="299"/>
      <c r="E161" s="4451"/>
      <c r="F161" s="3290" t="s">
        <v>610</v>
      </c>
      <c r="G161" s="384">
        <f>SUM(G158:G160)</f>
        <v>8099929.9986079494</v>
      </c>
      <c r="H161" s="384">
        <f>SUM(H158:H160)</f>
        <v>9714664.8281521611</v>
      </c>
      <c r="I161" s="384">
        <f>SUM(I158:I160)</f>
        <v>275686.43431242614</v>
      </c>
      <c r="J161" s="384">
        <f>SUM(J158:J160)</f>
        <v>275686.43431242614</v>
      </c>
      <c r="K161" s="384">
        <f>SUM(K158:K160)</f>
        <v>170663.03076483525</v>
      </c>
      <c r="L161" s="384">
        <f>SUM(L159:L160)</f>
        <v>0</v>
      </c>
      <c r="M161" s="385">
        <f>SUM(M159:M160)</f>
        <v>0</v>
      </c>
      <c r="N161" s="385">
        <f>SUM(N159:N160)</f>
        <v>0</v>
      </c>
      <c r="O161" s="385">
        <f>SUM(O159:O160)</f>
        <v>0</v>
      </c>
      <c r="P161" s="477">
        <f>SUM(P159:P160)</f>
        <v>0</v>
      </c>
      <c r="Q161" s="482"/>
      <c r="R161" s="482"/>
      <c r="S161" s="482"/>
      <c r="T161" s="482"/>
      <c r="U161" s="482"/>
      <c r="V161" s="482"/>
      <c r="W161"/>
      <c r="X161"/>
      <c r="Y161"/>
      <c r="Z161"/>
      <c r="AA161"/>
      <c r="AB161"/>
      <c r="AC161"/>
      <c r="AD161"/>
      <c r="AE161"/>
      <c r="AF161"/>
      <c r="AG161"/>
      <c r="AH161"/>
    </row>
    <row r="162" spans="2:34" s="501" customFormat="1" ht="12.75" customHeight="1">
      <c r="D162" s="299"/>
      <c r="E162" s="4451"/>
      <c r="F162" s="3289" t="s">
        <v>35</v>
      </c>
      <c r="G162" s="486"/>
      <c r="H162" s="485"/>
      <c r="I162" s="485"/>
      <c r="J162" s="485"/>
      <c r="K162" s="487"/>
      <c r="L162" s="486"/>
      <c r="M162" s="485"/>
      <c r="N162" s="485"/>
      <c r="O162" s="485"/>
      <c r="P162" s="487"/>
      <c r="Q162" s="482"/>
      <c r="R162" s="482"/>
      <c r="S162" s="482"/>
      <c r="T162" s="482"/>
      <c r="U162" s="482"/>
      <c r="V162" s="482"/>
      <c r="W162"/>
      <c r="X162"/>
      <c r="Y162"/>
      <c r="Z162"/>
      <c r="AA162"/>
      <c r="AB162"/>
      <c r="AC162"/>
      <c r="AD162"/>
      <c r="AE162"/>
      <c r="AF162"/>
      <c r="AG162"/>
      <c r="AH162"/>
    </row>
    <row r="163" spans="2:34" s="501" customFormat="1" ht="13.5" customHeight="1" thickBot="1">
      <c r="D163" s="299"/>
      <c r="E163" s="4452"/>
      <c r="F163" s="3291" t="s">
        <v>611</v>
      </c>
      <c r="G163" s="3306">
        <f t="shared" ref="G163:P163" si="84">G161-G162</f>
        <v>8099929.9986079494</v>
      </c>
      <c r="H163" s="678">
        <f t="shared" si="84"/>
        <v>9714664.8281521611</v>
      </c>
      <c r="I163" s="678">
        <f t="shared" si="84"/>
        <v>275686.43431242614</v>
      </c>
      <c r="J163" s="678">
        <f t="shared" si="84"/>
        <v>275686.43431242614</v>
      </c>
      <c r="K163" s="679">
        <f t="shared" si="84"/>
        <v>170663.03076483525</v>
      </c>
      <c r="L163" s="3306">
        <f>L161-L162</f>
        <v>0</v>
      </c>
      <c r="M163" s="678">
        <f t="shared" si="84"/>
        <v>0</v>
      </c>
      <c r="N163" s="678">
        <f t="shared" si="84"/>
        <v>0</v>
      </c>
      <c r="O163" s="678">
        <f t="shared" si="84"/>
        <v>0</v>
      </c>
      <c r="P163" s="679">
        <f t="shared" si="84"/>
        <v>0</v>
      </c>
      <c r="Q163" s="482"/>
      <c r="R163" s="482"/>
      <c r="S163" s="482"/>
      <c r="T163" s="482"/>
      <c r="U163" s="482"/>
      <c r="V163" s="482"/>
      <c r="W163"/>
      <c r="X163"/>
      <c r="Y163"/>
      <c r="Z163"/>
      <c r="AA163"/>
      <c r="AB163"/>
      <c r="AC163"/>
      <c r="AD163"/>
      <c r="AE163"/>
      <c r="AF163"/>
      <c r="AG163"/>
      <c r="AH163"/>
    </row>
    <row r="164" spans="2:34" ht="12.75" customHeight="1">
      <c r="D164" s="299"/>
      <c r="E164" s="4453" t="s">
        <v>360</v>
      </c>
      <c r="F164" s="3296" t="s">
        <v>605</v>
      </c>
      <c r="G164" s="3307">
        <f t="shared" ref="G164:P164" si="85">SUMIF($F$134:$F$163,"Total direct expenditure ",G$134:G$163)</f>
        <v>11460678.912130859</v>
      </c>
      <c r="H164" s="3308">
        <f t="shared" si="85"/>
        <v>12944134.487240583</v>
      </c>
      <c r="I164" s="3308">
        <f t="shared" si="85"/>
        <v>4660413.5324243465</v>
      </c>
      <c r="J164" s="3308">
        <f t="shared" si="85"/>
        <v>6262020.4365251083</v>
      </c>
      <c r="K164" s="3309">
        <f t="shared" si="85"/>
        <v>3807098.3786001713</v>
      </c>
      <c r="L164" s="3307">
        <f t="shared" si="85"/>
        <v>16796875.6211497</v>
      </c>
      <c r="M164" s="3308">
        <f t="shared" si="85"/>
        <v>5353396.9499117658</v>
      </c>
      <c r="N164" s="3308">
        <f t="shared" si="85"/>
        <v>3675374.187792921</v>
      </c>
      <c r="O164" s="3308">
        <f t="shared" si="85"/>
        <v>7480767.9263472771</v>
      </c>
      <c r="P164" s="3310">
        <f t="shared" si="85"/>
        <v>4744983.2897425666</v>
      </c>
      <c r="Q164" s="3292"/>
      <c r="R164" s="3292"/>
      <c r="S164" s="3292"/>
      <c r="T164" s="3292"/>
      <c r="U164" s="3292"/>
      <c r="V164" s="3292"/>
      <c r="Z164"/>
      <c r="AA164"/>
      <c r="AB164"/>
      <c r="AC164"/>
      <c r="AD164"/>
      <c r="AE164"/>
      <c r="AF164"/>
      <c r="AG164"/>
      <c r="AH164"/>
    </row>
    <row r="165" spans="2:34" ht="12.75" customHeight="1">
      <c r="D165" s="299"/>
      <c r="E165" s="4454"/>
      <c r="F165" s="3302" t="s">
        <v>644</v>
      </c>
      <c r="G165" s="3311">
        <f>SUMIF($F$134:$F$163,"Total overhead expenditure",G$134:G$163)</f>
        <v>0</v>
      </c>
      <c r="H165" s="3312">
        <f t="shared" ref="H165:P165" si="86">SUMIF($F$134:$F$163,"Total overhead expenditure",H$134:H$163)</f>
        <v>0</v>
      </c>
      <c r="I165" s="3312">
        <f t="shared" si="86"/>
        <v>0</v>
      </c>
      <c r="J165" s="3312">
        <f t="shared" si="86"/>
        <v>0</v>
      </c>
      <c r="K165" s="3313">
        <f t="shared" si="86"/>
        <v>0</v>
      </c>
      <c r="L165" s="3311">
        <f t="shared" si="86"/>
        <v>704460.96355101839</v>
      </c>
      <c r="M165" s="3312">
        <f t="shared" si="86"/>
        <v>224521.46807929943</v>
      </c>
      <c r="N165" s="3312">
        <f t="shared" si="86"/>
        <v>154145.1934360351</v>
      </c>
      <c r="O165" s="3312">
        <f t="shared" si="86"/>
        <v>313743.40683100477</v>
      </c>
      <c r="P165" s="3314">
        <f t="shared" si="86"/>
        <v>199004.59917180325</v>
      </c>
      <c r="Q165" s="3594"/>
      <c r="R165" s="23"/>
      <c r="S165" s="23"/>
      <c r="T165" s="23"/>
      <c r="U165" s="23"/>
      <c r="V165" s="23"/>
      <c r="Z165"/>
      <c r="AA165"/>
      <c r="AB165"/>
      <c r="AC165"/>
      <c r="AD165"/>
      <c r="AE165"/>
      <c r="AF165"/>
      <c r="AG165"/>
      <c r="AH165"/>
    </row>
    <row r="166" spans="2:34" ht="12.75" customHeight="1">
      <c r="D166" s="299"/>
      <c r="E166" s="4454"/>
      <c r="F166" s="3302" t="s">
        <v>607</v>
      </c>
      <c r="G166" s="3311">
        <f>SUMIF($F$134:$F$163,"Related party margin expenditure",G$134:G$163)</f>
        <v>0</v>
      </c>
      <c r="H166" s="3312">
        <f t="shared" ref="H166:P166" si="87">SUMIF($F$134:$F$163,"Related party margin expenditure",H$134:H$163)</f>
        <v>0</v>
      </c>
      <c r="I166" s="3312">
        <f t="shared" si="87"/>
        <v>0</v>
      </c>
      <c r="J166" s="3312">
        <f t="shared" si="87"/>
        <v>0</v>
      </c>
      <c r="K166" s="3313">
        <f t="shared" si="87"/>
        <v>0</v>
      </c>
      <c r="L166" s="3311">
        <f t="shared" si="87"/>
        <v>0</v>
      </c>
      <c r="M166" s="3312">
        <f t="shared" si="87"/>
        <v>0</v>
      </c>
      <c r="N166" s="3312">
        <f t="shared" si="87"/>
        <v>0</v>
      </c>
      <c r="O166" s="3312">
        <f t="shared" si="87"/>
        <v>0</v>
      </c>
      <c r="P166" s="3314">
        <f t="shared" si="87"/>
        <v>0</v>
      </c>
      <c r="Q166" s="23"/>
      <c r="R166" s="23"/>
      <c r="S166" s="23"/>
      <c r="T166" s="23"/>
      <c r="U166" s="23"/>
      <c r="V166" s="23"/>
      <c r="Z166"/>
      <c r="AA166"/>
      <c r="AB166"/>
      <c r="AC166"/>
      <c r="AD166"/>
      <c r="AE166"/>
      <c r="AF166"/>
      <c r="AG166"/>
      <c r="AH166"/>
    </row>
    <row r="167" spans="2:34" s="69" customFormat="1" ht="12.75" customHeight="1">
      <c r="B167" s="75"/>
      <c r="C167" s="75"/>
      <c r="D167" s="348"/>
      <c r="E167" s="4454"/>
      <c r="F167" s="3241" t="s">
        <v>610</v>
      </c>
      <c r="G167" s="673">
        <f>SUM(G164:G166)</f>
        <v>11460678.912130859</v>
      </c>
      <c r="H167" s="673">
        <f t="shared" ref="H167:P167" si="88">SUM(H164:H166)</f>
        <v>12944134.487240583</v>
      </c>
      <c r="I167" s="673">
        <f t="shared" si="88"/>
        <v>4660413.5324243465</v>
      </c>
      <c r="J167" s="673">
        <f t="shared" si="88"/>
        <v>6262020.4365251083</v>
      </c>
      <c r="K167" s="673">
        <f t="shared" si="88"/>
        <v>3807098.3786001713</v>
      </c>
      <c r="L167" s="673">
        <f t="shared" si="88"/>
        <v>17501336.584700719</v>
      </c>
      <c r="M167" s="673">
        <f t="shared" si="88"/>
        <v>5577918.4179910654</v>
      </c>
      <c r="N167" s="673">
        <f t="shared" si="88"/>
        <v>3829519.3812289559</v>
      </c>
      <c r="O167" s="673">
        <f t="shared" si="88"/>
        <v>7794511.3331782818</v>
      </c>
      <c r="P167" s="673">
        <f t="shared" si="88"/>
        <v>4943987.88891437</v>
      </c>
      <c r="Q167" s="3595"/>
      <c r="R167" s="3292"/>
      <c r="S167" s="3292"/>
      <c r="T167" s="3292"/>
      <c r="U167" s="3292"/>
      <c r="V167" s="3292"/>
      <c r="W167"/>
      <c r="X167"/>
      <c r="Y167"/>
      <c r="Z167"/>
      <c r="AA167"/>
      <c r="AB167"/>
      <c r="AC167"/>
      <c r="AD167"/>
      <c r="AE167"/>
      <c r="AF167"/>
      <c r="AG167"/>
      <c r="AH167"/>
    </row>
    <row r="168" spans="2:34" s="69" customFormat="1" ht="12.75" customHeight="1">
      <c r="B168" s="75"/>
      <c r="C168" s="75"/>
      <c r="D168" s="348"/>
      <c r="E168" s="4454"/>
      <c r="F168" s="3302" t="s">
        <v>35</v>
      </c>
      <c r="G168" s="3311">
        <f>SUMIF($F$134:$F$163,"Less customer contributions",G$134:G$163)</f>
        <v>-1525219.514779673</v>
      </c>
      <c r="H168" s="3312">
        <f t="shared" ref="H168:P168" si="89">SUMIF($F$134:$F$163,"Less customer contributions",H$134:H$163)</f>
        <v>-1542936.9294543883</v>
      </c>
      <c r="I168" s="3312">
        <f t="shared" si="89"/>
        <v>-1307302.8584770889</v>
      </c>
      <c r="J168" s="3312">
        <f t="shared" si="89"/>
        <v>-1466642.79495969</v>
      </c>
      <c r="K168" s="3313">
        <f t="shared" si="89"/>
        <v>-935307.24032609211</v>
      </c>
      <c r="L168" s="3311">
        <f t="shared" si="89"/>
        <v>0</v>
      </c>
      <c r="M168" s="3312">
        <f t="shared" si="89"/>
        <v>0</v>
      </c>
      <c r="N168" s="3312">
        <f t="shared" si="89"/>
        <v>0</v>
      </c>
      <c r="O168" s="3312">
        <f t="shared" si="89"/>
        <v>0</v>
      </c>
      <c r="P168" s="3314">
        <f t="shared" si="89"/>
        <v>0</v>
      </c>
      <c r="Q168" s="3596"/>
      <c r="R168" s="3597"/>
      <c r="S168" s="3597"/>
      <c r="T168" s="3597"/>
      <c r="U168" s="3597"/>
      <c r="V168" s="3597"/>
      <c r="W168"/>
      <c r="X168"/>
      <c r="Y168"/>
      <c r="Z168"/>
      <c r="AA168"/>
      <c r="AB168"/>
      <c r="AC168"/>
      <c r="AD168"/>
      <c r="AE168"/>
      <c r="AF168"/>
      <c r="AG168"/>
      <c r="AH168"/>
    </row>
    <row r="169" spans="2:34" s="69" customFormat="1" ht="13.5" customHeight="1" thickBot="1">
      <c r="B169" s="75"/>
      <c r="C169" s="75"/>
      <c r="D169" s="348"/>
      <c r="E169" s="4455"/>
      <c r="F169" s="3243" t="s">
        <v>646</v>
      </c>
      <c r="G169" s="1831">
        <f>G167-G168</f>
        <v>12985898.426910531</v>
      </c>
      <c r="H169" s="1831">
        <f t="shared" ref="H169:P169" si="90">H167-H168</f>
        <v>14487071.416694971</v>
      </c>
      <c r="I169" s="1831">
        <f t="shared" si="90"/>
        <v>5967716.3909014352</v>
      </c>
      <c r="J169" s="1831">
        <f t="shared" si="90"/>
        <v>7728663.2314847987</v>
      </c>
      <c r="K169" s="1831">
        <f t="shared" si="90"/>
        <v>4742405.6189262634</v>
      </c>
      <c r="L169" s="1831">
        <f t="shared" si="90"/>
        <v>17501336.584700719</v>
      </c>
      <c r="M169" s="1831">
        <f t="shared" si="90"/>
        <v>5577918.4179910654</v>
      </c>
      <c r="N169" s="1831">
        <f t="shared" si="90"/>
        <v>3829519.3812289559</v>
      </c>
      <c r="O169" s="1831">
        <f t="shared" si="90"/>
        <v>7794511.3331782818</v>
      </c>
      <c r="P169" s="1831">
        <f t="shared" si="90"/>
        <v>4943987.88891437</v>
      </c>
      <c r="Q169" s="3596"/>
      <c r="R169" s="3597"/>
      <c r="S169" s="3597"/>
      <c r="T169" s="3597"/>
      <c r="U169" s="3597"/>
      <c r="V169" s="3597"/>
      <c r="W169"/>
      <c r="X169"/>
      <c r="Y169"/>
      <c r="Z169"/>
      <c r="AA169"/>
      <c r="AB169"/>
      <c r="AC169"/>
      <c r="AD169"/>
      <c r="AE169"/>
      <c r="AF169"/>
      <c r="AG169"/>
      <c r="AH169"/>
    </row>
    <row r="170" spans="2:34" s="69" customFormat="1" ht="32.25" customHeight="1" thickBot="1">
      <c r="B170" s="75"/>
      <c r="C170" s="75"/>
      <c r="D170" s="348"/>
      <c r="E170" s="4341" t="s">
        <v>127</v>
      </c>
      <c r="F170" s="4342"/>
      <c r="G170" s="4458"/>
      <c r="H170" s="4459"/>
      <c r="I170" s="4459"/>
      <c r="J170" s="4459"/>
      <c r="K170" s="4459"/>
      <c r="L170" s="4459"/>
      <c r="M170" s="4459"/>
      <c r="N170" s="4459"/>
      <c r="O170" s="4459"/>
      <c r="P170" s="4460"/>
      <c r="Q170" s="3596"/>
      <c r="R170" s="3597"/>
      <c r="S170" s="3597"/>
      <c r="T170" s="3597"/>
      <c r="U170" s="3597"/>
      <c r="V170" s="3597"/>
      <c r="W170"/>
      <c r="X170"/>
      <c r="Y170"/>
      <c r="Z170"/>
      <c r="AA170"/>
      <c r="AB170"/>
      <c r="AC170"/>
      <c r="AD170"/>
      <c r="AE170"/>
      <c r="AF170"/>
      <c r="AG170"/>
      <c r="AH170"/>
    </row>
    <row r="171" spans="2:34" s="65" customFormat="1">
      <c r="D171" s="282"/>
      <c r="E171" s="77"/>
      <c r="F171" s="501"/>
      <c r="L171" s="143"/>
      <c r="M171" s="143"/>
      <c r="N171" s="143"/>
      <c r="O171" s="143"/>
      <c r="P171" s="143"/>
      <c r="Q171" s="140"/>
      <c r="R171" s="140"/>
      <c r="S171" s="140"/>
      <c r="T171" s="140"/>
      <c r="U171" s="140"/>
      <c r="V171" s="140"/>
      <c r="W171"/>
      <c r="X171"/>
      <c r="Y171"/>
      <c r="Z171"/>
      <c r="AA171"/>
      <c r="AB171"/>
      <c r="AC171"/>
      <c r="AD171"/>
      <c r="AE171"/>
      <c r="AF171"/>
      <c r="AG171"/>
      <c r="AH171"/>
    </row>
    <row r="172" spans="2:34">
      <c r="Z172"/>
      <c r="AA172"/>
      <c r="AB172"/>
      <c r="AC172"/>
      <c r="AD172"/>
      <c r="AE172"/>
      <c r="AF172"/>
      <c r="AG172"/>
      <c r="AH172"/>
    </row>
  </sheetData>
  <mergeCells count="49">
    <mergeCell ref="Z17:AD17"/>
    <mergeCell ref="AE17:AG17"/>
    <mergeCell ref="Z18:AG18"/>
    <mergeCell ref="Z19:AG19"/>
    <mergeCell ref="E134:E143"/>
    <mergeCell ref="V31:V40"/>
    <mergeCell ref="V41:V50"/>
    <mergeCell ref="V51:V60"/>
    <mergeCell ref="V61:V70"/>
    <mergeCell ref="V71:V80"/>
    <mergeCell ref="V81:V90"/>
    <mergeCell ref="E91:E100"/>
    <mergeCell ref="V91:V100"/>
    <mergeCell ref="E144:E153"/>
    <mergeCell ref="E154:E163"/>
    <mergeCell ref="E170:F170"/>
    <mergeCell ref="E164:E169"/>
    <mergeCell ref="O18:U18"/>
    <mergeCell ref="G19:N19"/>
    <mergeCell ref="G170:P170"/>
    <mergeCell ref="G130:K130"/>
    <mergeCell ref="L130:P130"/>
    <mergeCell ref="G132:P132"/>
    <mergeCell ref="E31:E40"/>
    <mergeCell ref="E41:E50"/>
    <mergeCell ref="E51:E60"/>
    <mergeCell ref="E61:E70"/>
    <mergeCell ref="E71:E80"/>
    <mergeCell ref="E81:E90"/>
    <mergeCell ref="E8:H8"/>
    <mergeCell ref="I8:K8"/>
    <mergeCell ref="E9:K9"/>
    <mergeCell ref="E10:K10"/>
    <mergeCell ref="E11:K11"/>
    <mergeCell ref="E12:K12"/>
    <mergeCell ref="G131:P131"/>
    <mergeCell ref="O19:U19"/>
    <mergeCell ref="V17:V20"/>
    <mergeCell ref="V21:V30"/>
    <mergeCell ref="E111:E120"/>
    <mergeCell ref="E121:E126"/>
    <mergeCell ref="E127:F127"/>
    <mergeCell ref="E21:E30"/>
    <mergeCell ref="E101:E110"/>
    <mergeCell ref="V101:V110"/>
    <mergeCell ref="G17:K17"/>
    <mergeCell ref="L17:P17"/>
    <mergeCell ref="Q17:U17"/>
    <mergeCell ref="G18:N18"/>
  </mergeCells>
  <pageMargins left="0.7" right="0.7" top="0.75" bottom="0.75" header="0.3" footer="0.3"/>
  <pageSetup paperSize="9" orientation="portrait" r:id="rId1"/>
  <customProperties>
    <customPr name="layoutContexts" r:id="rId2"/>
    <customPr name="SaveUndoMode" r:id="rId3"/>
  </customProperties>
  <drawing r:id="rId4"/>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tabColor rgb="FF92D050"/>
    <pageSetUpPr autoPageBreaks="0"/>
  </sheetPr>
  <dimension ref="A1:AI200"/>
  <sheetViews>
    <sheetView showGridLines="0" topLeftCell="D19" zoomScale="70" zoomScaleNormal="70" workbookViewId="0">
      <pane xSplit="3" ySplit="1" topLeftCell="H95" activePane="bottomRight" state="frozen"/>
      <selection activeCell="D19" sqref="D19"/>
      <selection pane="topRight" activeCell="G19" sqref="G19"/>
      <selection pane="bottomLeft" activeCell="D20" sqref="D20"/>
      <selection pane="bottomRight" activeCell="P114" sqref="P114"/>
    </sheetView>
  </sheetViews>
  <sheetFormatPr defaultColWidth="9.140625" defaultRowHeight="12.75" outlineLevelRow="1"/>
  <cols>
    <col min="1" max="1" width="12" style="299" hidden="1" customWidth="1"/>
    <col min="2" max="3" width="14.42578125" style="299" hidden="1" customWidth="1"/>
    <col min="4" max="4" width="14.42578125" style="299" customWidth="1"/>
    <col min="5" max="5" width="51.85546875" style="501" customWidth="1"/>
    <col min="6" max="6" width="45" style="501" customWidth="1"/>
    <col min="7" max="15" width="15.7109375" style="501" customWidth="1"/>
    <col min="16" max="16" width="17.7109375" style="501" customWidth="1"/>
    <col min="17" max="20" width="15.7109375" style="501" customWidth="1"/>
    <col min="21" max="21" width="13.5703125" style="501" bestFit="1" customWidth="1"/>
    <col min="22" max="22" width="33.140625" style="501" customWidth="1"/>
    <col min="23" max="25" width="8.7109375"/>
    <col min="26" max="33" width="15.7109375" style="501" customWidth="1"/>
    <col min="34" max="16384" width="9.140625" style="501"/>
  </cols>
  <sheetData>
    <row r="1" spans="1:33" s="217" customFormat="1" ht="24" customHeight="1">
      <c r="E1" s="2272" t="str">
        <f>IF(dms_DataQuality="backcast",INDEX(dms_Worksheet_List,MATCH(dms_Model,dms_Model_List))&amp;" BACKCAST",INDEX(dms_Worksheet_List,MATCH(dms_Model,dms_Model_List)))</f>
        <v>REGULATORY REPORTING STATEMENT</v>
      </c>
      <c r="F1" s="518"/>
      <c r="G1" s="518"/>
      <c r="H1" s="518"/>
      <c r="I1" s="518"/>
      <c r="J1" s="518"/>
      <c r="K1" s="219"/>
      <c r="L1" s="219"/>
      <c r="M1" s="219"/>
      <c r="N1" s="219"/>
      <c r="O1" s="219"/>
      <c r="P1" s="219"/>
      <c r="Q1" s="219"/>
      <c r="R1" s="219"/>
      <c r="S1" s="219"/>
      <c r="T1" s="219"/>
      <c r="U1" s="219"/>
      <c r="V1" s="219"/>
      <c r="W1" s="219"/>
      <c r="X1" s="219"/>
      <c r="Y1" s="219"/>
      <c r="Z1" s="219"/>
      <c r="AA1" s="518"/>
      <c r="AB1" s="518"/>
      <c r="AC1" s="518"/>
      <c r="AD1" s="219"/>
      <c r="AE1" s="219"/>
      <c r="AF1" s="219"/>
      <c r="AG1" s="219"/>
    </row>
    <row r="2" spans="1:33" s="217" customFormat="1" ht="24" customHeight="1">
      <c r="E2" s="2277" t="str">
        <f>INDEX(dms_TradingNameFull_List,MATCH(dms_TradingName,dms_TradingName_List))</f>
        <v>Multinet Gas (DB No.1) Pty Ltd (ACN 086 026 986), Multinet Gas (DB No.2) Pty Ltd (ACN 086 230 122)</v>
      </c>
      <c r="F2" s="220"/>
      <c r="G2" s="220"/>
      <c r="H2" s="220"/>
      <c r="I2" s="220"/>
      <c r="J2" s="220"/>
      <c r="K2" s="219"/>
      <c r="L2" s="219"/>
      <c r="M2" s="219"/>
      <c r="N2" s="219"/>
      <c r="O2" s="219"/>
      <c r="P2" s="219"/>
      <c r="Q2" s="219"/>
      <c r="R2" s="219"/>
      <c r="S2" s="219"/>
      <c r="T2" s="219"/>
      <c r="U2" s="219"/>
      <c r="V2" s="219"/>
      <c r="W2" s="219"/>
      <c r="X2" s="219"/>
      <c r="Y2" s="219"/>
      <c r="Z2" s="219"/>
      <c r="AA2" s="1267"/>
      <c r="AB2" s="1267"/>
      <c r="AC2" s="1267"/>
      <c r="AD2" s="219"/>
      <c r="AE2" s="219"/>
      <c r="AF2" s="219"/>
      <c r="AG2" s="219"/>
    </row>
    <row r="3" spans="1:33" s="217" customFormat="1" ht="24" customHeight="1">
      <c r="E3" s="2277" t="str">
        <f ca="1">IF(SUM(dms_SingleYear_Model)&gt;0,CRY,CONCATENATE(FRCP_y1," to ",dms_MultiYear_FinalYear_Result))</f>
        <v>2018 to 2022</v>
      </c>
      <c r="F3" s="221"/>
      <c r="G3" s="221"/>
      <c r="H3" s="221"/>
      <c r="I3" s="221"/>
      <c r="J3" s="221"/>
      <c r="K3" s="222" t="str">
        <f>CONCATENATE(LEFT(FRCP_y1,4),"-",LEFT(FRCP_y5,2),RIGHT(FRCP_y5,2))</f>
        <v>2018-2022</v>
      </c>
      <c r="L3" s="221"/>
      <c r="M3" s="221"/>
      <c r="N3" s="221"/>
      <c r="O3" s="221"/>
      <c r="P3" s="221"/>
      <c r="Q3" s="221"/>
      <c r="R3" s="221"/>
      <c r="S3" s="221"/>
      <c r="T3" s="221"/>
      <c r="U3" s="221"/>
      <c r="V3" s="221"/>
      <c r="W3" s="1265"/>
      <c r="X3" s="1265"/>
      <c r="Y3" s="1265"/>
      <c r="Z3" s="1265"/>
      <c r="AA3" s="1265"/>
      <c r="AB3" s="1265"/>
      <c r="AC3" s="1265"/>
      <c r="AD3" s="222" t="str">
        <f>CONCATENATE(LEFT(FRCP_y1,4),"-",LEFT(FRCP_y5,2),RIGHT(FRCP_y5,2))</f>
        <v>2018-2022</v>
      </c>
      <c r="AE3" s="1265"/>
      <c r="AF3" s="1265"/>
      <c r="AG3" s="1265"/>
    </row>
    <row r="4" spans="1:33" s="159" customFormat="1" ht="24" customHeight="1">
      <c r="B4" s="10"/>
      <c r="C4" s="12"/>
      <c r="D4"/>
      <c r="E4" s="12" t="s">
        <v>464</v>
      </c>
      <c r="F4" s="12"/>
      <c r="G4" s="12"/>
      <c r="H4" s="12"/>
      <c r="I4" s="12"/>
      <c r="J4" s="12"/>
      <c r="K4" s="12"/>
      <c r="L4" s="12"/>
      <c r="M4" s="12"/>
      <c r="N4" s="12"/>
      <c r="O4" s="12"/>
      <c r="P4" s="12"/>
      <c r="Q4" s="12"/>
      <c r="R4" s="12"/>
      <c r="S4" s="12"/>
      <c r="T4" s="12"/>
      <c r="U4" s="12"/>
      <c r="V4" s="12"/>
      <c r="W4" s="12"/>
      <c r="X4" s="12"/>
      <c r="Y4" s="12"/>
      <c r="Z4" s="12"/>
      <c r="AA4" s="12"/>
      <c r="AB4" s="12"/>
      <c r="AC4" s="12"/>
      <c r="AD4" s="12"/>
      <c r="AE4" s="12"/>
      <c r="AF4" s="12"/>
      <c r="AG4" s="12"/>
    </row>
    <row r="5" spans="1:33" ht="34.5" customHeight="1">
      <c r="B5" s="391"/>
      <c r="C5" s="391"/>
      <c r="D5" s="391"/>
      <c r="E5" s="517"/>
      <c r="F5" s="299"/>
      <c r="G5" s="299"/>
      <c r="H5" s="299"/>
      <c r="I5" s="299"/>
      <c r="J5" s="299"/>
      <c r="K5" s="299"/>
      <c r="L5" s="299"/>
      <c r="M5" s="299"/>
      <c r="N5" s="299"/>
      <c r="O5" s="299"/>
      <c r="P5" s="299"/>
      <c r="Q5" s="299"/>
      <c r="R5" s="299"/>
      <c r="S5" s="299"/>
      <c r="T5" s="299"/>
      <c r="U5" s="299"/>
      <c r="V5" s="299"/>
      <c r="W5" s="299"/>
      <c r="X5" s="299"/>
      <c r="Y5" s="299"/>
      <c r="Z5" s="299"/>
      <c r="AA5" s="299"/>
      <c r="AB5" s="299"/>
      <c r="AC5" s="299"/>
      <c r="AD5" s="299"/>
      <c r="AE5" s="299"/>
      <c r="AF5" s="299"/>
      <c r="AG5" s="299"/>
    </row>
    <row r="6" spans="1:33" ht="15.75" thickBot="1">
      <c r="A6" s="512" t="s">
        <v>192</v>
      </c>
      <c r="C6" s="392"/>
      <c r="E6" s="1378" t="s">
        <v>61</v>
      </c>
      <c r="F6" s="1378"/>
      <c r="G6" s="1378"/>
      <c r="H6"/>
      <c r="I6"/>
      <c r="J6"/>
      <c r="K6"/>
      <c r="L6" s="299"/>
      <c r="M6" s="299"/>
      <c r="N6" s="282"/>
      <c r="O6" s="282"/>
      <c r="P6" s="282"/>
      <c r="Q6" s="282"/>
      <c r="R6" s="282"/>
      <c r="S6" s="282"/>
      <c r="T6" s="299"/>
      <c r="U6" s="299"/>
      <c r="V6" s="299"/>
      <c r="Z6"/>
      <c r="AA6"/>
      <c r="AB6" s="1266"/>
      <c r="AC6" s="1266"/>
      <c r="AD6" s="1266"/>
      <c r="AE6" s="299"/>
      <c r="AF6" s="299"/>
      <c r="AG6" s="1268"/>
    </row>
    <row r="7" spans="1:33" ht="25.5" customHeight="1">
      <c r="A7" s="1008" t="s">
        <v>196</v>
      </c>
      <c r="B7" s="1003" t="s">
        <v>202</v>
      </c>
      <c r="C7" s="392"/>
      <c r="E7" s="4343" t="s">
        <v>465</v>
      </c>
      <c r="F7" s="4343"/>
      <c r="G7" s="4343"/>
      <c r="H7"/>
      <c r="I7"/>
      <c r="J7"/>
      <c r="K7"/>
      <c r="L7" s="299"/>
      <c r="M7" s="299"/>
      <c r="N7" s="282"/>
      <c r="O7" s="282"/>
      <c r="P7" s="282"/>
      <c r="Q7" s="282"/>
      <c r="R7" s="282"/>
      <c r="S7" s="282"/>
      <c r="T7" s="299"/>
      <c r="U7" s="299"/>
      <c r="V7" s="299"/>
      <c r="Z7"/>
      <c r="AA7"/>
      <c r="AB7" s="1266"/>
      <c r="AC7" s="1266"/>
      <c r="AD7" s="1266"/>
      <c r="AE7" s="299"/>
      <c r="AF7" s="299"/>
      <c r="AG7" s="1268"/>
    </row>
    <row r="8" spans="1:33" ht="53.25" customHeight="1">
      <c r="A8" s="520" t="s">
        <v>199</v>
      </c>
      <c r="B8" s="1004" t="s">
        <v>205</v>
      </c>
      <c r="E8" s="4343" t="str">
        <f>CONCATENATE("As set out in cl.6.1 of the ", dms_TradingName, " RIN, for tables  12.1 to 12.2, where the requested data is captured in the ", dms_TradingName, " capex model it is not required to be reentered in the RIN template tables. If the requested data has not been provided in the ", dms_TradingName, " RIN please enter into the tables. This may require the insertion of new lines in each table.")</f>
        <v>As set out in cl.6.1 of the Multinet Gas RIN, for tables  12.1 to 12.2, where the requested data is captured in the Multinet Gas capex model it is not required to be reentered in the RIN template tables. If the requested data has not been provided in the Multinet Gas RIN please enter into the tables. This may require the insertion of new lines in each table.</v>
      </c>
      <c r="F8" s="4343"/>
      <c r="G8" s="4343"/>
      <c r="H8"/>
      <c r="I8"/>
      <c r="J8"/>
      <c r="K8"/>
      <c r="L8" s="299"/>
      <c r="M8" s="299"/>
      <c r="N8" s="282"/>
      <c r="O8" s="282"/>
      <c r="P8" s="282"/>
      <c r="Q8" s="282"/>
      <c r="R8" s="282"/>
      <c r="S8" s="282"/>
      <c r="T8" s="299"/>
      <c r="U8" s="299"/>
      <c r="V8" s="299"/>
      <c r="Z8"/>
      <c r="AA8" s="1266"/>
      <c r="AB8" s="1266"/>
      <c r="AC8" s="1266"/>
      <c r="AD8" s="1266"/>
      <c r="AE8" s="299"/>
      <c r="AF8" s="299"/>
      <c r="AG8" s="1268"/>
    </row>
    <row r="9" spans="1:33" ht="54.75" customHeight="1">
      <c r="A9" s="520" t="s">
        <v>280</v>
      </c>
      <c r="B9" s="1004" t="s">
        <v>274</v>
      </c>
      <c r="E9" s="4343" t="s">
        <v>445</v>
      </c>
      <c r="F9" s="4343"/>
      <c r="G9" s="4343"/>
      <c r="H9"/>
      <c r="I9"/>
      <c r="J9"/>
      <c r="K9"/>
      <c r="L9" s="299"/>
      <c r="M9" s="299"/>
      <c r="N9" s="299"/>
      <c r="O9" s="299"/>
      <c r="P9" s="299"/>
      <c r="Q9" s="299"/>
      <c r="R9" s="299"/>
      <c r="S9" s="299"/>
      <c r="T9" s="299"/>
      <c r="U9" s="299"/>
      <c r="V9" s="299"/>
      <c r="Z9"/>
      <c r="AA9" s="1266"/>
      <c r="AB9" s="1266"/>
      <c r="AC9" s="1266"/>
      <c r="AD9" s="1266"/>
      <c r="AE9" s="299"/>
      <c r="AF9" s="299"/>
      <c r="AG9" s="299"/>
    </row>
    <row r="10" spans="1:33" ht="51" customHeight="1">
      <c r="A10" s="520" t="s">
        <v>281</v>
      </c>
      <c r="B10" s="1004" t="s">
        <v>647</v>
      </c>
      <c r="C10" s="392"/>
      <c r="E10" s="4343" t="str">
        <f>CONCATENATE("Subject to cl.6.1 of the ", dms_TradingName, " RIN, where linked/adjustable overhead expenditure and related party margin expenditure is not provided in the ", dms_TradingName, " capex model, overhead expenditure and related party margin expenditure should be linked to allocations derived in tabs '14. Overheads' and '15. Related party transactions'.")</f>
        <v>Subject to cl.6.1 of the Multinet Gas RIN, where linked/adjustable overhead expenditure and related party margin expenditure is not provided in the Multinet Gas capex model, overhead expenditure and related party margin expenditure should be linked to allocations derived in tabs '14. Overheads' and '15. Related party transactions'.</v>
      </c>
      <c r="F10" s="4343"/>
      <c r="G10" s="4343"/>
      <c r="H10"/>
      <c r="I10"/>
      <c r="J10"/>
      <c r="K10"/>
      <c r="L10" s="299"/>
      <c r="M10" s="299"/>
      <c r="N10" s="299"/>
      <c r="O10" s="299"/>
      <c r="P10" s="299"/>
      <c r="Q10" s="299"/>
      <c r="R10" s="299"/>
      <c r="S10" s="299"/>
      <c r="T10" s="299"/>
      <c r="U10" s="299"/>
      <c r="V10" s="299"/>
      <c r="Z10"/>
      <c r="AA10" s="1266"/>
      <c r="AB10" s="1266"/>
      <c r="AC10" s="1266"/>
      <c r="AD10" s="1266"/>
      <c r="AE10" s="299"/>
      <c r="AF10" s="299"/>
      <c r="AG10" s="299"/>
    </row>
    <row r="11" spans="1:33" ht="37.5" customHeight="1">
      <c r="A11" s="520" t="s">
        <v>282</v>
      </c>
      <c r="B11" s="1004" t="s">
        <v>283</v>
      </c>
      <c r="E11" s="4343" t="s">
        <v>161</v>
      </c>
      <c r="F11" s="4343"/>
      <c r="G11" s="4343"/>
      <c r="H11"/>
      <c r="I11"/>
      <c r="J11"/>
      <c r="K11"/>
      <c r="L11" s="299"/>
      <c r="M11" s="299"/>
      <c r="N11" s="299"/>
      <c r="O11" s="299"/>
      <c r="P11" s="299"/>
      <c r="Q11" s="299"/>
      <c r="R11" s="299"/>
      <c r="S11" s="299"/>
      <c r="T11" s="299"/>
      <c r="U11" s="299"/>
      <c r="V11" s="299"/>
      <c r="Z11"/>
      <c r="AA11" s="1266"/>
      <c r="AB11" s="1266"/>
      <c r="AC11" s="1266"/>
      <c r="AD11" s="1266"/>
      <c r="AE11" s="299"/>
      <c r="AF11" s="299"/>
      <c r="AG11" s="299"/>
    </row>
    <row r="12" spans="1:33" s="78" customFormat="1">
      <c r="A12" s="299"/>
      <c r="B12" s="299"/>
      <c r="C12" s="299"/>
      <c r="D12" s="299"/>
      <c r="E12" s="79"/>
      <c r="F12" s="299"/>
      <c r="G12" s="299"/>
      <c r="H12" s="299"/>
      <c r="I12" s="299"/>
      <c r="J12" s="299"/>
      <c r="K12" s="299"/>
      <c r="L12" s="299"/>
      <c r="M12" s="299"/>
      <c r="N12" s="299"/>
      <c r="O12" s="299"/>
      <c r="P12" s="299"/>
      <c r="Q12" s="299"/>
      <c r="R12" s="299"/>
      <c r="S12" s="299"/>
      <c r="T12" s="299"/>
      <c r="U12" s="299"/>
      <c r="V12" s="299"/>
      <c r="W12"/>
      <c r="X12"/>
      <c r="Y12"/>
      <c r="Z12" s="299"/>
      <c r="AA12" s="299"/>
      <c r="AB12" s="299"/>
      <c r="AC12" s="299"/>
      <c r="AD12" s="299"/>
      <c r="AE12" s="299"/>
      <c r="AF12" s="299"/>
      <c r="AG12" s="299"/>
    </row>
    <row r="13" spans="1:33" s="78" customFormat="1" ht="21" thickBot="1">
      <c r="A13" s="299"/>
      <c r="B13" s="299"/>
      <c r="C13" s="299"/>
      <c r="D13" s="299"/>
      <c r="E13" s="299"/>
      <c r="F13" s="516"/>
      <c r="G13" s="516"/>
      <c r="H13" s="516"/>
      <c r="I13" s="516"/>
      <c r="J13" s="516"/>
      <c r="K13" s="516"/>
      <c r="L13" s="516"/>
      <c r="M13" s="516"/>
      <c r="N13" s="516"/>
      <c r="O13" s="516"/>
      <c r="P13" s="516"/>
      <c r="Q13" s="516"/>
      <c r="R13" s="516"/>
      <c r="S13" s="516"/>
      <c r="T13" s="516"/>
      <c r="U13" s="516"/>
      <c r="V13" s="516"/>
      <c r="W13"/>
      <c r="X13"/>
      <c r="Y13"/>
      <c r="Z13" s="516"/>
      <c r="AA13" s="516"/>
      <c r="AB13" s="516"/>
      <c r="AC13" s="516"/>
      <c r="AD13" s="516"/>
      <c r="AE13" s="516"/>
      <c r="AF13" s="516"/>
      <c r="AG13" s="516"/>
    </row>
    <row r="14" spans="1:33" s="223" customFormat="1" ht="24.75" customHeight="1" thickBot="1">
      <c r="A14" s="1029" t="s">
        <v>191</v>
      </c>
      <c r="B14" s="1030" t="s">
        <v>192</v>
      </c>
      <c r="C14" s="1031" t="s">
        <v>207</v>
      </c>
      <c r="D14" s="299"/>
      <c r="E14" s="769" t="s">
        <v>512</v>
      </c>
      <c r="F14" s="769"/>
      <c r="G14" s="769"/>
      <c r="H14" s="769"/>
      <c r="I14" s="769"/>
      <c r="J14" s="769"/>
      <c r="K14" s="769"/>
      <c r="L14" s="769"/>
      <c r="M14" s="769"/>
      <c r="N14" s="769"/>
      <c r="O14" s="769"/>
      <c r="P14" s="769"/>
      <c r="Q14" s="769"/>
      <c r="R14" s="769"/>
      <c r="S14" s="769"/>
      <c r="T14" s="769"/>
      <c r="U14" s="769"/>
      <c r="V14" s="769"/>
      <c r="W14" s="1266"/>
      <c r="X14" s="1266"/>
      <c r="Y14" s="1266"/>
      <c r="Z14" s="769" t="s">
        <v>674</v>
      </c>
      <c r="AA14" s="769"/>
      <c r="AB14" s="769"/>
      <c r="AC14" s="769"/>
      <c r="AD14" s="769"/>
      <c r="AE14" s="769"/>
      <c r="AF14" s="769"/>
      <c r="AG14" s="1303"/>
    </row>
    <row r="15" spans="1:33" s="78" customFormat="1" ht="24.75" customHeight="1" thickBot="1">
      <c r="A15" s="1029" t="s">
        <v>191</v>
      </c>
      <c r="B15" s="1030" t="s">
        <v>192</v>
      </c>
      <c r="C15" s="1031" t="s">
        <v>207</v>
      </c>
      <c r="D15" s="299"/>
      <c r="E15" s="1372" t="s">
        <v>513</v>
      </c>
      <c r="F15" s="1373"/>
      <c r="G15" s="1373"/>
      <c r="H15" s="1373"/>
      <c r="I15" s="1373"/>
      <c r="J15" s="1373"/>
      <c r="K15" s="1373"/>
      <c r="L15" s="1373"/>
      <c r="M15" s="1373"/>
      <c r="N15" s="1373"/>
      <c r="O15" s="1373"/>
      <c r="P15" s="1373"/>
      <c r="Q15" s="1373"/>
      <c r="R15" s="1373"/>
      <c r="S15" s="1373"/>
      <c r="T15" s="1373"/>
      <c r="U15" s="1373"/>
      <c r="V15" s="1374"/>
      <c r="W15"/>
      <c r="X15"/>
      <c r="Y15"/>
      <c r="Z15" s="1372"/>
      <c r="AA15" s="1373"/>
      <c r="AB15" s="1373"/>
      <c r="AC15" s="1373"/>
      <c r="AD15" s="1373"/>
      <c r="AE15" s="1373"/>
      <c r="AF15" s="1373"/>
      <c r="AG15" s="1374"/>
    </row>
    <row r="16" spans="1:33" ht="15.75" customHeight="1">
      <c r="E16" s="286"/>
      <c r="F16" s="547"/>
      <c r="G16" s="4473" t="s">
        <v>36</v>
      </c>
      <c r="H16" s="4437"/>
      <c r="I16" s="4437"/>
      <c r="J16" s="4437"/>
      <c r="K16" s="4437"/>
      <c r="L16" s="4438" t="s">
        <v>37</v>
      </c>
      <c r="M16" s="4439"/>
      <c r="N16" s="4439"/>
      <c r="O16" s="4439"/>
      <c r="P16" s="4439"/>
      <c r="Q16" s="4474" t="s">
        <v>75</v>
      </c>
      <c r="R16" s="4474"/>
      <c r="S16" s="4474"/>
      <c r="T16" s="4474"/>
      <c r="U16" s="4474"/>
      <c r="V16" s="4470" t="s">
        <v>162</v>
      </c>
      <c r="Z16" s="4436" t="s">
        <v>36</v>
      </c>
      <c r="AA16" s="4437"/>
      <c r="AB16" s="4437"/>
      <c r="AC16" s="4437"/>
      <c r="AD16" s="4437"/>
      <c r="AE16" s="4438" t="s">
        <v>37</v>
      </c>
      <c r="AF16" s="4439"/>
      <c r="AG16" s="4440"/>
    </row>
    <row r="17" spans="1:33" ht="12.75" customHeight="1">
      <c r="E17" s="286"/>
      <c r="F17" s="547"/>
      <c r="G17" s="4125" t="s">
        <v>569</v>
      </c>
      <c r="H17" s="4126"/>
      <c r="I17" s="4126"/>
      <c r="J17" s="4126"/>
      <c r="K17" s="4126"/>
      <c r="L17" s="4126"/>
      <c r="M17" s="4126"/>
      <c r="N17" s="4127"/>
      <c r="O17" s="4128" t="str">
        <f>CONCATENATE("$0's, real ",dms_DollarReal)</f>
        <v>$0's, real December 2017</v>
      </c>
      <c r="P17" s="4129"/>
      <c r="Q17" s="4129"/>
      <c r="R17" s="4129"/>
      <c r="S17" s="4129"/>
      <c r="T17" s="4129"/>
      <c r="U17" s="4475"/>
      <c r="V17" s="4471"/>
      <c r="Z17" s="4125" t="str">
        <f>CONCATENATE("$0's, real ",dms_DollarReal)</f>
        <v>$0's, real December 2017</v>
      </c>
      <c r="AA17" s="4126"/>
      <c r="AB17" s="4126"/>
      <c r="AC17" s="4126"/>
      <c r="AD17" s="4126"/>
      <c r="AE17" s="4126"/>
      <c r="AF17" s="4126"/>
      <c r="AG17" s="4169"/>
    </row>
    <row r="18" spans="1:33" ht="15" customHeight="1">
      <c r="E18" s="286"/>
      <c r="F18" s="547"/>
      <c r="G18" s="4125" t="s">
        <v>56</v>
      </c>
      <c r="H18" s="4126"/>
      <c r="I18" s="4126"/>
      <c r="J18" s="4126"/>
      <c r="K18" s="4126"/>
      <c r="L18" s="4126"/>
      <c r="M18" s="4126"/>
      <c r="N18" s="4127"/>
      <c r="O18" s="4128" t="s">
        <v>57</v>
      </c>
      <c r="P18" s="4129"/>
      <c r="Q18" s="4129"/>
      <c r="R18" s="4129"/>
      <c r="S18" s="4129"/>
      <c r="T18" s="4129"/>
      <c r="U18" s="4475"/>
      <c r="V18" s="4471"/>
      <c r="Z18" s="4125" t="s">
        <v>56</v>
      </c>
      <c r="AA18" s="4126"/>
      <c r="AB18" s="4126"/>
      <c r="AC18" s="4126"/>
      <c r="AD18" s="4126"/>
      <c r="AE18" s="4126"/>
      <c r="AF18" s="4126"/>
      <c r="AG18" s="4169"/>
    </row>
    <row r="19" spans="1:33" ht="15" customHeight="1" thickBot="1">
      <c r="E19" s="548"/>
      <c r="F19" s="549"/>
      <c r="G19" s="649">
        <f t="array" ref="G19:K19">PRCP</f>
        <v>2008</v>
      </c>
      <c r="H19" s="437">
        <v>2009</v>
      </c>
      <c r="I19" s="437">
        <v>2010</v>
      </c>
      <c r="J19" s="437">
        <v>2011</v>
      </c>
      <c r="K19" s="437">
        <v>2012</v>
      </c>
      <c r="L19" s="438">
        <f>CRCP_y1</f>
        <v>2013</v>
      </c>
      <c r="M19" s="438">
        <f>CRCP_y2</f>
        <v>2014</v>
      </c>
      <c r="N19" s="438">
        <f>CRCP_y3</f>
        <v>2015</v>
      </c>
      <c r="O19" s="438">
        <f>CRCP_y4</f>
        <v>2016</v>
      </c>
      <c r="P19" s="438">
        <f>CRCP_y5</f>
        <v>2017</v>
      </c>
      <c r="Q19" s="437" t="str">
        <f t="array" ref="Q19:U19">FRCP</f>
        <v>2018</v>
      </c>
      <c r="R19" s="437">
        <v>2019</v>
      </c>
      <c r="S19" s="437">
        <v>2020</v>
      </c>
      <c r="T19" s="437">
        <v>2021</v>
      </c>
      <c r="U19" s="437">
        <v>2022</v>
      </c>
      <c r="V19" s="4472"/>
      <c r="Z19" s="1759">
        <f t="array" ref="Z19:AD19">PRCP</f>
        <v>2008</v>
      </c>
      <c r="AA19" s="1760">
        <v>2009</v>
      </c>
      <c r="AB19" s="1760">
        <v>2010</v>
      </c>
      <c r="AC19" s="1760">
        <v>2011</v>
      </c>
      <c r="AD19" s="1760">
        <v>2012</v>
      </c>
      <c r="AE19" s="1761">
        <f>CRCP_y1</f>
        <v>2013</v>
      </c>
      <c r="AF19" s="1761">
        <f>CRCP_y2</f>
        <v>2014</v>
      </c>
      <c r="AG19" s="1836">
        <f>CRCP_y3</f>
        <v>2015</v>
      </c>
    </row>
    <row r="20" spans="1:33" s="223" customFormat="1" ht="40.5" customHeight="1" thickBot="1">
      <c r="A20" s="299"/>
      <c r="B20" s="299"/>
      <c r="C20" s="299"/>
      <c r="D20" s="299"/>
      <c r="E20" s="1554" t="s">
        <v>361</v>
      </c>
      <c r="F20" s="1531"/>
      <c r="G20" s="1525"/>
      <c r="H20" s="1526"/>
      <c r="I20" s="1526"/>
      <c r="J20" s="1526"/>
      <c r="K20" s="1526"/>
      <c r="L20" s="1526"/>
      <c r="M20" s="1526"/>
      <c r="N20" s="1526"/>
      <c r="O20" s="1526"/>
      <c r="P20" s="1526"/>
      <c r="Q20" s="1526"/>
      <c r="R20" s="1526"/>
      <c r="S20" s="1526"/>
      <c r="T20" s="1526"/>
      <c r="U20" s="1526"/>
      <c r="V20" s="1527"/>
      <c r="W20" s="1266"/>
      <c r="X20" s="1266"/>
      <c r="Y20" s="1266"/>
      <c r="Z20" s="1835"/>
      <c r="AA20" s="1526"/>
      <c r="AB20" s="1526"/>
      <c r="AC20" s="1526"/>
      <c r="AD20" s="1526"/>
      <c r="AE20" s="1526"/>
      <c r="AF20" s="1526"/>
      <c r="AG20" s="1527"/>
    </row>
    <row r="21" spans="1:33" ht="12.75" customHeight="1" outlineLevel="1">
      <c r="A21" s="223"/>
      <c r="B21" s="223"/>
      <c r="C21" s="223"/>
      <c r="E21" s="4467" t="s">
        <v>1507</v>
      </c>
      <c r="F21" s="1529" t="s">
        <v>624</v>
      </c>
      <c r="G21" s="554"/>
      <c r="H21" s="554"/>
      <c r="I21" s="554"/>
      <c r="J21" s="554"/>
      <c r="K21" s="555"/>
      <c r="L21" s="564"/>
      <c r="M21" s="565"/>
      <c r="N21" s="565"/>
      <c r="O21" s="565"/>
      <c r="P21" s="566"/>
      <c r="Q21" s="565"/>
      <c r="R21" s="565"/>
      <c r="S21" s="565"/>
      <c r="T21" s="565"/>
      <c r="U21" s="566"/>
      <c r="V21" s="4464" t="s">
        <v>1508</v>
      </c>
      <c r="W21" s="1266"/>
      <c r="X21" s="1266"/>
      <c r="Y21" s="1266"/>
      <c r="Z21" s="553"/>
      <c r="AA21" s="554"/>
      <c r="AB21" s="554"/>
      <c r="AC21" s="554"/>
      <c r="AD21" s="555"/>
      <c r="AE21" s="564"/>
      <c r="AF21" s="565"/>
      <c r="AG21" s="566"/>
    </row>
    <row r="22" spans="1:33" ht="12.75" customHeight="1" outlineLevel="1">
      <c r="A22" s="223"/>
      <c r="B22" s="223"/>
      <c r="C22" s="223"/>
      <c r="E22" s="4468"/>
      <c r="F22" s="1511" t="s">
        <v>585</v>
      </c>
      <c r="G22" s="495"/>
      <c r="H22" s="495"/>
      <c r="I22" s="495"/>
      <c r="J22" s="495"/>
      <c r="K22" s="556"/>
      <c r="L22" s="486"/>
      <c r="M22" s="485"/>
      <c r="N22" s="485"/>
      <c r="O22" s="485"/>
      <c r="P22" s="487"/>
      <c r="Q22" s="444"/>
      <c r="R22" s="485"/>
      <c r="S22" s="485"/>
      <c r="T22" s="485"/>
      <c r="U22" s="487"/>
      <c r="V22" s="4465"/>
      <c r="W22" s="1266"/>
      <c r="X22" s="1266"/>
      <c r="Y22" s="1266"/>
      <c r="Z22" s="497"/>
      <c r="AA22" s="495"/>
      <c r="AB22" s="495"/>
      <c r="AC22" s="495"/>
      <c r="AD22" s="556"/>
      <c r="AE22" s="489"/>
      <c r="AF22" s="490"/>
      <c r="AG22" s="491"/>
    </row>
    <row r="23" spans="1:33" ht="12.75" customHeight="1" outlineLevel="1">
      <c r="A23" s="501"/>
      <c r="B23" s="501"/>
      <c r="C23" s="501"/>
      <c r="E23" s="4468"/>
      <c r="F23" s="1511" t="s">
        <v>584</v>
      </c>
      <c r="G23" s="495"/>
      <c r="H23" s="495"/>
      <c r="I23" s="495"/>
      <c r="J23" s="495"/>
      <c r="K23" s="556"/>
      <c r="L23" s="486">
        <v>18701579</v>
      </c>
      <c r="M23" s="485">
        <v>32351</v>
      </c>
      <c r="N23" s="485">
        <v>2302918</v>
      </c>
      <c r="O23" s="485">
        <f>'[4]12. IT'!O23/'[4]12. IT'!$O$101*'[5]2. Capex'!$C$40*1000</f>
        <v>531008.4766779847</v>
      </c>
      <c r="P23" s="487">
        <f>O23/$O$101*'[8]Chapter 6'!$F$10*1000000</f>
        <v>441362.2672036654</v>
      </c>
      <c r="Q23" s="444">
        <v>851476</v>
      </c>
      <c r="R23" s="485">
        <v>1162030</v>
      </c>
      <c r="S23" s="485">
        <v>1935233</v>
      </c>
      <c r="T23" s="485">
        <v>2676056</v>
      </c>
      <c r="U23" s="487">
        <v>745405</v>
      </c>
      <c r="V23" s="4465"/>
      <c r="W23" s="1266"/>
      <c r="X23" s="1266"/>
      <c r="Y23" s="1266"/>
      <c r="Z23" s="497"/>
      <c r="AA23" s="495"/>
      <c r="AB23" s="495"/>
      <c r="AC23" s="495"/>
      <c r="AD23" s="556"/>
      <c r="AE23" s="489"/>
      <c r="AF23" s="490"/>
      <c r="AG23" s="491"/>
    </row>
    <row r="24" spans="1:33" ht="12.75" customHeight="1" outlineLevel="1">
      <c r="A24" s="501"/>
      <c r="B24" s="501"/>
      <c r="C24" s="501"/>
      <c r="E24" s="4468"/>
      <c r="F24" s="1511" t="s">
        <v>604</v>
      </c>
      <c r="G24" s="495"/>
      <c r="H24" s="495"/>
      <c r="I24" s="495"/>
      <c r="J24" s="495"/>
      <c r="K24" s="556"/>
      <c r="L24" s="486"/>
      <c r="M24" s="485"/>
      <c r="N24" s="485"/>
      <c r="O24" s="485"/>
      <c r="P24" s="487"/>
      <c r="Q24" s="444"/>
      <c r="R24" s="485"/>
      <c r="S24" s="485"/>
      <c r="T24" s="485"/>
      <c r="U24" s="487"/>
      <c r="V24" s="4465"/>
      <c r="W24" s="1266"/>
      <c r="X24" s="1266"/>
      <c r="Y24" s="1266"/>
      <c r="Z24" s="497"/>
      <c r="AA24" s="495"/>
      <c r="AB24" s="495"/>
      <c r="AC24" s="495"/>
      <c r="AD24" s="556"/>
      <c r="AE24" s="489"/>
      <c r="AF24" s="490"/>
      <c r="AG24" s="491"/>
    </row>
    <row r="25" spans="1:33" ht="12.75" customHeight="1" outlineLevel="1">
      <c r="A25" s="501"/>
      <c r="B25" s="501"/>
      <c r="C25" s="501"/>
      <c r="E25" s="4468"/>
      <c r="F25" s="1528" t="s">
        <v>592</v>
      </c>
      <c r="G25" s="444">
        <v>304231</v>
      </c>
      <c r="H25" s="485">
        <v>191739</v>
      </c>
      <c r="I25" s="485">
        <v>339501</v>
      </c>
      <c r="J25" s="485"/>
      <c r="K25" s="487">
        <v>6088967</v>
      </c>
      <c r="L25" s="384">
        <f>SUM(L22:L24)</f>
        <v>18701579</v>
      </c>
      <c r="M25" s="385">
        <f>SUM(M22:M24)</f>
        <v>32351</v>
      </c>
      <c r="N25" s="385">
        <f t="shared" ref="N25:P25" si="0">SUM(N22:N24)</f>
        <v>2302918</v>
      </c>
      <c r="O25" s="385">
        <f t="shared" si="0"/>
        <v>531008.4766779847</v>
      </c>
      <c r="P25" s="477">
        <f t="shared" si="0"/>
        <v>441362.2672036654</v>
      </c>
      <c r="Q25" s="474">
        <f>SUM(Q22:Q24)</f>
        <v>851476</v>
      </c>
      <c r="R25" s="385">
        <f>SUM(R22:R24)</f>
        <v>1162030</v>
      </c>
      <c r="S25" s="385">
        <f>SUM(S22:S24)</f>
        <v>1935233</v>
      </c>
      <c r="T25" s="385">
        <f>SUM(T22:T24)</f>
        <v>2676056</v>
      </c>
      <c r="U25" s="477">
        <f>SUM(U22:U24)</f>
        <v>745405</v>
      </c>
      <c r="V25" s="4465"/>
      <c r="W25" s="1266"/>
      <c r="X25" s="1266"/>
      <c r="Y25" s="1266"/>
      <c r="Z25" s="489"/>
      <c r="AA25" s="490"/>
      <c r="AB25" s="490"/>
      <c r="AC25" s="490"/>
      <c r="AD25" s="491"/>
      <c r="AE25" s="384"/>
      <c r="AF25" s="385">
        <f t="shared" ref="AF25:AG25" si="1">SUM(AF22:AF24)</f>
        <v>0</v>
      </c>
      <c r="AG25" s="477">
        <f t="shared" si="1"/>
        <v>0</v>
      </c>
    </row>
    <row r="26" spans="1:33" ht="12.75" customHeight="1" outlineLevel="1">
      <c r="A26" s="501"/>
      <c r="B26" s="501"/>
      <c r="C26" s="501"/>
      <c r="E26" s="4468"/>
      <c r="F26" s="1511" t="s">
        <v>609</v>
      </c>
      <c r="G26" s="444"/>
      <c r="H26" s="485"/>
      <c r="I26" s="485"/>
      <c r="J26" s="485"/>
      <c r="K26" s="487"/>
      <c r="L26" s="536"/>
      <c r="M26" s="537"/>
      <c r="N26" s="537"/>
      <c r="O26" s="537">
        <f>O25*0.15429043</f>
        <v>81929.526200291235</v>
      </c>
      <c r="P26" s="573">
        <f>P25*0.06</f>
        <v>26481.736032219924</v>
      </c>
      <c r="Q26" s="529"/>
      <c r="R26" s="504"/>
      <c r="S26" s="504"/>
      <c r="T26" s="504"/>
      <c r="U26" s="545"/>
      <c r="V26" s="4465"/>
      <c r="W26" s="1266"/>
      <c r="X26" s="1266"/>
      <c r="Y26" s="1266"/>
      <c r="Z26" s="489"/>
      <c r="AA26" s="490"/>
      <c r="AB26" s="490"/>
      <c r="AC26" s="490"/>
      <c r="AD26" s="491"/>
      <c r="AE26" s="536"/>
      <c r="AF26" s="537"/>
      <c r="AG26" s="573"/>
    </row>
    <row r="27" spans="1:33" ht="12.75" customHeight="1" outlineLevel="1">
      <c r="A27" s="501"/>
      <c r="B27" s="501"/>
      <c r="C27" s="501"/>
      <c r="E27" s="4468"/>
      <c r="F27" s="1511" t="s">
        <v>607</v>
      </c>
      <c r="G27" s="444"/>
      <c r="H27" s="485"/>
      <c r="I27" s="485"/>
      <c r="J27" s="485"/>
      <c r="K27" s="487"/>
      <c r="L27" s="489"/>
      <c r="M27" s="490"/>
      <c r="N27" s="490"/>
      <c r="O27" s="490"/>
      <c r="P27" s="491"/>
      <c r="Q27" s="444"/>
      <c r="R27" s="485"/>
      <c r="S27" s="485"/>
      <c r="T27" s="485"/>
      <c r="U27" s="487"/>
      <c r="V27" s="4465"/>
      <c r="W27" s="1266"/>
      <c r="X27" s="1266"/>
      <c r="Y27" s="1266"/>
      <c r="Z27" s="489"/>
      <c r="AA27" s="490"/>
      <c r="AB27" s="490"/>
      <c r="AC27" s="490"/>
      <c r="AD27" s="491"/>
      <c r="AE27" s="489"/>
      <c r="AF27" s="490"/>
      <c r="AG27" s="491"/>
    </row>
    <row r="28" spans="1:33" s="883" customFormat="1" ht="12.75" customHeight="1" outlineLevel="1">
      <c r="D28" s="882"/>
      <c r="E28" s="4468"/>
      <c r="F28" s="1528" t="s">
        <v>610</v>
      </c>
      <c r="G28" s="1241">
        <v>0</v>
      </c>
      <c r="H28" s="1239">
        <v>0</v>
      </c>
      <c r="I28" s="1239">
        <v>0</v>
      </c>
      <c r="J28" s="1239">
        <v>0</v>
      </c>
      <c r="K28" s="1240">
        <v>0</v>
      </c>
      <c r="L28" s="1238">
        <f t="shared" ref="L28:T28" si="2">SUM(L26:L27)</f>
        <v>0</v>
      </c>
      <c r="M28" s="1239">
        <f t="shared" si="2"/>
        <v>0</v>
      </c>
      <c r="N28" s="1239">
        <f t="shared" si="2"/>
        <v>0</v>
      </c>
      <c r="O28" s="1239">
        <f t="shared" si="2"/>
        <v>81929.526200291235</v>
      </c>
      <c r="P28" s="1240">
        <f t="shared" si="2"/>
        <v>26481.736032219924</v>
      </c>
      <c r="Q28" s="1241">
        <f t="shared" si="2"/>
        <v>0</v>
      </c>
      <c r="R28" s="1239">
        <f t="shared" si="2"/>
        <v>0</v>
      </c>
      <c r="S28" s="1239">
        <f t="shared" si="2"/>
        <v>0</v>
      </c>
      <c r="T28" s="1239">
        <f t="shared" si="2"/>
        <v>0</v>
      </c>
      <c r="U28" s="1240">
        <f>SUM(U26:U27)</f>
        <v>0</v>
      </c>
      <c r="V28" s="4465"/>
      <c r="Z28" s="1238">
        <f t="shared" ref="Z28:AG28" si="3">SUM(Z26:Z27)</f>
        <v>0</v>
      </c>
      <c r="AA28" s="1239">
        <f t="shared" si="3"/>
        <v>0</v>
      </c>
      <c r="AB28" s="1239">
        <f t="shared" si="3"/>
        <v>0</v>
      </c>
      <c r="AC28" s="1239">
        <f t="shared" si="3"/>
        <v>0</v>
      </c>
      <c r="AD28" s="1240">
        <f t="shared" si="3"/>
        <v>0</v>
      </c>
      <c r="AE28" s="1238">
        <f t="shared" si="3"/>
        <v>0</v>
      </c>
      <c r="AF28" s="1239">
        <f t="shared" si="3"/>
        <v>0</v>
      </c>
      <c r="AG28" s="1240">
        <f t="shared" si="3"/>
        <v>0</v>
      </c>
    </row>
    <row r="29" spans="1:33" ht="12.75" customHeight="1" outlineLevel="1">
      <c r="A29" s="501"/>
      <c r="B29" s="501"/>
      <c r="C29" s="501"/>
      <c r="E29" s="4468"/>
      <c r="F29" s="1511" t="s">
        <v>35</v>
      </c>
      <c r="G29" s="444"/>
      <c r="H29" s="485"/>
      <c r="I29" s="485"/>
      <c r="J29" s="485"/>
      <c r="K29" s="487"/>
      <c r="L29" s="486"/>
      <c r="M29" s="485"/>
      <c r="N29" s="485"/>
      <c r="O29" s="485"/>
      <c r="P29" s="487"/>
      <c r="Q29" s="444"/>
      <c r="R29" s="485"/>
      <c r="S29" s="485"/>
      <c r="T29" s="485"/>
      <c r="U29" s="487"/>
      <c r="V29" s="4465"/>
      <c r="W29" s="1266"/>
      <c r="X29" s="1266"/>
      <c r="Y29" s="1266"/>
      <c r="Z29" s="489"/>
      <c r="AA29" s="490"/>
      <c r="AB29" s="490"/>
      <c r="AC29" s="490"/>
      <c r="AD29" s="491"/>
      <c r="AE29" s="489"/>
      <c r="AF29" s="490"/>
      <c r="AG29" s="491"/>
    </row>
    <row r="30" spans="1:33" s="883" customFormat="1" ht="12.75" customHeight="1" outlineLevel="1" thickBot="1">
      <c r="D30" s="882"/>
      <c r="E30" s="4469"/>
      <c r="F30" s="1530" t="s">
        <v>611</v>
      </c>
      <c r="G30" s="1246">
        <v>0</v>
      </c>
      <c r="H30" s="1244">
        <v>0</v>
      </c>
      <c r="I30" s="1244">
        <v>0</v>
      </c>
      <c r="J30" s="1244">
        <v>0</v>
      </c>
      <c r="K30" s="1245">
        <v>0</v>
      </c>
      <c r="L30" s="1535">
        <f t="shared" ref="L30" si="4">L28-L29</f>
        <v>0</v>
      </c>
      <c r="M30" s="1244">
        <f>M28-M29</f>
        <v>0</v>
      </c>
      <c r="N30" s="1244">
        <f t="shared" ref="N30:P30" si="5">N28-N29</f>
        <v>0</v>
      </c>
      <c r="O30" s="1244">
        <f t="shared" si="5"/>
        <v>81929.526200291235</v>
      </c>
      <c r="P30" s="1245">
        <f t="shared" si="5"/>
        <v>26481.736032219924</v>
      </c>
      <c r="Q30" s="1246">
        <f>Q28-Q29</f>
        <v>0</v>
      </c>
      <c r="R30" s="1244">
        <f>R28-R29</f>
        <v>0</v>
      </c>
      <c r="S30" s="1244">
        <f>S28-S29</f>
        <v>0</v>
      </c>
      <c r="T30" s="1244">
        <f>T28-T29</f>
        <v>0</v>
      </c>
      <c r="U30" s="1245">
        <f>U28-U29</f>
        <v>0</v>
      </c>
      <c r="V30" s="4466"/>
      <c r="Z30" s="1535">
        <f t="shared" ref="Z30:AE30" si="6">Z28-Z29</f>
        <v>0</v>
      </c>
      <c r="AA30" s="1244">
        <f t="shared" si="6"/>
        <v>0</v>
      </c>
      <c r="AB30" s="1244">
        <f t="shared" si="6"/>
        <v>0</v>
      </c>
      <c r="AC30" s="1244">
        <f t="shared" si="6"/>
        <v>0</v>
      </c>
      <c r="AD30" s="1245">
        <f t="shared" si="6"/>
        <v>0</v>
      </c>
      <c r="AE30" s="1535">
        <f t="shared" si="6"/>
        <v>0</v>
      </c>
      <c r="AF30" s="1244">
        <f>AF28-AF29</f>
        <v>0</v>
      </c>
      <c r="AG30" s="1245">
        <f t="shared" ref="AG30" si="7">AG28-AG29</f>
        <v>0</v>
      </c>
    </row>
    <row r="31" spans="1:33" ht="12.75" customHeight="1" outlineLevel="1">
      <c r="A31" s="223"/>
      <c r="B31" s="223"/>
      <c r="C31" s="223"/>
      <c r="E31" s="4467" t="s">
        <v>1509</v>
      </c>
      <c r="F31" s="1529" t="s">
        <v>624</v>
      </c>
      <c r="G31" s="554"/>
      <c r="H31" s="554"/>
      <c r="I31" s="554"/>
      <c r="J31" s="554"/>
      <c r="K31" s="555"/>
      <c r="L31" s="564"/>
      <c r="M31" s="565"/>
      <c r="N31" s="565"/>
      <c r="O31" s="565"/>
      <c r="P31" s="566"/>
      <c r="Q31" s="565"/>
      <c r="R31" s="565"/>
      <c r="S31" s="565"/>
      <c r="T31" s="565"/>
      <c r="U31" s="566"/>
      <c r="V31" s="4464" t="s">
        <v>1510</v>
      </c>
      <c r="W31" s="1266"/>
      <c r="X31" s="1266"/>
      <c r="Y31" s="1266"/>
      <c r="Z31" s="553"/>
      <c r="AA31" s="554"/>
      <c r="AB31" s="554"/>
      <c r="AC31" s="554"/>
      <c r="AD31" s="555"/>
      <c r="AE31" s="564"/>
      <c r="AF31" s="565"/>
      <c r="AG31" s="566"/>
    </row>
    <row r="32" spans="1:33" ht="12.75" customHeight="1" outlineLevel="1">
      <c r="A32" s="223"/>
      <c r="B32" s="223"/>
      <c r="C32" s="223"/>
      <c r="E32" s="4468"/>
      <c r="F32" s="1511" t="s">
        <v>585</v>
      </c>
      <c r="G32" s="495"/>
      <c r="H32" s="495"/>
      <c r="I32" s="495"/>
      <c r="J32" s="495"/>
      <c r="K32" s="556"/>
      <c r="L32" s="486"/>
      <c r="M32" s="485"/>
      <c r="N32" s="485"/>
      <c r="O32" s="485"/>
      <c r="P32" s="487"/>
      <c r="Q32" s="444"/>
      <c r="R32" s="485"/>
      <c r="S32" s="485"/>
      <c r="T32" s="485"/>
      <c r="U32" s="487">
        <v>0</v>
      </c>
      <c r="V32" s="4465"/>
      <c r="W32" s="1266"/>
      <c r="X32" s="1266"/>
      <c r="Y32" s="1266"/>
      <c r="Z32" s="497"/>
      <c r="AA32" s="495"/>
      <c r="AB32" s="495"/>
      <c r="AC32" s="495"/>
      <c r="AD32" s="556"/>
      <c r="AE32" s="489"/>
      <c r="AF32" s="490"/>
      <c r="AG32" s="491"/>
    </row>
    <row r="33" spans="1:33" ht="12.75" customHeight="1" outlineLevel="1">
      <c r="A33" s="501"/>
      <c r="B33" s="501"/>
      <c r="C33" s="501"/>
      <c r="E33" s="4468"/>
      <c r="F33" s="1511" t="s">
        <v>584</v>
      </c>
      <c r="G33" s="495"/>
      <c r="H33" s="495"/>
      <c r="I33" s="495"/>
      <c r="J33" s="495"/>
      <c r="K33" s="556"/>
      <c r="L33" s="486">
        <v>911041</v>
      </c>
      <c r="M33" s="485">
        <v>576725</v>
      </c>
      <c r="N33" s="485">
        <v>163661</v>
      </c>
      <c r="O33" s="485">
        <f>'[4]12. IT'!O33/'[4]12. IT'!$O$101*'[5]2. Capex'!$C$40*1000</f>
        <v>493983.5480957526</v>
      </c>
      <c r="P33" s="487">
        <f>O33/$O$101*'[8]Chapter 6'!$F$10*1000000</f>
        <v>410587.9817829497</v>
      </c>
      <c r="Q33" s="444">
        <v>944776</v>
      </c>
      <c r="R33" s="485">
        <v>1726205</v>
      </c>
      <c r="S33" s="485">
        <v>0</v>
      </c>
      <c r="T33" s="485">
        <v>102057</v>
      </c>
      <c r="U33" s="487">
        <v>0</v>
      </c>
      <c r="V33" s="4465"/>
      <c r="W33" s="1266"/>
      <c r="X33" s="1266"/>
      <c r="Y33" s="1266"/>
      <c r="Z33" s="497"/>
      <c r="AA33" s="495"/>
      <c r="AB33" s="495"/>
      <c r="AC33" s="495"/>
      <c r="AD33" s="556"/>
      <c r="AE33" s="489"/>
      <c r="AF33" s="490"/>
      <c r="AG33" s="491"/>
    </row>
    <row r="34" spans="1:33" ht="12.75" customHeight="1" outlineLevel="1">
      <c r="A34" s="501"/>
      <c r="B34" s="501"/>
      <c r="C34" s="501"/>
      <c r="E34" s="4468"/>
      <c r="F34" s="1511" t="s">
        <v>604</v>
      </c>
      <c r="G34" s="495"/>
      <c r="H34" s="495"/>
      <c r="I34" s="495"/>
      <c r="J34" s="495"/>
      <c r="K34" s="556"/>
      <c r="L34" s="486"/>
      <c r="M34" s="485"/>
      <c r="N34" s="485"/>
      <c r="O34" s="485"/>
      <c r="P34" s="487"/>
      <c r="Q34" s="444"/>
      <c r="R34" s="485"/>
      <c r="S34" s="485"/>
      <c r="T34" s="485"/>
      <c r="U34" s="487"/>
      <c r="V34" s="4465"/>
      <c r="W34" s="1266"/>
      <c r="X34" s="1266"/>
      <c r="Y34" s="1266"/>
      <c r="Z34" s="497"/>
      <c r="AA34" s="495"/>
      <c r="AB34" s="495"/>
      <c r="AC34" s="495"/>
      <c r="AD34" s="556"/>
      <c r="AE34" s="489"/>
      <c r="AF34" s="490"/>
      <c r="AG34" s="491"/>
    </row>
    <row r="35" spans="1:33" ht="12.75" customHeight="1" outlineLevel="1">
      <c r="A35" s="501"/>
      <c r="B35" s="501"/>
      <c r="C35" s="501"/>
      <c r="E35" s="4468"/>
      <c r="F35" s="1528" t="s">
        <v>592</v>
      </c>
      <c r="G35" s="444"/>
      <c r="H35" s="485"/>
      <c r="I35" s="485"/>
      <c r="J35" s="485"/>
      <c r="K35" s="487"/>
      <c r="L35" s="384">
        <f>SUM(L32:L34)</f>
        <v>911041</v>
      </c>
      <c r="M35" s="385">
        <f>SUM(M32:M34)</f>
        <v>576725</v>
      </c>
      <c r="N35" s="385">
        <f t="shared" ref="N35:T35" si="8">SUM(N32:N34)</f>
        <v>163661</v>
      </c>
      <c r="O35" s="385">
        <f t="shared" si="8"/>
        <v>493983.5480957526</v>
      </c>
      <c r="P35" s="477">
        <f t="shared" si="8"/>
        <v>410587.9817829497</v>
      </c>
      <c r="Q35" s="474">
        <f t="shared" si="8"/>
        <v>944776</v>
      </c>
      <c r="R35" s="385">
        <f t="shared" si="8"/>
        <v>1726205</v>
      </c>
      <c r="S35" s="385">
        <f t="shared" si="8"/>
        <v>0</v>
      </c>
      <c r="T35" s="385">
        <f t="shared" si="8"/>
        <v>102057</v>
      </c>
      <c r="U35" s="477">
        <f>SUM(U32:U34)</f>
        <v>0</v>
      </c>
      <c r="V35" s="4465"/>
      <c r="W35" s="1266"/>
      <c r="X35" s="1266"/>
      <c r="Y35" s="1266"/>
      <c r="Z35" s="489"/>
      <c r="AA35" s="490"/>
      <c r="AB35" s="490"/>
      <c r="AC35" s="490"/>
      <c r="AD35" s="491"/>
      <c r="AE35" s="384"/>
      <c r="AF35" s="385">
        <f t="shared" ref="AF35:AG35" si="9">SUM(AF32:AF34)</f>
        <v>0</v>
      </c>
      <c r="AG35" s="477">
        <f t="shared" si="9"/>
        <v>0</v>
      </c>
    </row>
    <row r="36" spans="1:33" ht="12.75" customHeight="1" outlineLevel="1">
      <c r="A36" s="501"/>
      <c r="B36" s="501"/>
      <c r="C36" s="501"/>
      <c r="E36" s="4468"/>
      <c r="F36" s="1511" t="s">
        <v>609</v>
      </c>
      <c r="G36" s="444"/>
      <c r="H36" s="485"/>
      <c r="I36" s="485"/>
      <c r="J36" s="485"/>
      <c r="K36" s="487"/>
      <c r="L36" s="536"/>
      <c r="M36" s="537"/>
      <c r="N36" s="537"/>
      <c r="O36" s="537">
        <f>O35*0.15429043</f>
        <v>76216.934048619354</v>
      </c>
      <c r="P36" s="573">
        <f>P35*0.06</f>
        <v>24635.278906976982</v>
      </c>
      <c r="Q36" s="529"/>
      <c r="R36" s="504"/>
      <c r="S36" s="504"/>
      <c r="T36" s="504"/>
      <c r="U36" s="545"/>
      <c r="V36" s="4465"/>
      <c r="W36" s="1266"/>
      <c r="X36" s="1266"/>
      <c r="Y36" s="1266"/>
      <c r="Z36" s="489"/>
      <c r="AA36" s="490"/>
      <c r="AB36" s="490"/>
      <c r="AC36" s="490"/>
      <c r="AD36" s="491"/>
      <c r="AE36" s="536"/>
      <c r="AF36" s="537"/>
      <c r="AG36" s="573"/>
    </row>
    <row r="37" spans="1:33" ht="12.75" customHeight="1" outlineLevel="1">
      <c r="A37" s="501"/>
      <c r="B37" s="501"/>
      <c r="C37" s="501"/>
      <c r="E37" s="4468"/>
      <c r="F37" s="1511" t="s">
        <v>607</v>
      </c>
      <c r="G37" s="444"/>
      <c r="H37" s="485"/>
      <c r="I37" s="485"/>
      <c r="J37" s="485"/>
      <c r="K37" s="487"/>
      <c r="L37" s="489"/>
      <c r="M37" s="490"/>
      <c r="N37" s="490"/>
      <c r="O37" s="490"/>
      <c r="P37" s="491"/>
      <c r="Q37" s="444"/>
      <c r="R37" s="485"/>
      <c r="S37" s="485"/>
      <c r="T37" s="485"/>
      <c r="U37" s="487"/>
      <c r="V37" s="4465"/>
      <c r="W37" s="1266"/>
      <c r="X37" s="1266"/>
      <c r="Y37" s="1266"/>
      <c r="Z37" s="489"/>
      <c r="AA37" s="490"/>
      <c r="AB37" s="490"/>
      <c r="AC37" s="490"/>
      <c r="AD37" s="491"/>
      <c r="AE37" s="489"/>
      <c r="AF37" s="490"/>
      <c r="AG37" s="491"/>
    </row>
    <row r="38" spans="1:33" s="883" customFormat="1" ht="12.75" customHeight="1" outlineLevel="1">
      <c r="D38" s="882"/>
      <c r="E38" s="4468"/>
      <c r="F38" s="1528" t="s">
        <v>610</v>
      </c>
      <c r="G38" s="1241">
        <v>0</v>
      </c>
      <c r="H38" s="1239">
        <v>0</v>
      </c>
      <c r="I38" s="1239">
        <v>0</v>
      </c>
      <c r="J38" s="1239">
        <v>0</v>
      </c>
      <c r="K38" s="1240">
        <v>0</v>
      </c>
      <c r="L38" s="1238">
        <f t="shared" ref="L38:T38" si="10">SUM(L36:L37)</f>
        <v>0</v>
      </c>
      <c r="M38" s="1239">
        <f t="shared" si="10"/>
        <v>0</v>
      </c>
      <c r="N38" s="1239">
        <f t="shared" si="10"/>
        <v>0</v>
      </c>
      <c r="O38" s="1239">
        <f t="shared" si="10"/>
        <v>76216.934048619354</v>
      </c>
      <c r="P38" s="1240">
        <f t="shared" si="10"/>
        <v>24635.278906976982</v>
      </c>
      <c r="Q38" s="1241">
        <f t="shared" si="10"/>
        <v>0</v>
      </c>
      <c r="R38" s="1239">
        <f t="shared" si="10"/>
        <v>0</v>
      </c>
      <c r="S38" s="1239">
        <f t="shared" si="10"/>
        <v>0</v>
      </c>
      <c r="T38" s="1239">
        <f t="shared" si="10"/>
        <v>0</v>
      </c>
      <c r="U38" s="1240">
        <f>SUM(U36:U37)</f>
        <v>0</v>
      </c>
      <c r="V38" s="4465"/>
      <c r="Z38" s="1238">
        <f t="shared" ref="Z38:AG38" si="11">SUM(Z36:Z37)</f>
        <v>0</v>
      </c>
      <c r="AA38" s="1239">
        <f t="shared" si="11"/>
        <v>0</v>
      </c>
      <c r="AB38" s="1239">
        <f t="shared" si="11"/>
        <v>0</v>
      </c>
      <c r="AC38" s="1239">
        <f t="shared" si="11"/>
        <v>0</v>
      </c>
      <c r="AD38" s="1240">
        <f t="shared" si="11"/>
        <v>0</v>
      </c>
      <c r="AE38" s="1238">
        <f t="shared" si="11"/>
        <v>0</v>
      </c>
      <c r="AF38" s="1239">
        <f t="shared" si="11"/>
        <v>0</v>
      </c>
      <c r="AG38" s="1240">
        <f t="shared" si="11"/>
        <v>0</v>
      </c>
    </row>
    <row r="39" spans="1:33" ht="12.75" customHeight="1" outlineLevel="1">
      <c r="A39" s="501"/>
      <c r="B39" s="501"/>
      <c r="C39" s="501"/>
      <c r="E39" s="4468"/>
      <c r="F39" s="1511" t="s">
        <v>35</v>
      </c>
      <c r="G39" s="444"/>
      <c r="H39" s="485"/>
      <c r="I39" s="485"/>
      <c r="J39" s="485"/>
      <c r="K39" s="487"/>
      <c r="L39" s="486"/>
      <c r="M39" s="485"/>
      <c r="N39" s="485"/>
      <c r="O39" s="485"/>
      <c r="P39" s="487"/>
      <c r="Q39" s="444"/>
      <c r="R39" s="485"/>
      <c r="S39" s="485"/>
      <c r="T39" s="485"/>
      <c r="U39" s="487"/>
      <c r="V39" s="4465"/>
      <c r="W39" s="1266"/>
      <c r="X39" s="1266"/>
      <c r="Y39" s="1266"/>
      <c r="Z39" s="489"/>
      <c r="AA39" s="490"/>
      <c r="AB39" s="490"/>
      <c r="AC39" s="490"/>
      <c r="AD39" s="491"/>
      <c r="AE39" s="489"/>
      <c r="AF39" s="490"/>
      <c r="AG39" s="491"/>
    </row>
    <row r="40" spans="1:33" s="883" customFormat="1" ht="12.75" customHeight="1" outlineLevel="1" thickBot="1">
      <c r="D40" s="882"/>
      <c r="E40" s="4469"/>
      <c r="F40" s="1530" t="s">
        <v>611</v>
      </c>
      <c r="G40" s="1246">
        <v>0</v>
      </c>
      <c r="H40" s="1244">
        <v>0</v>
      </c>
      <c r="I40" s="1244">
        <v>0</v>
      </c>
      <c r="J40" s="1244">
        <v>0</v>
      </c>
      <c r="K40" s="1245">
        <v>0</v>
      </c>
      <c r="L40" s="1535">
        <f t="shared" ref="L40" si="12">L38-L39</f>
        <v>0</v>
      </c>
      <c r="M40" s="1244">
        <f>M38-M39</f>
        <v>0</v>
      </c>
      <c r="N40" s="1244">
        <f t="shared" ref="N40:P40" si="13">N38-N39</f>
        <v>0</v>
      </c>
      <c r="O40" s="1244">
        <f t="shared" si="13"/>
        <v>76216.934048619354</v>
      </c>
      <c r="P40" s="1245">
        <f t="shared" si="13"/>
        <v>24635.278906976982</v>
      </c>
      <c r="Q40" s="1246">
        <f>Q38-Q39</f>
        <v>0</v>
      </c>
      <c r="R40" s="1244">
        <f>R38-R39</f>
        <v>0</v>
      </c>
      <c r="S40" s="1244">
        <f>S38-S39</f>
        <v>0</v>
      </c>
      <c r="T40" s="1244">
        <f>T38-T39</f>
        <v>0</v>
      </c>
      <c r="U40" s="1245">
        <f>U38-U39</f>
        <v>0</v>
      </c>
      <c r="V40" s="4466"/>
      <c r="Z40" s="1535">
        <f t="shared" ref="Z40:AE40" si="14">Z38-Z39</f>
        <v>0</v>
      </c>
      <c r="AA40" s="1244">
        <f t="shared" si="14"/>
        <v>0</v>
      </c>
      <c r="AB40" s="1244">
        <f t="shared" si="14"/>
        <v>0</v>
      </c>
      <c r="AC40" s="1244">
        <f t="shared" si="14"/>
        <v>0</v>
      </c>
      <c r="AD40" s="1245">
        <f t="shared" si="14"/>
        <v>0</v>
      </c>
      <c r="AE40" s="1535">
        <f t="shared" si="14"/>
        <v>0</v>
      </c>
      <c r="AF40" s="1244">
        <f>AF38-AF39</f>
        <v>0</v>
      </c>
      <c r="AG40" s="1245">
        <f t="shared" ref="AG40" si="15">AG38-AG39</f>
        <v>0</v>
      </c>
    </row>
    <row r="41" spans="1:33" ht="12.75" customHeight="1" outlineLevel="1">
      <c r="A41" s="223"/>
      <c r="B41" s="223"/>
      <c r="C41" s="223"/>
      <c r="E41" s="4467" t="s">
        <v>1511</v>
      </c>
      <c r="F41" s="1529" t="s">
        <v>624</v>
      </c>
      <c r="G41" s="554"/>
      <c r="H41" s="554"/>
      <c r="I41" s="554"/>
      <c r="J41" s="554"/>
      <c r="K41" s="555"/>
      <c r="L41" s="564"/>
      <c r="M41" s="565"/>
      <c r="N41" s="565"/>
      <c r="O41" s="565"/>
      <c r="P41" s="566"/>
      <c r="Q41" s="565"/>
      <c r="R41" s="565"/>
      <c r="S41" s="565"/>
      <c r="T41" s="565"/>
      <c r="U41" s="566"/>
      <c r="V41" s="4464"/>
      <c r="W41" s="1266"/>
      <c r="X41" s="1266"/>
      <c r="Y41" s="1266"/>
      <c r="Z41" s="553"/>
      <c r="AA41" s="554"/>
      <c r="AB41" s="554"/>
      <c r="AC41" s="554"/>
      <c r="AD41" s="555"/>
      <c r="AE41" s="564"/>
      <c r="AF41" s="565"/>
      <c r="AG41" s="566"/>
    </row>
    <row r="42" spans="1:33" ht="12.75" customHeight="1" outlineLevel="1">
      <c r="A42" s="223"/>
      <c r="B42" s="223"/>
      <c r="C42" s="223"/>
      <c r="E42" s="4468"/>
      <c r="F42" s="1511" t="s">
        <v>585</v>
      </c>
      <c r="G42" s="495"/>
      <c r="H42" s="495"/>
      <c r="I42" s="495"/>
      <c r="J42" s="495"/>
      <c r="K42" s="556"/>
      <c r="L42" s="486"/>
      <c r="M42" s="485"/>
      <c r="N42" s="485"/>
      <c r="O42" s="485"/>
      <c r="P42" s="487"/>
      <c r="Q42" s="444"/>
      <c r="R42" s="485"/>
      <c r="S42" s="485"/>
      <c r="T42" s="485"/>
      <c r="U42" s="487"/>
      <c r="V42" s="4465"/>
      <c r="W42" s="1266"/>
      <c r="X42" s="1266"/>
      <c r="Y42" s="1266"/>
      <c r="Z42" s="497"/>
      <c r="AA42" s="495"/>
      <c r="AB42" s="495"/>
      <c r="AC42" s="495"/>
      <c r="AD42" s="556"/>
      <c r="AE42" s="489"/>
      <c r="AF42" s="490"/>
      <c r="AG42" s="491"/>
    </row>
    <row r="43" spans="1:33" ht="12.75" customHeight="1" outlineLevel="1">
      <c r="A43" s="501"/>
      <c r="B43" s="501"/>
      <c r="C43" s="501"/>
      <c r="E43" s="4468"/>
      <c r="F43" s="1511" t="s">
        <v>584</v>
      </c>
      <c r="G43" s="495"/>
      <c r="H43" s="495"/>
      <c r="I43" s="495"/>
      <c r="J43" s="495"/>
      <c r="K43" s="556"/>
      <c r="L43" s="486">
        <v>1096848</v>
      </c>
      <c r="M43" s="485">
        <v>2164712</v>
      </c>
      <c r="N43" s="485">
        <v>1137974</v>
      </c>
      <c r="O43" s="485">
        <f>'[4]12. IT'!O43/'[4]12. IT'!$O$101*'[5]2. Capex'!$C$40*1000</f>
        <v>2789174.3470221818</v>
      </c>
      <c r="P43" s="487">
        <f>O43/$O$101*'[8]Chapter 6'!$F$10*1000000</f>
        <v>2318298.7984098429</v>
      </c>
      <c r="Q43" s="444">
        <v>708992</v>
      </c>
      <c r="R43" s="485">
        <v>1042018</v>
      </c>
      <c r="S43" s="485">
        <v>2455435</v>
      </c>
      <c r="T43" s="485">
        <v>5118293</v>
      </c>
      <c r="U43" s="487">
        <v>1091464</v>
      </c>
      <c r="V43" s="4465"/>
      <c r="W43" s="1266"/>
      <c r="X43" s="1266"/>
      <c r="Y43" s="1266"/>
      <c r="Z43" s="497"/>
      <c r="AA43" s="495"/>
      <c r="AB43" s="495"/>
      <c r="AC43" s="495"/>
      <c r="AD43" s="556"/>
      <c r="AE43" s="489"/>
      <c r="AF43" s="490"/>
      <c r="AG43" s="491"/>
    </row>
    <row r="44" spans="1:33" ht="12.75" customHeight="1" outlineLevel="1">
      <c r="A44" s="501"/>
      <c r="B44" s="501"/>
      <c r="C44" s="501"/>
      <c r="E44" s="4468"/>
      <c r="F44" s="1511" t="s">
        <v>604</v>
      </c>
      <c r="G44" s="495"/>
      <c r="H44" s="495"/>
      <c r="I44" s="495"/>
      <c r="J44" s="495"/>
      <c r="K44" s="556"/>
      <c r="L44" s="486"/>
      <c r="M44" s="485"/>
      <c r="N44" s="485"/>
      <c r="O44" s="485"/>
      <c r="P44" s="487"/>
      <c r="Q44" s="444"/>
      <c r="R44" s="485"/>
      <c r="S44" s="485"/>
      <c r="T44" s="485"/>
      <c r="U44" s="487"/>
      <c r="V44" s="4465"/>
      <c r="W44" s="1266"/>
      <c r="X44" s="1266"/>
      <c r="Y44" s="1266"/>
      <c r="Z44" s="497"/>
      <c r="AA44" s="495"/>
      <c r="AB44" s="495"/>
      <c r="AC44" s="495"/>
      <c r="AD44" s="556"/>
      <c r="AE44" s="489"/>
      <c r="AF44" s="490"/>
      <c r="AG44" s="491"/>
    </row>
    <row r="45" spans="1:33" ht="12.75" customHeight="1" outlineLevel="1">
      <c r="A45" s="501"/>
      <c r="B45" s="501"/>
      <c r="C45" s="501"/>
      <c r="E45" s="4468"/>
      <c r="F45" s="1528" t="s">
        <v>592</v>
      </c>
      <c r="G45" s="444">
        <v>42283</v>
      </c>
      <c r="H45" s="485"/>
      <c r="I45" s="485">
        <v>4267659</v>
      </c>
      <c r="J45" s="485">
        <v>4181257</v>
      </c>
      <c r="K45" s="487">
        <v>2629902</v>
      </c>
      <c r="L45" s="384">
        <f>SUM(L42:L44)</f>
        <v>1096848</v>
      </c>
      <c r="M45" s="385">
        <f>SUM(M42:M44)</f>
        <v>2164712</v>
      </c>
      <c r="N45" s="385">
        <f t="shared" ref="N45:T45" si="16">SUM(N42:N44)</f>
        <v>1137974</v>
      </c>
      <c r="O45" s="385">
        <f t="shared" si="16"/>
        <v>2789174.3470221818</v>
      </c>
      <c r="P45" s="477">
        <f t="shared" si="16"/>
        <v>2318298.7984098429</v>
      </c>
      <c r="Q45" s="474">
        <f t="shared" si="16"/>
        <v>708992</v>
      </c>
      <c r="R45" s="385">
        <f t="shared" si="16"/>
        <v>1042018</v>
      </c>
      <c r="S45" s="385">
        <f t="shared" si="16"/>
        <v>2455435</v>
      </c>
      <c r="T45" s="385">
        <f t="shared" si="16"/>
        <v>5118293</v>
      </c>
      <c r="U45" s="477">
        <f>SUM(U42:U44)</f>
        <v>1091464</v>
      </c>
      <c r="V45" s="4465"/>
      <c r="W45" s="1266"/>
      <c r="X45" s="1266"/>
      <c r="Y45" s="1266"/>
      <c r="Z45" s="489"/>
      <c r="AA45" s="490"/>
      <c r="AB45" s="490"/>
      <c r="AC45" s="490"/>
      <c r="AD45" s="491"/>
      <c r="AE45" s="384"/>
      <c r="AF45" s="385">
        <f t="shared" ref="AF45:AG45" si="17">SUM(AF42:AF44)</f>
        <v>0</v>
      </c>
      <c r="AG45" s="477">
        <f t="shared" si="17"/>
        <v>0</v>
      </c>
    </row>
    <row r="46" spans="1:33" ht="12.75" customHeight="1" outlineLevel="1">
      <c r="A46" s="501"/>
      <c r="B46" s="501"/>
      <c r="C46" s="501"/>
      <c r="E46" s="4468"/>
      <c r="F46" s="1511" t="s">
        <v>609</v>
      </c>
      <c r="G46" s="444"/>
      <c r="H46" s="485"/>
      <c r="I46" s="485"/>
      <c r="J46" s="485"/>
      <c r="K46" s="487"/>
      <c r="L46" s="536"/>
      <c r="M46" s="537"/>
      <c r="N46" s="537"/>
      <c r="O46" s="537">
        <f>O45*0.15429043</f>
        <v>430342.90934702166</v>
      </c>
      <c r="P46" s="573">
        <f>P45*0.06</f>
        <v>139097.92790459056</v>
      </c>
      <c r="Q46" s="529"/>
      <c r="R46" s="504"/>
      <c r="S46" s="504"/>
      <c r="T46" s="504"/>
      <c r="U46" s="545"/>
      <c r="V46" s="4465"/>
      <c r="W46" s="1266"/>
      <c r="X46" s="1266"/>
      <c r="Y46" s="1266"/>
      <c r="Z46" s="489"/>
      <c r="AA46" s="490"/>
      <c r="AB46" s="490"/>
      <c r="AC46" s="490"/>
      <c r="AD46" s="491"/>
      <c r="AE46" s="536"/>
      <c r="AF46" s="537"/>
      <c r="AG46" s="573"/>
    </row>
    <row r="47" spans="1:33" ht="12.75" customHeight="1" outlineLevel="1">
      <c r="A47" s="501"/>
      <c r="B47" s="501"/>
      <c r="C47" s="501"/>
      <c r="E47" s="4468"/>
      <c r="F47" s="1511" t="s">
        <v>607</v>
      </c>
      <c r="G47" s="444"/>
      <c r="H47" s="485"/>
      <c r="I47" s="485"/>
      <c r="J47" s="485"/>
      <c r="K47" s="487"/>
      <c r="L47" s="489"/>
      <c r="M47" s="490"/>
      <c r="N47" s="490"/>
      <c r="O47" s="490"/>
      <c r="P47" s="491"/>
      <c r="Q47" s="444"/>
      <c r="R47" s="485"/>
      <c r="S47" s="485"/>
      <c r="T47" s="485"/>
      <c r="U47" s="487"/>
      <c r="V47" s="4465"/>
      <c r="W47" s="1266"/>
      <c r="X47" s="1266"/>
      <c r="Y47" s="1266"/>
      <c r="Z47" s="489"/>
      <c r="AA47" s="490"/>
      <c r="AB47" s="490"/>
      <c r="AC47" s="490"/>
      <c r="AD47" s="491"/>
      <c r="AE47" s="489"/>
      <c r="AF47" s="490"/>
      <c r="AG47" s="491"/>
    </row>
    <row r="48" spans="1:33" s="883" customFormat="1" ht="12.75" customHeight="1" outlineLevel="1">
      <c r="D48" s="882"/>
      <c r="E48" s="4468"/>
      <c r="F48" s="1528" t="s">
        <v>610</v>
      </c>
      <c r="G48" s="1241">
        <v>0</v>
      </c>
      <c r="H48" s="1239">
        <v>0</v>
      </c>
      <c r="I48" s="1239">
        <v>0</v>
      </c>
      <c r="J48" s="1239">
        <v>0</v>
      </c>
      <c r="K48" s="1240">
        <v>0</v>
      </c>
      <c r="L48" s="1238">
        <f t="shared" ref="L48:T48" si="18">SUM(L46:L47)</f>
        <v>0</v>
      </c>
      <c r="M48" s="1239">
        <f t="shared" si="18"/>
        <v>0</v>
      </c>
      <c r="N48" s="1239">
        <f t="shared" si="18"/>
        <v>0</v>
      </c>
      <c r="O48" s="1239">
        <f t="shared" si="18"/>
        <v>430342.90934702166</v>
      </c>
      <c r="P48" s="1240">
        <f t="shared" si="18"/>
        <v>139097.92790459056</v>
      </c>
      <c r="Q48" s="1241">
        <f t="shared" si="18"/>
        <v>0</v>
      </c>
      <c r="R48" s="1239">
        <f t="shared" si="18"/>
        <v>0</v>
      </c>
      <c r="S48" s="1239">
        <f t="shared" si="18"/>
        <v>0</v>
      </c>
      <c r="T48" s="1239">
        <f t="shared" si="18"/>
        <v>0</v>
      </c>
      <c r="U48" s="1240">
        <f>SUM(U46:U47)</f>
        <v>0</v>
      </c>
      <c r="V48" s="4465"/>
      <c r="Z48" s="1238">
        <f t="shared" ref="Z48:AG48" si="19">SUM(Z46:Z47)</f>
        <v>0</v>
      </c>
      <c r="AA48" s="1239">
        <f t="shared" si="19"/>
        <v>0</v>
      </c>
      <c r="AB48" s="1239">
        <f t="shared" si="19"/>
        <v>0</v>
      </c>
      <c r="AC48" s="1239">
        <f t="shared" si="19"/>
        <v>0</v>
      </c>
      <c r="AD48" s="1240">
        <f t="shared" si="19"/>
        <v>0</v>
      </c>
      <c r="AE48" s="1238">
        <f t="shared" si="19"/>
        <v>0</v>
      </c>
      <c r="AF48" s="1239">
        <f t="shared" si="19"/>
        <v>0</v>
      </c>
      <c r="AG48" s="1240">
        <f t="shared" si="19"/>
        <v>0</v>
      </c>
    </row>
    <row r="49" spans="1:33" ht="12.75" customHeight="1" outlineLevel="1">
      <c r="A49" s="501"/>
      <c r="B49" s="501"/>
      <c r="C49" s="501"/>
      <c r="E49" s="4468"/>
      <c r="F49" s="1511" t="s">
        <v>35</v>
      </c>
      <c r="G49" s="444"/>
      <c r="H49" s="485"/>
      <c r="I49" s="485"/>
      <c r="J49" s="485"/>
      <c r="K49" s="487"/>
      <c r="L49" s="486"/>
      <c r="M49" s="485"/>
      <c r="N49" s="485"/>
      <c r="O49" s="485"/>
      <c r="P49" s="487"/>
      <c r="Q49" s="444"/>
      <c r="R49" s="485"/>
      <c r="S49" s="485"/>
      <c r="T49" s="485"/>
      <c r="U49" s="487"/>
      <c r="V49" s="4465"/>
      <c r="W49" s="1266"/>
      <c r="X49" s="1266"/>
      <c r="Y49" s="1266"/>
      <c r="Z49" s="489"/>
      <c r="AA49" s="490"/>
      <c r="AB49" s="490"/>
      <c r="AC49" s="490"/>
      <c r="AD49" s="491"/>
      <c r="AE49" s="489"/>
      <c r="AF49" s="490"/>
      <c r="AG49" s="491"/>
    </row>
    <row r="50" spans="1:33" s="883" customFormat="1" ht="12.75" customHeight="1" outlineLevel="1" thickBot="1">
      <c r="D50" s="882"/>
      <c r="E50" s="4469"/>
      <c r="F50" s="1530" t="s">
        <v>611</v>
      </c>
      <c r="G50" s="1246">
        <v>0</v>
      </c>
      <c r="H50" s="1244">
        <v>0</v>
      </c>
      <c r="I50" s="1244">
        <v>0</v>
      </c>
      <c r="J50" s="1244">
        <v>0</v>
      </c>
      <c r="K50" s="1245">
        <v>0</v>
      </c>
      <c r="L50" s="1535">
        <f t="shared" ref="L50" si="20">L48-L49</f>
        <v>0</v>
      </c>
      <c r="M50" s="1244">
        <f>M48-M49</f>
        <v>0</v>
      </c>
      <c r="N50" s="1244">
        <f t="shared" ref="N50:P50" si="21">N48-N49</f>
        <v>0</v>
      </c>
      <c r="O50" s="1244">
        <f t="shared" si="21"/>
        <v>430342.90934702166</v>
      </c>
      <c r="P50" s="1245">
        <f t="shared" si="21"/>
        <v>139097.92790459056</v>
      </c>
      <c r="Q50" s="1246">
        <f>Q48-Q49</f>
        <v>0</v>
      </c>
      <c r="R50" s="1244">
        <f>R48-R49</f>
        <v>0</v>
      </c>
      <c r="S50" s="1244">
        <f>S48-S49</f>
        <v>0</v>
      </c>
      <c r="T50" s="1244">
        <f>T48-T49</f>
        <v>0</v>
      </c>
      <c r="U50" s="1245">
        <f>U48-U49</f>
        <v>0</v>
      </c>
      <c r="V50" s="4466"/>
      <c r="Z50" s="1535">
        <f t="shared" ref="Z50:AE50" si="22">Z48-Z49</f>
        <v>0</v>
      </c>
      <c r="AA50" s="1244">
        <f t="shared" si="22"/>
        <v>0</v>
      </c>
      <c r="AB50" s="1244">
        <f t="shared" si="22"/>
        <v>0</v>
      </c>
      <c r="AC50" s="1244">
        <f t="shared" si="22"/>
        <v>0</v>
      </c>
      <c r="AD50" s="1245">
        <f t="shared" si="22"/>
        <v>0</v>
      </c>
      <c r="AE50" s="1535">
        <f t="shared" si="22"/>
        <v>0</v>
      </c>
      <c r="AF50" s="1244">
        <f>AF48-AF49</f>
        <v>0</v>
      </c>
      <c r="AG50" s="1245">
        <f t="shared" ref="AG50" si="23">AG48-AG49</f>
        <v>0</v>
      </c>
    </row>
    <row r="51" spans="1:33" s="223" customFormat="1" ht="40.5" customHeight="1">
      <c r="A51" s="299"/>
      <c r="B51" s="299"/>
      <c r="C51" s="299"/>
      <c r="D51" s="299"/>
      <c r="E51" s="4467" t="s">
        <v>1512</v>
      </c>
      <c r="F51" s="1529" t="s">
        <v>624</v>
      </c>
      <c r="G51" s="554"/>
      <c r="H51" s="554"/>
      <c r="I51" s="554"/>
      <c r="J51" s="554"/>
      <c r="K51" s="555"/>
      <c r="L51" s="564"/>
      <c r="M51" s="565"/>
      <c r="N51" s="565"/>
      <c r="O51" s="565"/>
      <c r="P51" s="566"/>
      <c r="Q51" s="565"/>
      <c r="R51" s="565"/>
      <c r="S51" s="565"/>
      <c r="T51" s="565"/>
      <c r="U51" s="566"/>
      <c r="V51" s="4464"/>
      <c r="W51" s="1266"/>
      <c r="X51" s="1266"/>
      <c r="Y51" s="1266"/>
      <c r="Z51" s="553"/>
      <c r="AA51" s="554"/>
      <c r="AB51" s="554"/>
      <c r="AC51" s="554"/>
      <c r="AD51" s="555"/>
      <c r="AE51" s="564"/>
      <c r="AF51" s="565"/>
      <c r="AG51" s="566"/>
    </row>
    <row r="52" spans="1:33" ht="12.75" customHeight="1" outlineLevel="1">
      <c r="A52" s="223"/>
      <c r="B52" s="223"/>
      <c r="C52" s="223"/>
      <c r="E52" s="4468"/>
      <c r="F52" s="1511" t="s">
        <v>585</v>
      </c>
      <c r="G52" s="495"/>
      <c r="H52" s="495"/>
      <c r="I52" s="495"/>
      <c r="J52" s="495"/>
      <c r="K52" s="556"/>
      <c r="L52" s="486"/>
      <c r="M52" s="485"/>
      <c r="N52" s="485"/>
      <c r="O52" s="485"/>
      <c r="P52" s="487"/>
      <c r="Q52" s="444"/>
      <c r="R52" s="485"/>
      <c r="S52" s="485"/>
      <c r="T52" s="485"/>
      <c r="U52" s="487"/>
      <c r="V52" s="4465"/>
      <c r="W52" s="1266"/>
      <c r="X52" s="1266"/>
      <c r="Y52" s="1266"/>
      <c r="Z52" s="497"/>
      <c r="AA52" s="495"/>
      <c r="AB52" s="495"/>
      <c r="AC52" s="495"/>
      <c r="AD52" s="556"/>
      <c r="AE52" s="489"/>
      <c r="AF52" s="490"/>
      <c r="AG52" s="491"/>
    </row>
    <row r="53" spans="1:33" ht="12.75" customHeight="1" outlineLevel="1">
      <c r="A53" s="223"/>
      <c r="B53" s="223"/>
      <c r="C53" s="223"/>
      <c r="E53" s="4468"/>
      <c r="F53" s="1511" t="s">
        <v>584</v>
      </c>
      <c r="G53" s="495"/>
      <c r="H53" s="495"/>
      <c r="I53" s="495"/>
      <c r="J53" s="495"/>
      <c r="K53" s="556"/>
      <c r="L53" s="486"/>
      <c r="M53" s="485"/>
      <c r="N53" s="485"/>
      <c r="O53" s="485"/>
      <c r="P53" s="487"/>
      <c r="Q53" s="444">
        <v>5079829</v>
      </c>
      <c r="R53" s="485">
        <v>921938</v>
      </c>
      <c r="S53" s="485">
        <v>0</v>
      </c>
      <c r="T53" s="485">
        <v>0</v>
      </c>
      <c r="U53" s="487">
        <v>0</v>
      </c>
      <c r="V53" s="4465"/>
      <c r="W53" s="1266"/>
      <c r="X53" s="1266"/>
      <c r="Y53" s="1266"/>
      <c r="Z53" s="497"/>
      <c r="AA53" s="495"/>
      <c r="AB53" s="495"/>
      <c r="AC53" s="495"/>
      <c r="AD53" s="556"/>
      <c r="AE53" s="489"/>
      <c r="AF53" s="490"/>
      <c r="AG53" s="491"/>
    </row>
    <row r="54" spans="1:33" ht="12.75" customHeight="1" outlineLevel="1">
      <c r="A54" s="501"/>
      <c r="B54" s="501"/>
      <c r="C54" s="501"/>
      <c r="E54" s="4468"/>
      <c r="F54" s="1511" t="s">
        <v>604</v>
      </c>
      <c r="G54" s="495"/>
      <c r="H54" s="495"/>
      <c r="I54" s="495"/>
      <c r="J54" s="495"/>
      <c r="K54" s="556"/>
      <c r="L54" s="486"/>
      <c r="M54" s="485"/>
      <c r="N54" s="485"/>
      <c r="O54" s="485"/>
      <c r="P54" s="487"/>
      <c r="Q54" s="444"/>
      <c r="R54" s="485"/>
      <c r="S54" s="485"/>
      <c r="T54" s="485"/>
      <c r="U54" s="487"/>
      <c r="V54" s="4465"/>
      <c r="W54" s="1266"/>
      <c r="X54" s="1266"/>
      <c r="Y54" s="1266"/>
      <c r="Z54" s="497"/>
      <c r="AA54" s="495"/>
      <c r="AB54" s="495"/>
      <c r="AC54" s="495"/>
      <c r="AD54" s="556"/>
      <c r="AE54" s="489"/>
      <c r="AF54" s="490"/>
      <c r="AG54" s="491"/>
    </row>
    <row r="55" spans="1:33" ht="12.75" customHeight="1" outlineLevel="1">
      <c r="A55" s="501"/>
      <c r="B55" s="501"/>
      <c r="C55" s="501"/>
      <c r="E55" s="4468"/>
      <c r="F55" s="1528" t="s">
        <v>592</v>
      </c>
      <c r="G55" s="444"/>
      <c r="H55" s="485"/>
      <c r="I55" s="485"/>
      <c r="J55" s="485"/>
      <c r="K55" s="487"/>
      <c r="L55" s="384"/>
      <c r="M55" s="385">
        <f t="shared" ref="M55:T55" si="24">SUM(M52:M54)</f>
        <v>0</v>
      </c>
      <c r="N55" s="385">
        <f t="shared" si="24"/>
        <v>0</v>
      </c>
      <c r="O55" s="385">
        <f t="shared" si="24"/>
        <v>0</v>
      </c>
      <c r="P55" s="477">
        <f t="shared" si="24"/>
        <v>0</v>
      </c>
      <c r="Q55" s="474">
        <f t="shared" si="24"/>
        <v>5079829</v>
      </c>
      <c r="R55" s="385">
        <f t="shared" si="24"/>
        <v>921938</v>
      </c>
      <c r="S55" s="385">
        <f t="shared" si="24"/>
        <v>0</v>
      </c>
      <c r="T55" s="385">
        <f t="shared" si="24"/>
        <v>0</v>
      </c>
      <c r="U55" s="477">
        <f>SUM(U52:U54)</f>
        <v>0</v>
      </c>
      <c r="V55" s="4465"/>
      <c r="W55" s="1266"/>
      <c r="X55" s="1266"/>
      <c r="Y55" s="1266"/>
      <c r="Z55" s="489"/>
      <c r="AA55" s="490"/>
      <c r="AB55" s="490"/>
      <c r="AC55" s="490"/>
      <c r="AD55" s="491"/>
      <c r="AE55" s="384"/>
      <c r="AF55" s="385">
        <f t="shared" ref="AF55:AG55" si="25">SUM(AF52:AF54)</f>
        <v>0</v>
      </c>
      <c r="AG55" s="477">
        <f t="shared" si="25"/>
        <v>0</v>
      </c>
    </row>
    <row r="56" spans="1:33" ht="12.75" customHeight="1" outlineLevel="1">
      <c r="A56" s="501"/>
      <c r="B56" s="501"/>
      <c r="C56" s="501"/>
      <c r="E56" s="4468"/>
      <c r="F56" s="1511" t="s">
        <v>609</v>
      </c>
      <c r="G56" s="444"/>
      <c r="H56" s="485"/>
      <c r="I56" s="485"/>
      <c r="J56" s="485"/>
      <c r="K56" s="487"/>
      <c r="L56" s="536"/>
      <c r="M56" s="537"/>
      <c r="N56" s="537"/>
      <c r="O56" s="537"/>
      <c r="P56" s="573"/>
      <c r="Q56" s="529"/>
      <c r="R56" s="504"/>
      <c r="S56" s="504"/>
      <c r="T56" s="504"/>
      <c r="U56" s="545"/>
      <c r="V56" s="4465"/>
      <c r="W56" s="1266"/>
      <c r="X56" s="1266"/>
      <c r="Y56" s="1266"/>
      <c r="Z56" s="489"/>
      <c r="AA56" s="490"/>
      <c r="AB56" s="490"/>
      <c r="AC56" s="490"/>
      <c r="AD56" s="491"/>
      <c r="AE56" s="536"/>
      <c r="AF56" s="537"/>
      <c r="AG56" s="573"/>
    </row>
    <row r="57" spans="1:33" ht="12.75" customHeight="1" outlineLevel="1">
      <c r="A57" s="501"/>
      <c r="B57" s="501"/>
      <c r="C57" s="501"/>
      <c r="E57" s="4468"/>
      <c r="F57" s="1511" t="s">
        <v>607</v>
      </c>
      <c r="G57" s="444"/>
      <c r="H57" s="485"/>
      <c r="I57" s="485"/>
      <c r="J57" s="485"/>
      <c r="K57" s="487"/>
      <c r="L57" s="489"/>
      <c r="M57" s="490"/>
      <c r="N57" s="490"/>
      <c r="O57" s="490"/>
      <c r="P57" s="491"/>
      <c r="Q57" s="444"/>
      <c r="R57" s="485"/>
      <c r="S57" s="485"/>
      <c r="T57" s="485"/>
      <c r="U57" s="487"/>
      <c r="V57" s="4465"/>
      <c r="W57" s="1266"/>
      <c r="X57" s="1266"/>
      <c r="Y57" s="1266"/>
      <c r="Z57" s="489"/>
      <c r="AA57" s="490"/>
      <c r="AB57" s="490"/>
      <c r="AC57" s="490"/>
      <c r="AD57" s="491"/>
      <c r="AE57" s="489"/>
      <c r="AF57" s="490"/>
      <c r="AG57" s="491"/>
    </row>
    <row r="58" spans="1:33" ht="12.75" customHeight="1" outlineLevel="1">
      <c r="A58" s="501"/>
      <c r="B58" s="501"/>
      <c r="C58" s="501"/>
      <c r="E58" s="4468"/>
      <c r="F58" s="1528" t="s">
        <v>610</v>
      </c>
      <c r="G58" s="1241">
        <v>0</v>
      </c>
      <c r="H58" s="1239">
        <v>0</v>
      </c>
      <c r="I58" s="1239">
        <v>0</v>
      </c>
      <c r="J58" s="1239">
        <v>0</v>
      </c>
      <c r="K58" s="1240">
        <v>0</v>
      </c>
      <c r="L58" s="1238">
        <f t="shared" ref="L58:T58" si="26">SUM(L56:L57)</f>
        <v>0</v>
      </c>
      <c r="M58" s="1239">
        <f t="shared" si="26"/>
        <v>0</v>
      </c>
      <c r="N58" s="1239">
        <f t="shared" si="26"/>
        <v>0</v>
      </c>
      <c r="O58" s="1239">
        <f t="shared" si="26"/>
        <v>0</v>
      </c>
      <c r="P58" s="1240">
        <f t="shared" si="26"/>
        <v>0</v>
      </c>
      <c r="Q58" s="1241">
        <f t="shared" si="26"/>
        <v>0</v>
      </c>
      <c r="R58" s="1239">
        <f t="shared" si="26"/>
        <v>0</v>
      </c>
      <c r="S58" s="1239">
        <f t="shared" si="26"/>
        <v>0</v>
      </c>
      <c r="T58" s="1239">
        <f t="shared" si="26"/>
        <v>0</v>
      </c>
      <c r="U58" s="1240">
        <f>SUM(U56:U57)</f>
        <v>0</v>
      </c>
      <c r="V58" s="4465"/>
      <c r="W58" s="883"/>
      <c r="X58" s="883"/>
      <c r="Y58" s="883"/>
      <c r="Z58" s="1238">
        <f t="shared" ref="Z58:AG58" si="27">SUM(Z56:Z57)</f>
        <v>0</v>
      </c>
      <c r="AA58" s="1239">
        <f t="shared" si="27"/>
        <v>0</v>
      </c>
      <c r="AB58" s="1239">
        <f t="shared" si="27"/>
        <v>0</v>
      </c>
      <c r="AC58" s="1239">
        <f t="shared" si="27"/>
        <v>0</v>
      </c>
      <c r="AD58" s="1240">
        <f t="shared" si="27"/>
        <v>0</v>
      </c>
      <c r="AE58" s="1238">
        <f t="shared" si="27"/>
        <v>0</v>
      </c>
      <c r="AF58" s="1239">
        <f t="shared" si="27"/>
        <v>0</v>
      </c>
      <c r="AG58" s="1240">
        <f t="shared" si="27"/>
        <v>0</v>
      </c>
    </row>
    <row r="59" spans="1:33" s="883" customFormat="1" ht="12.75" customHeight="1" outlineLevel="1">
      <c r="D59" s="882"/>
      <c r="E59" s="4468"/>
      <c r="F59" s="1511" t="s">
        <v>35</v>
      </c>
      <c r="G59" s="444"/>
      <c r="H59" s="485"/>
      <c r="I59" s="485"/>
      <c r="J59" s="485"/>
      <c r="K59" s="487"/>
      <c r="L59" s="486"/>
      <c r="M59" s="485"/>
      <c r="N59" s="485"/>
      <c r="O59" s="485"/>
      <c r="P59" s="487"/>
      <c r="Q59" s="444"/>
      <c r="R59" s="485"/>
      <c r="S59" s="485"/>
      <c r="T59" s="485"/>
      <c r="U59" s="487"/>
      <c r="V59" s="4465"/>
      <c r="W59" s="1266"/>
      <c r="X59" s="1266"/>
      <c r="Y59" s="1266"/>
      <c r="Z59" s="489"/>
      <c r="AA59" s="490"/>
      <c r="AB59" s="490"/>
      <c r="AC59" s="490"/>
      <c r="AD59" s="491"/>
      <c r="AE59" s="489"/>
      <c r="AF59" s="490"/>
      <c r="AG59" s="491"/>
    </row>
    <row r="60" spans="1:33" ht="12.75" customHeight="1" outlineLevel="1" thickBot="1">
      <c r="A60" s="501"/>
      <c r="B60" s="501"/>
      <c r="C60" s="501"/>
      <c r="E60" s="4469"/>
      <c r="F60" s="1530" t="s">
        <v>611</v>
      </c>
      <c r="G60" s="1246">
        <v>0</v>
      </c>
      <c r="H60" s="1244">
        <v>0</v>
      </c>
      <c r="I60" s="1244">
        <v>0</v>
      </c>
      <c r="J60" s="1244">
        <v>0</v>
      </c>
      <c r="K60" s="1245">
        <v>0</v>
      </c>
      <c r="L60" s="1535">
        <f t="shared" ref="L60" si="28">L58-L59</f>
        <v>0</v>
      </c>
      <c r="M60" s="1244">
        <f>M58-M59</f>
        <v>0</v>
      </c>
      <c r="N60" s="1244">
        <f t="shared" ref="N60:P60" si="29">N58-N59</f>
        <v>0</v>
      </c>
      <c r="O60" s="1244">
        <f t="shared" si="29"/>
        <v>0</v>
      </c>
      <c r="P60" s="1245">
        <f t="shared" si="29"/>
        <v>0</v>
      </c>
      <c r="Q60" s="1246">
        <f>Q58-Q59</f>
        <v>0</v>
      </c>
      <c r="R60" s="1244">
        <f>R58-R59</f>
        <v>0</v>
      </c>
      <c r="S60" s="1244">
        <f>S58-S59</f>
        <v>0</v>
      </c>
      <c r="T60" s="1244">
        <f>T58-T59</f>
        <v>0</v>
      </c>
      <c r="U60" s="1245">
        <f>U58-U59</f>
        <v>0</v>
      </c>
      <c r="V60" s="4466"/>
      <c r="W60" s="883"/>
      <c r="X60" s="883"/>
      <c r="Y60" s="883"/>
      <c r="Z60" s="1535">
        <f t="shared" ref="Z60:AE60" si="30">Z58-Z59</f>
        <v>0</v>
      </c>
      <c r="AA60" s="1244">
        <f t="shared" si="30"/>
        <v>0</v>
      </c>
      <c r="AB60" s="1244">
        <f t="shared" si="30"/>
        <v>0</v>
      </c>
      <c r="AC60" s="1244">
        <f t="shared" si="30"/>
        <v>0</v>
      </c>
      <c r="AD60" s="1245">
        <f t="shared" si="30"/>
        <v>0</v>
      </c>
      <c r="AE60" s="1535">
        <f t="shared" si="30"/>
        <v>0</v>
      </c>
      <c r="AF60" s="1244">
        <f>AF58-AF59</f>
        <v>0</v>
      </c>
      <c r="AG60" s="1245">
        <f t="shared" ref="AG60" si="31">AG58-AG59</f>
        <v>0</v>
      </c>
    </row>
    <row r="61" spans="1:33" s="883" customFormat="1" ht="12.75" customHeight="1" outlineLevel="1">
      <c r="D61" s="882"/>
      <c r="E61" s="4467" t="s">
        <v>1513</v>
      </c>
      <c r="F61" s="1529" t="s">
        <v>624</v>
      </c>
      <c r="G61" s="554"/>
      <c r="H61" s="554"/>
      <c r="I61" s="554"/>
      <c r="J61" s="554"/>
      <c r="K61" s="555"/>
      <c r="L61" s="564"/>
      <c r="M61" s="565"/>
      <c r="N61" s="565"/>
      <c r="O61" s="565"/>
      <c r="P61" s="566"/>
      <c r="Q61" s="565"/>
      <c r="R61" s="565"/>
      <c r="S61" s="565"/>
      <c r="T61" s="565"/>
      <c r="U61" s="566"/>
      <c r="V61" s="4464"/>
      <c r="W61" s="1266"/>
      <c r="X61" s="1266"/>
      <c r="Y61" s="1266"/>
      <c r="Z61" s="553"/>
      <c r="AA61" s="554"/>
      <c r="AB61" s="554"/>
      <c r="AC61" s="554"/>
      <c r="AD61" s="555"/>
      <c r="AE61" s="564"/>
      <c r="AF61" s="565"/>
      <c r="AG61" s="566"/>
    </row>
    <row r="62" spans="1:33" ht="12.75" customHeight="1" outlineLevel="1">
      <c r="A62" s="223"/>
      <c r="B62" s="223"/>
      <c r="C62" s="223"/>
      <c r="E62" s="4468"/>
      <c r="F62" s="1511" t="s">
        <v>585</v>
      </c>
      <c r="G62" s="495"/>
      <c r="H62" s="495"/>
      <c r="I62" s="495"/>
      <c r="J62" s="495"/>
      <c r="K62" s="556"/>
      <c r="L62" s="486"/>
      <c r="M62" s="485"/>
      <c r="N62" s="485"/>
      <c r="O62" s="485"/>
      <c r="P62" s="487"/>
      <c r="Q62" s="444"/>
      <c r="R62" s="485"/>
      <c r="S62" s="485"/>
      <c r="T62" s="485"/>
      <c r="U62" s="487"/>
      <c r="V62" s="4465"/>
      <c r="W62" s="1266"/>
      <c r="X62" s="1266"/>
      <c r="Y62" s="1266"/>
      <c r="Z62" s="497"/>
      <c r="AA62" s="495"/>
      <c r="AB62" s="495"/>
      <c r="AC62" s="495"/>
      <c r="AD62" s="556"/>
      <c r="AE62" s="489"/>
      <c r="AF62" s="490"/>
      <c r="AG62" s="491"/>
    </row>
    <row r="63" spans="1:33" ht="12.75" customHeight="1" outlineLevel="1">
      <c r="A63" s="223"/>
      <c r="B63" s="223"/>
      <c r="C63" s="223"/>
      <c r="E63" s="4468"/>
      <c r="F63" s="1511" t="s">
        <v>584</v>
      </c>
      <c r="G63" s="495"/>
      <c r="H63" s="495"/>
      <c r="I63" s="495"/>
      <c r="J63" s="495"/>
      <c r="K63" s="556"/>
      <c r="L63" s="486">
        <v>922400</v>
      </c>
      <c r="M63" s="485">
        <v>561004</v>
      </c>
      <c r="N63" s="485">
        <v>616177</v>
      </c>
      <c r="O63" s="485">
        <f>'[4]12. IT'!O63/'[4]12. IT'!$O$101*'[5]2. Capex'!$C$40*1000</f>
        <v>514987.50510755577</v>
      </c>
      <c r="P63" s="487">
        <f>O63/$O$101*'[8]Chapter 6'!$F$10*1000000</f>
        <v>428045.99703907809</v>
      </c>
      <c r="Q63" s="444">
        <v>0</v>
      </c>
      <c r="R63" s="485">
        <v>0</v>
      </c>
      <c r="S63" s="485">
        <v>0</v>
      </c>
      <c r="T63" s="485">
        <v>0</v>
      </c>
      <c r="U63" s="487">
        <v>0</v>
      </c>
      <c r="V63" s="4465"/>
      <c r="W63" s="1266"/>
      <c r="X63" s="1266"/>
      <c r="Y63" s="1266"/>
      <c r="Z63" s="497"/>
      <c r="AA63" s="495"/>
      <c r="AB63" s="495"/>
      <c r="AC63" s="495"/>
      <c r="AD63" s="556"/>
      <c r="AE63" s="489"/>
      <c r="AF63" s="490"/>
      <c r="AG63" s="491"/>
    </row>
    <row r="64" spans="1:33" ht="12.75" customHeight="1" outlineLevel="1">
      <c r="A64" s="501"/>
      <c r="B64" s="501"/>
      <c r="C64" s="501"/>
      <c r="E64" s="4468"/>
      <c r="F64" s="1511" t="s">
        <v>604</v>
      </c>
      <c r="G64" s="495"/>
      <c r="H64" s="495"/>
      <c r="I64" s="495"/>
      <c r="J64" s="495"/>
      <c r="K64" s="556"/>
      <c r="L64" s="486"/>
      <c r="M64" s="485"/>
      <c r="N64" s="485"/>
      <c r="O64" s="485"/>
      <c r="P64" s="487"/>
      <c r="Q64" s="444"/>
      <c r="R64" s="485"/>
      <c r="S64" s="485"/>
      <c r="T64" s="485"/>
      <c r="U64" s="487"/>
      <c r="V64" s="4465"/>
      <c r="W64" s="1266"/>
      <c r="X64" s="1266"/>
      <c r="Y64" s="1266"/>
      <c r="Z64" s="497"/>
      <c r="AA64" s="495"/>
      <c r="AB64" s="495"/>
      <c r="AC64" s="495"/>
      <c r="AD64" s="556"/>
      <c r="AE64" s="489"/>
      <c r="AF64" s="490"/>
      <c r="AG64" s="491"/>
    </row>
    <row r="65" spans="1:33" ht="12.75" customHeight="1" outlineLevel="1">
      <c r="A65" s="501"/>
      <c r="B65" s="501"/>
      <c r="C65" s="501"/>
      <c r="E65" s="4468"/>
      <c r="F65" s="1528" t="s">
        <v>592</v>
      </c>
      <c r="G65" s="444">
        <v>4645</v>
      </c>
      <c r="H65" s="485">
        <v>720</v>
      </c>
      <c r="I65" s="485">
        <v>860112</v>
      </c>
      <c r="J65" s="485">
        <f>115565+5707.83</f>
        <v>121272.83</v>
      </c>
      <c r="K65" s="487">
        <v>232738</v>
      </c>
      <c r="L65" s="384">
        <f>SUM(L62:L64)</f>
        <v>922400</v>
      </c>
      <c r="M65" s="385">
        <f>SUM(M62:M64)</f>
        <v>561004</v>
      </c>
      <c r="N65" s="385">
        <f t="shared" ref="N65:T65" si="32">SUM(N62:N64)</f>
        <v>616177</v>
      </c>
      <c r="O65" s="385">
        <f t="shared" si="32"/>
        <v>514987.50510755577</v>
      </c>
      <c r="P65" s="477">
        <f t="shared" si="32"/>
        <v>428045.99703907809</v>
      </c>
      <c r="Q65" s="474">
        <f t="shared" si="32"/>
        <v>0</v>
      </c>
      <c r="R65" s="385">
        <f t="shared" si="32"/>
        <v>0</v>
      </c>
      <c r="S65" s="385">
        <f t="shared" si="32"/>
        <v>0</v>
      </c>
      <c r="T65" s="385">
        <f t="shared" si="32"/>
        <v>0</v>
      </c>
      <c r="U65" s="477">
        <f>SUM(U62:U64)</f>
        <v>0</v>
      </c>
      <c r="V65" s="4465"/>
      <c r="W65" s="1266"/>
      <c r="X65" s="1266"/>
      <c r="Y65" s="1266"/>
      <c r="Z65" s="489"/>
      <c r="AA65" s="490"/>
      <c r="AB65" s="490"/>
      <c r="AC65" s="490"/>
      <c r="AD65" s="491"/>
      <c r="AE65" s="384"/>
      <c r="AF65" s="385">
        <f t="shared" ref="AF65:AG65" si="33">SUM(AF62:AF64)</f>
        <v>0</v>
      </c>
      <c r="AG65" s="477">
        <f t="shared" si="33"/>
        <v>0</v>
      </c>
    </row>
    <row r="66" spans="1:33" ht="12.75" customHeight="1" outlineLevel="1">
      <c r="A66" s="501"/>
      <c r="B66" s="501"/>
      <c r="C66" s="501"/>
      <c r="E66" s="4468"/>
      <c r="F66" s="1511" t="s">
        <v>609</v>
      </c>
      <c r="G66" s="444"/>
      <c r="H66" s="485"/>
      <c r="I66" s="485"/>
      <c r="J66" s="485"/>
      <c r="K66" s="487"/>
      <c r="L66" s="536"/>
      <c r="M66" s="537"/>
      <c r="N66" s="537"/>
      <c r="O66" s="537">
        <f>O65*0.15429043</f>
        <v>79457.643607671984</v>
      </c>
      <c r="P66" s="573">
        <f>P65*0.06</f>
        <v>25682.759822344684</v>
      </c>
      <c r="Q66" s="529"/>
      <c r="R66" s="504"/>
      <c r="S66" s="504"/>
      <c r="T66" s="504"/>
      <c r="U66" s="545"/>
      <c r="V66" s="4465"/>
      <c r="W66" s="1266"/>
      <c r="X66" s="1266"/>
      <c r="Y66" s="1266"/>
      <c r="Z66" s="489"/>
      <c r="AA66" s="490"/>
      <c r="AB66" s="490"/>
      <c r="AC66" s="490"/>
      <c r="AD66" s="491"/>
      <c r="AE66" s="536"/>
      <c r="AF66" s="537"/>
      <c r="AG66" s="573"/>
    </row>
    <row r="67" spans="1:33" ht="12.75" customHeight="1" outlineLevel="1">
      <c r="A67" s="501"/>
      <c r="B67" s="501"/>
      <c r="C67" s="501"/>
      <c r="E67" s="4468"/>
      <c r="F67" s="1511" t="s">
        <v>607</v>
      </c>
      <c r="G67" s="444"/>
      <c r="H67" s="485"/>
      <c r="I67" s="485"/>
      <c r="J67" s="485"/>
      <c r="K67" s="487"/>
      <c r="L67" s="489"/>
      <c r="M67" s="490"/>
      <c r="N67" s="490"/>
      <c r="O67" s="490"/>
      <c r="P67" s="491"/>
      <c r="Q67" s="444"/>
      <c r="R67" s="485"/>
      <c r="S67" s="485"/>
      <c r="T67" s="485"/>
      <c r="U67" s="487"/>
      <c r="V67" s="4465"/>
      <c r="W67" s="1266"/>
      <c r="X67" s="1266"/>
      <c r="Y67" s="1266"/>
      <c r="Z67" s="489"/>
      <c r="AA67" s="490"/>
      <c r="AB67" s="490"/>
      <c r="AC67" s="490"/>
      <c r="AD67" s="491"/>
      <c r="AE67" s="489"/>
      <c r="AF67" s="490"/>
      <c r="AG67" s="491"/>
    </row>
    <row r="68" spans="1:33" ht="12.75" customHeight="1" outlineLevel="1">
      <c r="A68" s="501"/>
      <c r="B68" s="501"/>
      <c r="C68" s="501"/>
      <c r="E68" s="4468"/>
      <c r="F68" s="1528" t="s">
        <v>610</v>
      </c>
      <c r="G68" s="1241">
        <v>0</v>
      </c>
      <c r="H68" s="1239">
        <v>0</v>
      </c>
      <c r="I68" s="1239">
        <v>0</v>
      </c>
      <c r="J68" s="1239">
        <v>0</v>
      </c>
      <c r="K68" s="1240">
        <v>0</v>
      </c>
      <c r="L68" s="1238">
        <f t="shared" ref="L68:T68" si="34">SUM(L66:L67)</f>
        <v>0</v>
      </c>
      <c r="M68" s="1239">
        <f t="shared" si="34"/>
        <v>0</v>
      </c>
      <c r="N68" s="1239">
        <f t="shared" si="34"/>
        <v>0</v>
      </c>
      <c r="O68" s="1239">
        <f t="shared" si="34"/>
        <v>79457.643607671984</v>
      </c>
      <c r="P68" s="1240">
        <f t="shared" si="34"/>
        <v>25682.759822344684</v>
      </c>
      <c r="Q68" s="1241">
        <f t="shared" si="34"/>
        <v>0</v>
      </c>
      <c r="R68" s="1239">
        <f t="shared" si="34"/>
        <v>0</v>
      </c>
      <c r="S68" s="1239">
        <f t="shared" si="34"/>
        <v>0</v>
      </c>
      <c r="T68" s="1239">
        <f t="shared" si="34"/>
        <v>0</v>
      </c>
      <c r="U68" s="1240">
        <f>SUM(U66:U67)</f>
        <v>0</v>
      </c>
      <c r="V68" s="4465"/>
      <c r="W68" s="883"/>
      <c r="X68" s="883"/>
      <c r="Y68" s="883"/>
      <c r="Z68" s="1238">
        <f t="shared" ref="Z68:AG68" si="35">SUM(Z66:Z67)</f>
        <v>0</v>
      </c>
      <c r="AA68" s="1239">
        <f t="shared" si="35"/>
        <v>0</v>
      </c>
      <c r="AB68" s="1239">
        <f t="shared" si="35"/>
        <v>0</v>
      </c>
      <c r="AC68" s="1239">
        <f t="shared" si="35"/>
        <v>0</v>
      </c>
      <c r="AD68" s="1240">
        <f t="shared" si="35"/>
        <v>0</v>
      </c>
      <c r="AE68" s="1238">
        <f t="shared" si="35"/>
        <v>0</v>
      </c>
      <c r="AF68" s="1239">
        <f t="shared" si="35"/>
        <v>0</v>
      </c>
      <c r="AG68" s="1240">
        <f t="shared" si="35"/>
        <v>0</v>
      </c>
    </row>
    <row r="69" spans="1:33" s="883" customFormat="1" ht="12.75" customHeight="1" outlineLevel="1">
      <c r="D69" s="882"/>
      <c r="E69" s="4468"/>
      <c r="F69" s="1511" t="s">
        <v>35</v>
      </c>
      <c r="G69" s="444"/>
      <c r="H69" s="485"/>
      <c r="I69" s="485"/>
      <c r="J69" s="485"/>
      <c r="K69" s="487"/>
      <c r="L69" s="486"/>
      <c r="M69" s="485"/>
      <c r="N69" s="485"/>
      <c r="O69" s="485"/>
      <c r="P69" s="487"/>
      <c r="Q69" s="444"/>
      <c r="R69" s="485"/>
      <c r="S69" s="485"/>
      <c r="T69" s="485"/>
      <c r="U69" s="487"/>
      <c r="V69" s="4465"/>
      <c r="W69" s="1266"/>
      <c r="X69" s="1266"/>
      <c r="Y69" s="1266"/>
      <c r="Z69" s="489"/>
      <c r="AA69" s="490"/>
      <c r="AB69" s="490"/>
      <c r="AC69" s="490"/>
      <c r="AD69" s="491"/>
      <c r="AE69" s="489"/>
      <c r="AF69" s="490"/>
      <c r="AG69" s="491"/>
    </row>
    <row r="70" spans="1:33" ht="12.75" customHeight="1" outlineLevel="1" thickBot="1">
      <c r="A70" s="501"/>
      <c r="B70" s="501"/>
      <c r="C70" s="501"/>
      <c r="E70" s="4469"/>
      <c r="F70" s="1530" t="s">
        <v>611</v>
      </c>
      <c r="G70" s="1246">
        <v>0</v>
      </c>
      <c r="H70" s="1244">
        <v>0</v>
      </c>
      <c r="I70" s="1244">
        <v>0</v>
      </c>
      <c r="J70" s="1244">
        <v>0</v>
      </c>
      <c r="K70" s="1245">
        <v>0</v>
      </c>
      <c r="L70" s="1535">
        <f t="shared" ref="L70" si="36">L68-L69</f>
        <v>0</v>
      </c>
      <c r="M70" s="1244">
        <f>M68-M69</f>
        <v>0</v>
      </c>
      <c r="N70" s="1244">
        <f t="shared" ref="N70:P70" si="37">N68-N69</f>
        <v>0</v>
      </c>
      <c r="O70" s="1244">
        <f t="shared" si="37"/>
        <v>79457.643607671984</v>
      </c>
      <c r="P70" s="1245">
        <f t="shared" si="37"/>
        <v>25682.759822344684</v>
      </c>
      <c r="Q70" s="1246">
        <f>Q68-Q69</f>
        <v>0</v>
      </c>
      <c r="R70" s="1244">
        <f>R68-R69</f>
        <v>0</v>
      </c>
      <c r="S70" s="1244">
        <f>S68-S69</f>
        <v>0</v>
      </c>
      <c r="T70" s="1244">
        <f>T68-T69</f>
        <v>0</v>
      </c>
      <c r="U70" s="1245">
        <f>U68-U69</f>
        <v>0</v>
      </c>
      <c r="V70" s="4466"/>
      <c r="W70" s="883"/>
      <c r="X70" s="883"/>
      <c r="Y70" s="883"/>
      <c r="Z70" s="1535">
        <f t="shared" ref="Z70:AE70" si="38">Z68-Z69</f>
        <v>0</v>
      </c>
      <c r="AA70" s="1244">
        <f t="shared" si="38"/>
        <v>0</v>
      </c>
      <c r="AB70" s="1244">
        <f t="shared" si="38"/>
        <v>0</v>
      </c>
      <c r="AC70" s="1244">
        <f t="shared" si="38"/>
        <v>0</v>
      </c>
      <c r="AD70" s="1245">
        <f t="shared" si="38"/>
        <v>0</v>
      </c>
      <c r="AE70" s="1535">
        <f t="shared" si="38"/>
        <v>0</v>
      </c>
      <c r="AF70" s="1244">
        <f>AF68-AF69</f>
        <v>0</v>
      </c>
      <c r="AG70" s="1245">
        <f t="shared" ref="AG70" si="39">AG68-AG69</f>
        <v>0</v>
      </c>
    </row>
    <row r="71" spans="1:33" s="883" customFormat="1" ht="12.75" customHeight="1" outlineLevel="1">
      <c r="D71" s="882"/>
      <c r="E71" s="4467" t="s">
        <v>1514</v>
      </c>
      <c r="F71" s="1529" t="s">
        <v>624</v>
      </c>
      <c r="G71" s="554"/>
      <c r="H71" s="554"/>
      <c r="I71" s="554"/>
      <c r="J71" s="554"/>
      <c r="K71" s="555"/>
      <c r="L71" s="564"/>
      <c r="M71" s="565"/>
      <c r="N71" s="565"/>
      <c r="O71" s="565"/>
      <c r="P71" s="566"/>
      <c r="Q71" s="565"/>
      <c r="R71" s="565"/>
      <c r="S71" s="565"/>
      <c r="T71" s="565"/>
      <c r="U71" s="566"/>
      <c r="V71" s="4464"/>
      <c r="Z71" s="3041"/>
      <c r="AA71" s="3040"/>
      <c r="AB71" s="3040"/>
      <c r="AC71" s="3040"/>
      <c r="AD71" s="3042"/>
      <c r="AE71" s="3041"/>
      <c r="AF71" s="3040"/>
      <c r="AG71" s="3042"/>
    </row>
    <row r="72" spans="1:33" ht="12.75" customHeight="1" outlineLevel="1">
      <c r="A72" s="223"/>
      <c r="B72" s="223"/>
      <c r="C72" s="223"/>
      <c r="E72" s="4468"/>
      <c r="F72" s="1511" t="s">
        <v>585</v>
      </c>
      <c r="G72" s="495"/>
      <c r="H72" s="495"/>
      <c r="I72" s="495"/>
      <c r="J72" s="495"/>
      <c r="K72" s="556"/>
      <c r="L72" s="486"/>
      <c r="M72" s="485"/>
      <c r="N72" s="485"/>
      <c r="O72" s="485"/>
      <c r="P72" s="487"/>
      <c r="Q72" s="444"/>
      <c r="R72" s="485"/>
      <c r="S72" s="485"/>
      <c r="T72" s="485"/>
      <c r="U72" s="487"/>
      <c r="V72" s="4465"/>
      <c r="W72" s="883"/>
      <c r="X72" s="883"/>
      <c r="Y72" s="883"/>
      <c r="Z72" s="3041"/>
      <c r="AA72" s="3040"/>
      <c r="AB72" s="3040"/>
      <c r="AC72" s="3040"/>
      <c r="AD72" s="3042"/>
      <c r="AE72" s="3041"/>
      <c r="AF72" s="3040"/>
      <c r="AG72" s="3042"/>
    </row>
    <row r="73" spans="1:33" ht="12.75" customHeight="1" outlineLevel="1">
      <c r="A73" s="223"/>
      <c r="B73" s="223"/>
      <c r="C73" s="223"/>
      <c r="E73" s="4468"/>
      <c r="F73" s="1511" t="s">
        <v>584</v>
      </c>
      <c r="G73" s="495"/>
      <c r="H73" s="495"/>
      <c r="I73" s="495"/>
      <c r="J73" s="495"/>
      <c r="K73" s="556"/>
      <c r="L73" s="486">
        <v>2406308</v>
      </c>
      <c r="M73" s="3043">
        <f>-1111577</f>
        <v>-1111577</v>
      </c>
      <c r="N73" s="485">
        <v>1722753</v>
      </c>
      <c r="O73" s="485">
        <f>'[4]12. IT'!O73/'[4]12. IT'!$O$101*'[5]2. Capex'!$C$40*1000</f>
        <v>837634.85047023254</v>
      </c>
      <c r="P73" s="487">
        <f>O73/$O$101*'[8]Chapter 6'!$F$10*1000000</f>
        <v>696223.19215167558</v>
      </c>
      <c r="Q73" s="444">
        <v>27042</v>
      </c>
      <c r="R73" s="485">
        <v>433432</v>
      </c>
      <c r="S73" s="485">
        <v>4371748</v>
      </c>
      <c r="T73" s="485">
        <v>0</v>
      </c>
      <c r="U73" s="487">
        <v>568411</v>
      </c>
      <c r="V73" s="4465"/>
      <c r="W73" s="883"/>
      <c r="X73" s="883"/>
      <c r="Y73" s="883"/>
      <c r="Z73" s="3041"/>
      <c r="AA73" s="3040"/>
      <c r="AB73" s="3040"/>
      <c r="AC73" s="3040"/>
      <c r="AD73" s="3042"/>
      <c r="AE73" s="3041"/>
      <c r="AF73" s="3040"/>
      <c r="AG73" s="3042"/>
    </row>
    <row r="74" spans="1:33" ht="12.75" customHeight="1" outlineLevel="1">
      <c r="A74" s="501"/>
      <c r="B74" s="501"/>
      <c r="C74" s="501"/>
      <c r="E74" s="4468"/>
      <c r="F74" s="1511" t="s">
        <v>604</v>
      </c>
      <c r="G74" s="495"/>
      <c r="H74" s="495"/>
      <c r="I74" s="495"/>
      <c r="J74" s="495"/>
      <c r="K74" s="556"/>
      <c r="L74" s="486"/>
      <c r="M74" s="485"/>
      <c r="N74" s="485"/>
      <c r="O74" s="485"/>
      <c r="P74" s="487"/>
      <c r="Q74" s="444"/>
      <c r="R74" s="485"/>
      <c r="S74" s="485"/>
      <c r="T74" s="485"/>
      <c r="U74" s="487"/>
      <c r="V74" s="4465"/>
      <c r="W74" s="883"/>
      <c r="X74" s="883"/>
      <c r="Y74" s="883"/>
      <c r="Z74" s="3041"/>
      <c r="AA74" s="3040"/>
      <c r="AB74" s="3040"/>
      <c r="AC74" s="3040"/>
      <c r="AD74" s="3042"/>
      <c r="AE74" s="3041"/>
      <c r="AF74" s="3040"/>
      <c r="AG74" s="3042"/>
    </row>
    <row r="75" spans="1:33" ht="12.75" customHeight="1" outlineLevel="1">
      <c r="A75" s="501"/>
      <c r="B75" s="501"/>
      <c r="C75" s="501"/>
      <c r="E75" s="4468"/>
      <c r="F75" s="1528" t="s">
        <v>592</v>
      </c>
      <c r="G75" s="444">
        <v>367034</v>
      </c>
      <c r="H75" s="485">
        <v>702970</v>
      </c>
      <c r="I75" s="485">
        <v>270696</v>
      </c>
      <c r="J75" s="485">
        <v>623742</v>
      </c>
      <c r="K75" s="487">
        <v>1114180</v>
      </c>
      <c r="L75" s="384">
        <f>SUM(L72:L74)</f>
        <v>2406308</v>
      </c>
      <c r="M75" s="385">
        <f>SUM(M72:M74)</f>
        <v>-1111577</v>
      </c>
      <c r="N75" s="385">
        <f t="shared" ref="N75:T75" si="40">SUM(N72:N74)</f>
        <v>1722753</v>
      </c>
      <c r="O75" s="385">
        <f t="shared" si="40"/>
        <v>837634.85047023254</v>
      </c>
      <c r="P75" s="477">
        <f t="shared" si="40"/>
        <v>696223.19215167558</v>
      </c>
      <c r="Q75" s="474">
        <f t="shared" si="40"/>
        <v>27042</v>
      </c>
      <c r="R75" s="385">
        <f t="shared" si="40"/>
        <v>433432</v>
      </c>
      <c r="S75" s="385">
        <f t="shared" si="40"/>
        <v>4371748</v>
      </c>
      <c r="T75" s="385">
        <f t="shared" si="40"/>
        <v>0</v>
      </c>
      <c r="U75" s="477">
        <f>SUM(U72:U74)</f>
        <v>568411</v>
      </c>
      <c r="V75" s="4465"/>
      <c r="W75" s="883"/>
      <c r="X75" s="883"/>
      <c r="Y75" s="883"/>
      <c r="Z75" s="3041"/>
      <c r="AA75" s="3040"/>
      <c r="AB75" s="3040"/>
      <c r="AC75" s="3040"/>
      <c r="AD75" s="3042"/>
      <c r="AE75" s="3041"/>
      <c r="AF75" s="3040"/>
      <c r="AG75" s="3042"/>
    </row>
    <row r="76" spans="1:33" ht="12.75" customHeight="1" outlineLevel="1">
      <c r="A76" s="501"/>
      <c r="B76" s="501"/>
      <c r="C76" s="501"/>
      <c r="E76" s="4468"/>
      <c r="F76" s="1511" t="s">
        <v>609</v>
      </c>
      <c r="G76" s="444"/>
      <c r="H76" s="485"/>
      <c r="I76" s="485"/>
      <c r="J76" s="485"/>
      <c r="K76" s="487"/>
      <c r="L76" s="536"/>
      <c r="M76" s="537"/>
      <c r="N76" s="537"/>
      <c r="O76" s="537">
        <f>O75*0.15429043</f>
        <v>129239.04126203789</v>
      </c>
      <c r="P76" s="573">
        <f>P75*0.06</f>
        <v>41773.391529100532</v>
      </c>
      <c r="Q76" s="529"/>
      <c r="R76" s="504"/>
      <c r="S76" s="504"/>
      <c r="T76" s="504"/>
      <c r="U76" s="545"/>
      <c r="V76" s="4465"/>
      <c r="W76" s="883"/>
      <c r="X76" s="883"/>
      <c r="Y76" s="883"/>
      <c r="Z76" s="3041"/>
      <c r="AA76" s="3040"/>
      <c r="AB76" s="3040"/>
      <c r="AC76" s="3040"/>
      <c r="AD76" s="3042"/>
      <c r="AE76" s="3041"/>
      <c r="AF76" s="3040"/>
      <c r="AG76" s="3042"/>
    </row>
    <row r="77" spans="1:33" ht="12.75" customHeight="1" outlineLevel="1">
      <c r="A77" s="501"/>
      <c r="B77" s="501"/>
      <c r="C77" s="501"/>
      <c r="E77" s="4468"/>
      <c r="F77" s="1511" t="s">
        <v>607</v>
      </c>
      <c r="G77" s="444"/>
      <c r="H77" s="485"/>
      <c r="I77" s="485"/>
      <c r="J77" s="485"/>
      <c r="K77" s="487"/>
      <c r="L77" s="489"/>
      <c r="M77" s="490"/>
      <c r="N77" s="490"/>
      <c r="O77" s="490"/>
      <c r="P77" s="491"/>
      <c r="Q77" s="444"/>
      <c r="R77" s="485"/>
      <c r="S77" s="485"/>
      <c r="T77" s="485"/>
      <c r="U77" s="487"/>
      <c r="V77" s="4465"/>
      <c r="W77" s="883"/>
      <c r="X77" s="883"/>
      <c r="Y77" s="883"/>
      <c r="Z77" s="3041"/>
      <c r="AA77" s="3040"/>
      <c r="AB77" s="3040"/>
      <c r="AC77" s="3040"/>
      <c r="AD77" s="3042"/>
      <c r="AE77" s="3041"/>
      <c r="AF77" s="3040"/>
      <c r="AG77" s="3042"/>
    </row>
    <row r="78" spans="1:33" ht="12.75" customHeight="1" outlineLevel="1">
      <c r="A78" s="501"/>
      <c r="B78" s="501"/>
      <c r="C78" s="501"/>
      <c r="E78" s="4468"/>
      <c r="F78" s="1528" t="s">
        <v>610</v>
      </c>
      <c r="G78" s="1241">
        <v>0</v>
      </c>
      <c r="H78" s="1239">
        <v>0</v>
      </c>
      <c r="I78" s="1239">
        <v>0</v>
      </c>
      <c r="J78" s="1239">
        <v>0</v>
      </c>
      <c r="K78" s="1240">
        <v>0</v>
      </c>
      <c r="L78" s="1238">
        <f t="shared" ref="L78:T78" si="41">SUM(L76:L77)</f>
        <v>0</v>
      </c>
      <c r="M78" s="1239">
        <f t="shared" si="41"/>
        <v>0</v>
      </c>
      <c r="N78" s="1239">
        <f t="shared" si="41"/>
        <v>0</v>
      </c>
      <c r="O78" s="1239">
        <f t="shared" si="41"/>
        <v>129239.04126203789</v>
      </c>
      <c r="P78" s="1240">
        <f t="shared" si="41"/>
        <v>41773.391529100532</v>
      </c>
      <c r="Q78" s="1241">
        <f t="shared" si="41"/>
        <v>0</v>
      </c>
      <c r="R78" s="1239">
        <f t="shared" si="41"/>
        <v>0</v>
      </c>
      <c r="S78" s="1239">
        <f t="shared" si="41"/>
        <v>0</v>
      </c>
      <c r="T78" s="1239">
        <f t="shared" si="41"/>
        <v>0</v>
      </c>
      <c r="U78" s="1240">
        <f>SUM(U76:U77)</f>
        <v>0</v>
      </c>
      <c r="V78" s="4465"/>
      <c r="W78" s="883"/>
      <c r="X78" s="883"/>
      <c r="Y78" s="883"/>
      <c r="Z78" s="3041"/>
      <c r="AA78" s="3040"/>
      <c r="AB78" s="3040"/>
      <c r="AC78" s="3040"/>
      <c r="AD78" s="3042"/>
      <c r="AE78" s="3041"/>
      <c r="AF78" s="3040"/>
      <c r="AG78" s="3042"/>
    </row>
    <row r="79" spans="1:33" s="883" customFormat="1" ht="12.75" customHeight="1" outlineLevel="1">
      <c r="D79" s="882"/>
      <c r="E79" s="4468"/>
      <c r="F79" s="1511" t="s">
        <v>35</v>
      </c>
      <c r="G79" s="444"/>
      <c r="H79" s="485"/>
      <c r="I79" s="485"/>
      <c r="J79" s="485"/>
      <c r="K79" s="487"/>
      <c r="L79" s="486"/>
      <c r="M79" s="485"/>
      <c r="N79" s="485"/>
      <c r="O79" s="485"/>
      <c r="P79" s="487"/>
      <c r="Q79" s="444"/>
      <c r="R79" s="485"/>
      <c r="S79" s="485"/>
      <c r="T79" s="485"/>
      <c r="U79" s="487"/>
      <c r="V79" s="4465"/>
      <c r="Z79" s="3041"/>
      <c r="AA79" s="3040"/>
      <c r="AB79" s="3040"/>
      <c r="AC79" s="3040"/>
      <c r="AD79" s="3042"/>
      <c r="AE79" s="3041"/>
      <c r="AF79" s="3040"/>
      <c r="AG79" s="3042"/>
    </row>
    <row r="80" spans="1:33" ht="12.75" customHeight="1" outlineLevel="1" thickBot="1">
      <c r="A80" s="501"/>
      <c r="B80" s="501"/>
      <c r="C80" s="501"/>
      <c r="E80" s="4469"/>
      <c r="F80" s="1530" t="s">
        <v>611</v>
      </c>
      <c r="G80" s="1246">
        <v>0</v>
      </c>
      <c r="H80" s="1244">
        <v>0</v>
      </c>
      <c r="I80" s="1244">
        <v>0</v>
      </c>
      <c r="J80" s="1244">
        <v>0</v>
      </c>
      <c r="K80" s="1245">
        <v>0</v>
      </c>
      <c r="L80" s="1535">
        <f t="shared" ref="L80" si="42">L78-L79</f>
        <v>0</v>
      </c>
      <c r="M80" s="1244">
        <f>M78-M79</f>
        <v>0</v>
      </c>
      <c r="N80" s="1244">
        <f t="shared" ref="N80:P80" si="43">N78-N79</f>
        <v>0</v>
      </c>
      <c r="O80" s="1244">
        <f t="shared" si="43"/>
        <v>129239.04126203789</v>
      </c>
      <c r="P80" s="1245">
        <f t="shared" si="43"/>
        <v>41773.391529100532</v>
      </c>
      <c r="Q80" s="1246">
        <f>Q78-Q79</f>
        <v>0</v>
      </c>
      <c r="R80" s="1244">
        <f>R78-R79</f>
        <v>0</v>
      </c>
      <c r="S80" s="1244">
        <f>S78-S79</f>
        <v>0</v>
      </c>
      <c r="T80" s="1244">
        <f>T78-T79</f>
        <v>0</v>
      </c>
      <c r="U80" s="1245">
        <f>U78-U79</f>
        <v>0</v>
      </c>
      <c r="V80" s="4466"/>
      <c r="W80" s="883"/>
      <c r="X80" s="883"/>
      <c r="Y80" s="883"/>
      <c r="Z80" s="3041"/>
      <c r="AA80" s="3040"/>
      <c r="AB80" s="3040"/>
      <c r="AC80" s="3040"/>
      <c r="AD80" s="3042"/>
      <c r="AE80" s="3041"/>
      <c r="AF80" s="3040"/>
      <c r="AG80" s="3042"/>
    </row>
    <row r="81" spans="1:33" s="883" customFormat="1" ht="12.75" customHeight="1" outlineLevel="1">
      <c r="D81" s="882"/>
      <c r="E81" s="4467" t="s">
        <v>1515</v>
      </c>
      <c r="F81" s="1529" t="s">
        <v>624</v>
      </c>
      <c r="G81" s="554"/>
      <c r="H81" s="554"/>
      <c r="I81" s="554"/>
      <c r="J81" s="554"/>
      <c r="K81" s="555"/>
      <c r="L81" s="564"/>
      <c r="M81" s="565"/>
      <c r="N81" s="565"/>
      <c r="O81" s="565"/>
      <c r="P81" s="566"/>
      <c r="Q81" s="565"/>
      <c r="R81" s="565"/>
      <c r="S81" s="565"/>
      <c r="T81" s="565"/>
      <c r="U81" s="566"/>
      <c r="V81" s="4464"/>
      <c r="Z81" s="3041"/>
      <c r="AA81" s="3040"/>
      <c r="AB81" s="3040"/>
      <c r="AC81" s="3040"/>
      <c r="AD81" s="3042"/>
      <c r="AE81" s="3041"/>
      <c r="AF81" s="3040"/>
      <c r="AG81" s="3042"/>
    </row>
    <row r="82" spans="1:33" ht="12.75" customHeight="1">
      <c r="A82" s="501"/>
      <c r="B82" s="501"/>
      <c r="C82" s="501"/>
      <c r="E82" s="4468"/>
      <c r="F82" s="1511" t="s">
        <v>585</v>
      </c>
      <c r="G82" s="495"/>
      <c r="H82" s="495"/>
      <c r="I82" s="495"/>
      <c r="J82" s="495"/>
      <c r="K82" s="556"/>
      <c r="L82" s="486"/>
      <c r="M82" s="485"/>
      <c r="N82" s="485"/>
      <c r="O82" s="485"/>
      <c r="P82" s="487"/>
      <c r="Q82" s="444"/>
      <c r="R82" s="485"/>
      <c r="S82" s="485"/>
      <c r="T82" s="485"/>
      <c r="U82" s="487"/>
      <c r="V82" s="4465"/>
      <c r="W82" s="883"/>
      <c r="X82" s="883"/>
      <c r="Y82" s="883"/>
      <c r="Z82" s="3041"/>
      <c r="AA82" s="3040"/>
      <c r="AB82" s="3040"/>
      <c r="AC82" s="3040"/>
      <c r="AD82" s="3042"/>
      <c r="AE82" s="3041"/>
      <c r="AF82" s="3040"/>
      <c r="AG82" s="3042"/>
    </row>
    <row r="83" spans="1:33" ht="12.75" customHeight="1">
      <c r="A83" s="501"/>
      <c r="B83" s="501"/>
      <c r="C83" s="501"/>
      <c r="E83" s="4468"/>
      <c r="F83" s="1511" t="s">
        <v>584</v>
      </c>
      <c r="G83" s="495"/>
      <c r="H83" s="495"/>
      <c r="I83" s="495"/>
      <c r="J83" s="495"/>
      <c r="K83" s="556"/>
      <c r="L83" s="486">
        <v>463853</v>
      </c>
      <c r="M83" s="485">
        <v>1452655</v>
      </c>
      <c r="N83" s="485">
        <v>760965</v>
      </c>
      <c r="O83" s="485">
        <f>'[4]12. IT'!O83/'[4]12. IT'!$O$101*'[5]2. Capex'!$C$40*1000</f>
        <v>150968.68262629438</v>
      </c>
      <c r="P83" s="487">
        <f>O83/$O$101*'[8]Chapter 6'!$F$10*1000000</f>
        <v>125481.7634127881</v>
      </c>
      <c r="Q83" s="444">
        <v>2334194</v>
      </c>
      <c r="R83" s="485">
        <v>693066</v>
      </c>
      <c r="S83" s="485">
        <v>694965</v>
      </c>
      <c r="T83" s="485">
        <v>2033636</v>
      </c>
      <c r="U83" s="487">
        <v>691167</v>
      </c>
      <c r="V83" s="4465"/>
      <c r="W83" s="883"/>
      <c r="X83" s="883"/>
      <c r="Y83" s="883"/>
      <c r="Z83" s="3041"/>
      <c r="AA83" s="3040"/>
      <c r="AB83" s="3040"/>
      <c r="AC83" s="3040"/>
      <c r="AD83" s="3042"/>
      <c r="AE83" s="3041"/>
      <c r="AF83" s="3040"/>
      <c r="AG83" s="3042"/>
    </row>
    <row r="84" spans="1:33" ht="12.75" customHeight="1">
      <c r="A84" s="501"/>
      <c r="B84" s="501"/>
      <c r="C84" s="501"/>
      <c r="E84" s="4468"/>
      <c r="F84" s="1511" t="s">
        <v>604</v>
      </c>
      <c r="G84" s="495"/>
      <c r="H84" s="495"/>
      <c r="I84" s="495"/>
      <c r="J84" s="495"/>
      <c r="K84" s="556"/>
      <c r="L84" s="486"/>
      <c r="M84" s="485"/>
      <c r="N84" s="485"/>
      <c r="O84" s="485"/>
      <c r="P84" s="487"/>
      <c r="Q84" s="444"/>
      <c r="R84" s="485"/>
      <c r="S84" s="485"/>
      <c r="T84" s="485"/>
      <c r="U84" s="487"/>
      <c r="V84" s="4465"/>
      <c r="W84" s="883"/>
      <c r="X84" s="883"/>
      <c r="Y84" s="883"/>
      <c r="Z84" s="3041"/>
      <c r="AA84" s="3040"/>
      <c r="AB84" s="3040"/>
      <c r="AC84" s="3040"/>
      <c r="AD84" s="3042"/>
      <c r="AE84" s="3041"/>
      <c r="AF84" s="3040"/>
      <c r="AG84" s="3042"/>
    </row>
    <row r="85" spans="1:33" ht="12.75" customHeight="1">
      <c r="A85" s="501"/>
      <c r="B85" s="501"/>
      <c r="C85" s="501"/>
      <c r="E85" s="4468"/>
      <c r="F85" s="1528" t="s">
        <v>592</v>
      </c>
      <c r="G85" s="444"/>
      <c r="H85" s="485"/>
      <c r="I85" s="485"/>
      <c r="J85" s="485"/>
      <c r="K85" s="487"/>
      <c r="L85" s="384">
        <f>SUM(L82:L84)</f>
        <v>463853</v>
      </c>
      <c r="M85" s="385">
        <f>SUM(M82:M84)</f>
        <v>1452655</v>
      </c>
      <c r="N85" s="385">
        <f t="shared" ref="N85:T85" si="44">SUM(N82:N84)</f>
        <v>760965</v>
      </c>
      <c r="O85" s="385">
        <f t="shared" si="44"/>
        <v>150968.68262629438</v>
      </c>
      <c r="P85" s="477">
        <f t="shared" si="44"/>
        <v>125481.7634127881</v>
      </c>
      <c r="Q85" s="474">
        <f t="shared" si="44"/>
        <v>2334194</v>
      </c>
      <c r="R85" s="385">
        <f t="shared" si="44"/>
        <v>693066</v>
      </c>
      <c r="S85" s="385">
        <f t="shared" si="44"/>
        <v>694965</v>
      </c>
      <c r="T85" s="385">
        <f t="shared" si="44"/>
        <v>2033636</v>
      </c>
      <c r="U85" s="477">
        <f>SUM(U82:U84)</f>
        <v>691167</v>
      </c>
      <c r="V85" s="4465"/>
      <c r="W85" s="883"/>
      <c r="X85" s="883"/>
      <c r="Y85" s="883"/>
      <c r="Z85" s="3041"/>
      <c r="AA85" s="3040"/>
      <c r="AB85" s="3040"/>
      <c r="AC85" s="3040"/>
      <c r="AD85" s="3042"/>
      <c r="AE85" s="3041"/>
      <c r="AF85" s="3040"/>
      <c r="AG85" s="3042"/>
    </row>
    <row r="86" spans="1:33" ht="12.75" customHeight="1">
      <c r="A86" s="501"/>
      <c r="B86" s="501"/>
      <c r="C86" s="501"/>
      <c r="E86" s="4468"/>
      <c r="F86" s="1511" t="s">
        <v>609</v>
      </c>
      <c r="G86" s="444"/>
      <c r="H86" s="485"/>
      <c r="I86" s="485"/>
      <c r="J86" s="485"/>
      <c r="K86" s="487"/>
      <c r="L86" s="536"/>
      <c r="M86" s="537"/>
      <c r="N86" s="537"/>
      <c r="O86" s="537">
        <f>O85*0.15429043</f>
        <v>23293.02295894449</v>
      </c>
      <c r="P86" s="573">
        <f>P85*0.06</f>
        <v>7528.9058047672861</v>
      </c>
      <c r="Q86" s="529"/>
      <c r="R86" s="504"/>
      <c r="S86" s="504"/>
      <c r="T86" s="504"/>
      <c r="U86" s="545"/>
      <c r="V86" s="4465"/>
      <c r="W86" s="883"/>
      <c r="X86" s="883"/>
      <c r="Y86" s="883"/>
      <c r="Z86" s="3041"/>
      <c r="AA86" s="3040"/>
      <c r="AB86" s="3040"/>
      <c r="AC86" s="3040"/>
      <c r="AD86" s="3042"/>
      <c r="AE86" s="3041"/>
      <c r="AF86" s="3040"/>
      <c r="AG86" s="3042"/>
    </row>
    <row r="87" spans="1:33" ht="13.5" customHeight="1">
      <c r="A87" s="501"/>
      <c r="B87" s="501"/>
      <c r="C87" s="501"/>
      <c r="E87" s="4468"/>
      <c r="F87" s="1511" t="s">
        <v>607</v>
      </c>
      <c r="G87" s="444"/>
      <c r="H87" s="485"/>
      <c r="I87" s="485"/>
      <c r="J87" s="485"/>
      <c r="K87" s="487"/>
      <c r="L87" s="489"/>
      <c r="M87" s="490"/>
      <c r="N87" s="490"/>
      <c r="O87" s="490"/>
      <c r="P87" s="491"/>
      <c r="Q87" s="444"/>
      <c r="R87" s="485"/>
      <c r="S87" s="485"/>
      <c r="T87" s="485"/>
      <c r="U87" s="487"/>
      <c r="V87" s="4465"/>
      <c r="W87" s="883"/>
      <c r="X87" s="883"/>
      <c r="Y87" s="883"/>
      <c r="Z87" s="3041"/>
      <c r="AA87" s="3040"/>
      <c r="AB87" s="3040"/>
      <c r="AC87" s="3040"/>
      <c r="AD87" s="3042"/>
      <c r="AE87" s="3041"/>
      <c r="AF87" s="3040"/>
      <c r="AG87" s="3042"/>
    </row>
    <row r="88" spans="1:33" ht="12.75" customHeight="1">
      <c r="A88" s="501"/>
      <c r="B88" s="501"/>
      <c r="C88" s="501"/>
      <c r="E88" s="4468"/>
      <c r="F88" s="1528" t="s">
        <v>610</v>
      </c>
      <c r="G88" s="1241">
        <v>0</v>
      </c>
      <c r="H88" s="1239">
        <v>0</v>
      </c>
      <c r="I88" s="1239">
        <v>0</v>
      </c>
      <c r="J88" s="1239">
        <v>0</v>
      </c>
      <c r="K88" s="1240">
        <v>0</v>
      </c>
      <c r="L88" s="1238">
        <f t="shared" ref="L88:T88" si="45">SUM(L86:L87)</f>
        <v>0</v>
      </c>
      <c r="M88" s="1239">
        <f t="shared" si="45"/>
        <v>0</v>
      </c>
      <c r="N88" s="1239">
        <f t="shared" si="45"/>
        <v>0</v>
      </c>
      <c r="O88" s="1239">
        <f t="shared" si="45"/>
        <v>23293.02295894449</v>
      </c>
      <c r="P88" s="1240">
        <f t="shared" si="45"/>
        <v>7528.9058047672861</v>
      </c>
      <c r="Q88" s="1241">
        <f t="shared" si="45"/>
        <v>0</v>
      </c>
      <c r="R88" s="1239">
        <f t="shared" si="45"/>
        <v>0</v>
      </c>
      <c r="S88" s="1239">
        <f t="shared" si="45"/>
        <v>0</v>
      </c>
      <c r="T88" s="1239">
        <f t="shared" si="45"/>
        <v>0</v>
      </c>
      <c r="U88" s="1240">
        <f>SUM(U86:U87)</f>
        <v>0</v>
      </c>
      <c r="V88" s="4465"/>
      <c r="W88" s="883"/>
      <c r="X88" s="883"/>
      <c r="Y88" s="883"/>
      <c r="Z88" s="3041"/>
      <c r="AA88" s="3040"/>
      <c r="AB88" s="3040"/>
      <c r="AC88" s="3040"/>
      <c r="AD88" s="3042"/>
      <c r="AE88" s="3041"/>
      <c r="AF88" s="3040"/>
      <c r="AG88" s="3042"/>
    </row>
    <row r="89" spans="1:33" ht="12.75" customHeight="1">
      <c r="A89" s="501"/>
      <c r="B89" s="501"/>
      <c r="C89" s="501"/>
      <c r="E89" s="4468"/>
      <c r="F89" s="1511" t="s">
        <v>35</v>
      </c>
      <c r="G89" s="444"/>
      <c r="H89" s="485"/>
      <c r="I89" s="485"/>
      <c r="J89" s="485"/>
      <c r="K89" s="487"/>
      <c r="L89" s="486"/>
      <c r="M89" s="485"/>
      <c r="N89" s="485"/>
      <c r="O89" s="485"/>
      <c r="P89" s="487"/>
      <c r="Q89" s="444"/>
      <c r="R89" s="485"/>
      <c r="S89" s="485"/>
      <c r="T89" s="485"/>
      <c r="U89" s="487"/>
      <c r="V89" s="4465"/>
      <c r="W89" s="883"/>
      <c r="X89" s="883"/>
      <c r="Y89" s="883"/>
      <c r="Z89" s="3041"/>
      <c r="AA89" s="3040"/>
      <c r="AB89" s="3040"/>
      <c r="AC89" s="3040"/>
      <c r="AD89" s="3042"/>
      <c r="AE89" s="3041"/>
      <c r="AF89" s="3040"/>
      <c r="AG89" s="3042"/>
    </row>
    <row r="90" spans="1:33" ht="13.5" customHeight="1" thickBot="1">
      <c r="A90" s="501"/>
      <c r="B90" s="501"/>
      <c r="C90" s="501"/>
      <c r="E90" s="4469"/>
      <c r="F90" s="1530" t="s">
        <v>611</v>
      </c>
      <c r="G90" s="1246">
        <v>0</v>
      </c>
      <c r="H90" s="1244">
        <v>0</v>
      </c>
      <c r="I90" s="1244">
        <v>0</v>
      </c>
      <c r="J90" s="1244">
        <v>0</v>
      </c>
      <c r="K90" s="1245">
        <v>0</v>
      </c>
      <c r="L90" s="1535">
        <f t="shared" ref="L90" si="46">L88-L89</f>
        <v>0</v>
      </c>
      <c r="M90" s="1244">
        <f>M88-M89</f>
        <v>0</v>
      </c>
      <c r="N90" s="1244">
        <f t="shared" ref="N90:P90" si="47">N88-N89</f>
        <v>0</v>
      </c>
      <c r="O90" s="1244">
        <f t="shared" si="47"/>
        <v>23293.02295894449</v>
      </c>
      <c r="P90" s="1245">
        <f t="shared" si="47"/>
        <v>7528.9058047672861</v>
      </c>
      <c r="Q90" s="1246">
        <f>Q88-Q89</f>
        <v>0</v>
      </c>
      <c r="R90" s="1244">
        <f>R88-R89</f>
        <v>0</v>
      </c>
      <c r="S90" s="1244">
        <f>S88-S89</f>
        <v>0</v>
      </c>
      <c r="T90" s="1244">
        <f>T88-T89</f>
        <v>0</v>
      </c>
      <c r="U90" s="1245">
        <f>U88-U89</f>
        <v>0</v>
      </c>
      <c r="V90" s="4466"/>
      <c r="W90" s="883"/>
      <c r="X90" s="883"/>
      <c r="Y90" s="883"/>
      <c r="Z90" s="3041"/>
      <c r="AA90" s="3040"/>
      <c r="AB90" s="3040"/>
      <c r="AC90" s="3040"/>
      <c r="AD90" s="3042"/>
      <c r="AE90" s="3041"/>
      <c r="AF90" s="3040"/>
      <c r="AG90" s="3042"/>
    </row>
    <row r="91" spans="1:33" ht="12.75" customHeight="1">
      <c r="A91" s="501"/>
      <c r="B91" s="501"/>
      <c r="C91" s="501"/>
      <c r="E91" s="4467" t="s">
        <v>1516</v>
      </c>
      <c r="F91" s="1529" t="s">
        <v>624</v>
      </c>
      <c r="G91" s="554"/>
      <c r="H91" s="554"/>
      <c r="I91" s="554"/>
      <c r="J91" s="554"/>
      <c r="K91" s="555"/>
      <c r="L91" s="564"/>
      <c r="M91" s="565"/>
      <c r="N91" s="565"/>
      <c r="O91" s="565"/>
      <c r="P91" s="566"/>
      <c r="Q91" s="565"/>
      <c r="R91" s="565"/>
      <c r="S91" s="565"/>
      <c r="T91" s="565"/>
      <c r="U91" s="566"/>
      <c r="V91" s="4464"/>
      <c r="W91" s="1266"/>
      <c r="X91" s="1266"/>
      <c r="Y91" s="1266"/>
      <c r="Z91" s="553"/>
      <c r="AA91" s="554"/>
      <c r="AB91" s="554"/>
      <c r="AC91" s="554"/>
      <c r="AD91" s="555"/>
      <c r="AE91" s="564"/>
      <c r="AF91" s="565"/>
      <c r="AG91" s="566"/>
    </row>
    <row r="92" spans="1:33" ht="12.75" customHeight="1">
      <c r="A92" s="501"/>
      <c r="B92" s="501"/>
      <c r="C92" s="501"/>
      <c r="E92" s="4468"/>
      <c r="F92" s="1511" t="s">
        <v>585</v>
      </c>
      <c r="G92" s="495"/>
      <c r="H92" s="495"/>
      <c r="I92" s="495"/>
      <c r="J92" s="495"/>
      <c r="K92" s="556"/>
      <c r="L92" s="486"/>
      <c r="M92" s="485"/>
      <c r="N92" s="485"/>
      <c r="O92" s="485"/>
      <c r="P92" s="487"/>
      <c r="Q92" s="444"/>
      <c r="R92" s="485"/>
      <c r="S92" s="485"/>
      <c r="T92" s="485"/>
      <c r="U92" s="487"/>
      <c r="V92" s="4465"/>
      <c r="W92" s="1266"/>
      <c r="X92" s="1266"/>
      <c r="Y92" s="1266"/>
      <c r="Z92" s="497"/>
      <c r="AA92" s="495"/>
      <c r="AB92" s="495"/>
      <c r="AC92" s="495"/>
      <c r="AD92" s="556"/>
      <c r="AE92" s="489"/>
      <c r="AF92" s="490"/>
      <c r="AG92" s="491"/>
    </row>
    <row r="93" spans="1:33" ht="12.75" customHeight="1">
      <c r="A93" s="501"/>
      <c r="B93" s="501"/>
      <c r="C93" s="501"/>
      <c r="E93" s="4468"/>
      <c r="F93" s="1511" t="s">
        <v>584</v>
      </c>
      <c r="G93" s="495"/>
      <c r="H93" s="495"/>
      <c r="I93" s="495"/>
      <c r="J93" s="495"/>
      <c r="K93" s="556"/>
      <c r="L93" s="486">
        <v>127217</v>
      </c>
      <c r="M93" s="485">
        <v>0</v>
      </c>
      <c r="N93" s="485">
        <v>0</v>
      </c>
      <c r="O93" s="485">
        <v>0</v>
      </c>
      <c r="P93" s="487">
        <v>0</v>
      </c>
      <c r="Q93" s="444">
        <v>1154126</v>
      </c>
      <c r="R93" s="485">
        <v>0</v>
      </c>
      <c r="S93" s="485">
        <v>602918</v>
      </c>
      <c r="T93" s="485">
        <v>1392128</v>
      </c>
      <c r="U93" s="487">
        <v>7276959</v>
      </c>
      <c r="V93" s="4465"/>
      <c r="W93" s="1266"/>
      <c r="X93" s="1266"/>
      <c r="Y93" s="1266"/>
      <c r="Z93" s="497"/>
      <c r="AA93" s="495"/>
      <c r="AB93" s="495"/>
      <c r="AC93" s="495"/>
      <c r="AD93" s="556"/>
      <c r="AE93" s="489"/>
      <c r="AF93" s="490"/>
      <c r="AG93" s="491"/>
    </row>
    <row r="94" spans="1:33" ht="12.75" customHeight="1">
      <c r="A94" s="501"/>
      <c r="B94" s="501"/>
      <c r="C94" s="501"/>
      <c r="E94" s="4468"/>
      <c r="F94" s="1511" t="s">
        <v>604</v>
      </c>
      <c r="G94" s="495"/>
      <c r="H94" s="495"/>
      <c r="I94" s="495"/>
      <c r="J94" s="495"/>
      <c r="K94" s="556"/>
      <c r="L94" s="486"/>
      <c r="M94" s="485"/>
      <c r="N94" s="485"/>
      <c r="O94" s="485"/>
      <c r="P94" s="487"/>
      <c r="Q94" s="444"/>
      <c r="R94" s="485"/>
      <c r="S94" s="485"/>
      <c r="T94" s="485"/>
      <c r="U94" s="487"/>
      <c r="V94" s="4465"/>
      <c r="W94" s="1266"/>
      <c r="X94" s="1266"/>
      <c r="Y94" s="1266"/>
      <c r="Z94" s="497"/>
      <c r="AA94" s="495"/>
      <c r="AB94" s="495"/>
      <c r="AC94" s="495"/>
      <c r="AD94" s="556"/>
      <c r="AE94" s="489"/>
      <c r="AF94" s="490"/>
      <c r="AG94" s="491"/>
    </row>
    <row r="95" spans="1:33" ht="12.75" customHeight="1">
      <c r="A95" s="501"/>
      <c r="B95" s="501"/>
      <c r="C95" s="501"/>
      <c r="E95" s="4468"/>
      <c r="F95" s="1528" t="s">
        <v>592</v>
      </c>
      <c r="G95" s="444">
        <v>64763</v>
      </c>
      <c r="H95" s="485">
        <v>274672</v>
      </c>
      <c r="I95" s="485">
        <v>302732</v>
      </c>
      <c r="J95" s="485">
        <v>18565026</v>
      </c>
      <c r="K95" s="487">
        <v>19915200</v>
      </c>
      <c r="L95" s="384">
        <f>SUM(L92:L94)</f>
        <v>127217</v>
      </c>
      <c r="M95" s="385">
        <f>SUM(M92:M94)</f>
        <v>0</v>
      </c>
      <c r="N95" s="385">
        <f t="shared" ref="N95:T95" si="48">SUM(N92:N94)</f>
        <v>0</v>
      </c>
      <c r="O95" s="385">
        <f t="shared" si="48"/>
        <v>0</v>
      </c>
      <c r="P95" s="477">
        <f t="shared" si="48"/>
        <v>0</v>
      </c>
      <c r="Q95" s="474">
        <f t="shared" si="48"/>
        <v>1154126</v>
      </c>
      <c r="R95" s="385">
        <f t="shared" si="48"/>
        <v>0</v>
      </c>
      <c r="S95" s="385">
        <f t="shared" si="48"/>
        <v>602918</v>
      </c>
      <c r="T95" s="385">
        <f t="shared" si="48"/>
        <v>1392128</v>
      </c>
      <c r="U95" s="477">
        <f>SUM(U92:U94)</f>
        <v>7276959</v>
      </c>
      <c r="V95" s="4465"/>
      <c r="W95" s="1266"/>
      <c r="X95" s="1266"/>
      <c r="Y95" s="1266"/>
      <c r="Z95" s="489"/>
      <c r="AA95" s="490"/>
      <c r="AB95" s="490"/>
      <c r="AC95" s="490"/>
      <c r="AD95" s="491"/>
      <c r="AE95" s="384"/>
      <c r="AF95" s="385">
        <f t="shared" ref="AF95:AG95" si="49">SUM(AF92:AF94)</f>
        <v>0</v>
      </c>
      <c r="AG95" s="477">
        <f t="shared" si="49"/>
        <v>0</v>
      </c>
    </row>
    <row r="96" spans="1:33" ht="12.75" customHeight="1">
      <c r="A96" s="501"/>
      <c r="B96" s="501"/>
      <c r="C96" s="501"/>
      <c r="E96" s="4468"/>
      <c r="F96" s="1511" t="s">
        <v>609</v>
      </c>
      <c r="G96" s="444"/>
      <c r="H96" s="485"/>
      <c r="I96" s="485"/>
      <c r="J96" s="485"/>
      <c r="K96" s="487"/>
      <c r="L96" s="536"/>
      <c r="M96" s="537"/>
      <c r="N96" s="537"/>
      <c r="O96" s="537"/>
      <c r="P96" s="573"/>
      <c r="Q96" s="529"/>
      <c r="R96" s="504"/>
      <c r="S96" s="504"/>
      <c r="T96" s="504"/>
      <c r="U96" s="545"/>
      <c r="V96" s="4465"/>
      <c r="W96" s="1266"/>
      <c r="X96" s="1266"/>
      <c r="Y96" s="1266"/>
      <c r="Z96" s="489"/>
      <c r="AA96" s="490"/>
      <c r="AB96" s="490"/>
      <c r="AC96" s="490"/>
      <c r="AD96" s="491"/>
      <c r="AE96" s="536"/>
      <c r="AF96" s="537"/>
      <c r="AG96" s="573"/>
    </row>
    <row r="97" spans="1:35" ht="12.75" customHeight="1">
      <c r="A97" s="501"/>
      <c r="B97" s="501"/>
      <c r="C97" s="501"/>
      <c r="E97" s="4468"/>
      <c r="F97" s="1511" t="s">
        <v>607</v>
      </c>
      <c r="G97" s="444"/>
      <c r="H97" s="485"/>
      <c r="I97" s="485"/>
      <c r="J97" s="485"/>
      <c r="K97" s="487"/>
      <c r="L97" s="489"/>
      <c r="M97" s="490"/>
      <c r="N97" s="490"/>
      <c r="O97" s="490"/>
      <c r="P97" s="491"/>
      <c r="Q97" s="444"/>
      <c r="R97" s="485"/>
      <c r="S97" s="485"/>
      <c r="T97" s="485"/>
      <c r="U97" s="487"/>
      <c r="V97" s="4465"/>
      <c r="W97" s="1266"/>
      <c r="X97" s="1266"/>
      <c r="Y97" s="1266"/>
      <c r="Z97" s="489"/>
      <c r="AA97" s="490"/>
      <c r="AB97" s="490"/>
      <c r="AC97" s="490"/>
      <c r="AD97" s="491"/>
      <c r="AE97" s="489"/>
      <c r="AF97" s="490"/>
      <c r="AG97" s="491"/>
    </row>
    <row r="98" spans="1:35" ht="12.75" customHeight="1">
      <c r="A98" s="501"/>
      <c r="B98" s="501"/>
      <c r="C98" s="501"/>
      <c r="E98" s="4468"/>
      <c r="F98" s="1528" t="s">
        <v>610</v>
      </c>
      <c r="G98" s="1241">
        <f t="shared" ref="G98:K98" si="50">SUM(G96:G97)</f>
        <v>0</v>
      </c>
      <c r="H98" s="1239">
        <f t="shared" si="50"/>
        <v>0</v>
      </c>
      <c r="I98" s="1239">
        <f t="shared" si="50"/>
        <v>0</v>
      </c>
      <c r="J98" s="1239">
        <f t="shared" si="50"/>
        <v>0</v>
      </c>
      <c r="K98" s="1240">
        <f t="shared" si="50"/>
        <v>0</v>
      </c>
      <c r="L98" s="1238">
        <f t="shared" ref="L98:T98" si="51">SUM(L96:L97)</f>
        <v>0</v>
      </c>
      <c r="M98" s="1239">
        <f t="shared" si="51"/>
        <v>0</v>
      </c>
      <c r="N98" s="1239">
        <f t="shared" si="51"/>
        <v>0</v>
      </c>
      <c r="O98" s="1239">
        <f t="shared" si="51"/>
        <v>0</v>
      </c>
      <c r="P98" s="1240">
        <f t="shared" si="51"/>
        <v>0</v>
      </c>
      <c r="Q98" s="1241">
        <f t="shared" si="51"/>
        <v>0</v>
      </c>
      <c r="R98" s="1239">
        <f t="shared" si="51"/>
        <v>0</v>
      </c>
      <c r="S98" s="1239">
        <f t="shared" si="51"/>
        <v>0</v>
      </c>
      <c r="T98" s="1239">
        <f t="shared" si="51"/>
        <v>0</v>
      </c>
      <c r="U98" s="1240">
        <f>SUM(U96:U97)</f>
        <v>0</v>
      </c>
      <c r="V98" s="4465"/>
      <c r="W98" s="883"/>
      <c r="X98" s="883"/>
      <c r="Y98" s="883"/>
      <c r="Z98" s="1238">
        <f t="shared" ref="Z98:AG98" si="52">SUM(Z96:Z97)</f>
        <v>0</v>
      </c>
      <c r="AA98" s="1239">
        <f t="shared" si="52"/>
        <v>0</v>
      </c>
      <c r="AB98" s="1239">
        <f t="shared" si="52"/>
        <v>0</v>
      </c>
      <c r="AC98" s="1239">
        <f t="shared" si="52"/>
        <v>0</v>
      </c>
      <c r="AD98" s="1240">
        <f t="shared" si="52"/>
        <v>0</v>
      </c>
      <c r="AE98" s="1238">
        <f t="shared" si="52"/>
        <v>0</v>
      </c>
      <c r="AF98" s="1239">
        <f t="shared" si="52"/>
        <v>0</v>
      </c>
      <c r="AG98" s="1240">
        <f t="shared" si="52"/>
        <v>0</v>
      </c>
    </row>
    <row r="99" spans="1:35" ht="12.75" customHeight="1">
      <c r="A99" s="501"/>
      <c r="B99" s="501"/>
      <c r="C99" s="501"/>
      <c r="E99" s="4468"/>
      <c r="F99" s="1511" t="s">
        <v>35</v>
      </c>
      <c r="G99" s="444"/>
      <c r="H99" s="485"/>
      <c r="I99" s="485"/>
      <c r="J99" s="485"/>
      <c r="K99" s="487"/>
      <c r="L99" s="486"/>
      <c r="M99" s="485"/>
      <c r="N99" s="485"/>
      <c r="O99" s="485"/>
      <c r="P99" s="487"/>
      <c r="Q99" s="444"/>
      <c r="R99" s="485"/>
      <c r="S99" s="485"/>
      <c r="T99" s="485"/>
      <c r="U99" s="487"/>
      <c r="V99" s="4465"/>
      <c r="W99" s="1266"/>
      <c r="X99" s="1266"/>
      <c r="Y99" s="1266"/>
      <c r="Z99" s="489"/>
      <c r="AA99" s="490"/>
      <c r="AB99" s="490"/>
      <c r="AC99" s="490"/>
      <c r="AD99" s="491"/>
      <c r="AE99" s="489"/>
      <c r="AF99" s="490"/>
      <c r="AG99" s="491"/>
    </row>
    <row r="100" spans="1:35" ht="13.5" customHeight="1" thickBot="1">
      <c r="A100" s="501"/>
      <c r="B100" s="501"/>
      <c r="C100" s="501"/>
      <c r="E100" s="4469"/>
      <c r="F100" s="1530" t="s">
        <v>611</v>
      </c>
      <c r="G100" s="1246">
        <f t="shared" ref="G100:K100" si="53">G98-G99</f>
        <v>0</v>
      </c>
      <c r="H100" s="1244">
        <f t="shared" si="53"/>
        <v>0</v>
      </c>
      <c r="I100" s="1244">
        <f t="shared" si="53"/>
        <v>0</v>
      </c>
      <c r="J100" s="1244">
        <f t="shared" si="53"/>
        <v>0</v>
      </c>
      <c r="K100" s="1245">
        <f t="shared" si="53"/>
        <v>0</v>
      </c>
      <c r="L100" s="1535">
        <f t="shared" ref="L100" si="54">L98-L99</f>
        <v>0</v>
      </c>
      <c r="M100" s="1244">
        <f>M98-M99</f>
        <v>0</v>
      </c>
      <c r="N100" s="1244">
        <f t="shared" ref="N100:P100" si="55">N98-N99</f>
        <v>0</v>
      </c>
      <c r="O100" s="1244">
        <f t="shared" si="55"/>
        <v>0</v>
      </c>
      <c r="P100" s="1245">
        <f t="shared" si="55"/>
        <v>0</v>
      </c>
      <c r="Q100" s="1246">
        <f>Q98-Q99</f>
        <v>0</v>
      </c>
      <c r="R100" s="1244">
        <f>R98-R99</f>
        <v>0</v>
      </c>
      <c r="S100" s="1244">
        <f>S98-S99</f>
        <v>0</v>
      </c>
      <c r="T100" s="1244">
        <f>T98-T99</f>
        <v>0</v>
      </c>
      <c r="U100" s="1245">
        <f>U98-U99</f>
        <v>0</v>
      </c>
      <c r="V100" s="4466"/>
      <c r="W100" s="883"/>
      <c r="X100" s="883"/>
      <c r="Y100" s="883"/>
      <c r="Z100" s="1535">
        <f t="shared" ref="Z100:AE100" si="56">Z98-Z99</f>
        <v>0</v>
      </c>
      <c r="AA100" s="1244">
        <f t="shared" si="56"/>
        <v>0</v>
      </c>
      <c r="AB100" s="1244">
        <f t="shared" si="56"/>
        <v>0</v>
      </c>
      <c r="AC100" s="1244">
        <f t="shared" si="56"/>
        <v>0</v>
      </c>
      <c r="AD100" s="1245">
        <f t="shared" si="56"/>
        <v>0</v>
      </c>
      <c r="AE100" s="1535">
        <f t="shared" si="56"/>
        <v>0</v>
      </c>
      <c r="AF100" s="1244">
        <f>AF98-AF99</f>
        <v>0</v>
      </c>
      <c r="AG100" s="1245">
        <f t="shared" ref="AG100" si="57">AG98-AG99</f>
        <v>0</v>
      </c>
    </row>
    <row r="101" spans="1:35" ht="12.75" customHeight="1">
      <c r="A101" s="501"/>
      <c r="B101" s="501"/>
      <c r="C101" s="501"/>
      <c r="E101" s="4476" t="s">
        <v>360</v>
      </c>
      <c r="F101" s="1015" t="s">
        <v>605</v>
      </c>
      <c r="G101" s="1534">
        <f t="shared" ref="G101:U101" si="58">SUMIF($F$21:$F$100,"Total direct expenditure ",G$21:G$100)</f>
        <v>782956</v>
      </c>
      <c r="H101" s="562">
        <f t="shared" si="58"/>
        <v>1170101</v>
      </c>
      <c r="I101" s="562">
        <f t="shared" si="58"/>
        <v>6040700</v>
      </c>
      <c r="J101" s="562">
        <f t="shared" si="58"/>
        <v>23491297.829999998</v>
      </c>
      <c r="K101" s="575">
        <f t="shared" si="58"/>
        <v>29980987</v>
      </c>
      <c r="L101" s="1534">
        <f t="shared" si="58"/>
        <v>24629246</v>
      </c>
      <c r="M101" s="562">
        <f t="shared" si="58"/>
        <v>3675870</v>
      </c>
      <c r="N101" s="562">
        <f t="shared" si="58"/>
        <v>6704448</v>
      </c>
      <c r="O101" s="562">
        <f t="shared" si="58"/>
        <v>5317757.410000002</v>
      </c>
      <c r="P101" s="562">
        <f t="shared" si="58"/>
        <v>4420000</v>
      </c>
      <c r="Q101" s="1534">
        <f t="shared" si="58"/>
        <v>11100435</v>
      </c>
      <c r="R101" s="562">
        <f t="shared" si="58"/>
        <v>5978689</v>
      </c>
      <c r="S101" s="562">
        <f t="shared" si="58"/>
        <v>10060299</v>
      </c>
      <c r="T101" s="562">
        <f t="shared" si="58"/>
        <v>11322170</v>
      </c>
      <c r="U101" s="574">
        <f t="shared" si="58"/>
        <v>10373406</v>
      </c>
      <c r="V101" s="4479"/>
      <c r="W101" s="1266"/>
      <c r="X101" s="1266"/>
      <c r="Y101" s="1266"/>
      <c r="Z101" s="1534">
        <f t="shared" ref="Z101:AG101" si="59">SUMIF($F$21:$F$100,"Total direct expenditure ",Z$21:Z$100)</f>
        <v>0</v>
      </c>
      <c r="AA101" s="562">
        <f t="shared" si="59"/>
        <v>0</v>
      </c>
      <c r="AB101" s="562">
        <f t="shared" si="59"/>
        <v>0</v>
      </c>
      <c r="AC101" s="562">
        <f t="shared" si="59"/>
        <v>0</v>
      </c>
      <c r="AD101" s="575">
        <f t="shared" si="59"/>
        <v>0</v>
      </c>
      <c r="AE101" s="1534">
        <f t="shared" si="59"/>
        <v>0</v>
      </c>
      <c r="AF101" s="562">
        <f t="shared" si="59"/>
        <v>0</v>
      </c>
      <c r="AG101" s="563">
        <f t="shared" si="59"/>
        <v>0</v>
      </c>
    </row>
    <row r="102" spans="1:35" ht="12.75" customHeight="1">
      <c r="A102" s="501"/>
      <c r="B102" s="501"/>
      <c r="C102" s="501"/>
      <c r="E102" s="4477"/>
      <c r="F102" s="887" t="s">
        <v>609</v>
      </c>
      <c r="G102" s="1545">
        <f t="shared" ref="G102:U102" si="60">SUMIF($F$21:$F$100,"Total overhead expenditure",G$21:G$100)</f>
        <v>0</v>
      </c>
      <c r="H102" s="1546">
        <f t="shared" si="60"/>
        <v>0</v>
      </c>
      <c r="I102" s="1546">
        <f t="shared" si="60"/>
        <v>0</v>
      </c>
      <c r="J102" s="1546">
        <f t="shared" si="60"/>
        <v>0</v>
      </c>
      <c r="K102" s="1547">
        <f t="shared" si="60"/>
        <v>0</v>
      </c>
      <c r="L102" s="1545">
        <f t="shared" si="60"/>
        <v>0</v>
      </c>
      <c r="M102" s="1546">
        <f t="shared" si="60"/>
        <v>0</v>
      </c>
      <c r="N102" s="1546">
        <f t="shared" si="60"/>
        <v>0</v>
      </c>
      <c r="O102" s="1546">
        <f>SUMIF($F$21:$F$100,"Total overhead expenditure",O$21:O$101)</f>
        <v>820479.07742458663</v>
      </c>
      <c r="P102" s="1546">
        <f t="shared" si="60"/>
        <v>265199.99999999994</v>
      </c>
      <c r="Q102" s="1545">
        <f t="shared" si="60"/>
        <v>0</v>
      </c>
      <c r="R102" s="1546">
        <f t="shared" si="60"/>
        <v>0</v>
      </c>
      <c r="S102" s="1546">
        <f t="shared" si="60"/>
        <v>0</v>
      </c>
      <c r="T102" s="1546">
        <f t="shared" si="60"/>
        <v>0</v>
      </c>
      <c r="U102" s="1548">
        <f t="shared" si="60"/>
        <v>0</v>
      </c>
      <c r="V102" s="4480"/>
      <c r="W102" s="501"/>
      <c r="X102" s="501"/>
      <c r="Y102" s="501"/>
      <c r="Z102" s="1545">
        <f t="shared" ref="Z102:AG102" si="61">SUMIF($F$21:$F$100,"Total overhead expenditure",Z$21:Z$100)</f>
        <v>0</v>
      </c>
      <c r="AA102" s="1546">
        <f t="shared" si="61"/>
        <v>0</v>
      </c>
      <c r="AB102" s="1546">
        <f t="shared" si="61"/>
        <v>0</v>
      </c>
      <c r="AC102" s="1546">
        <f t="shared" si="61"/>
        <v>0</v>
      </c>
      <c r="AD102" s="1547">
        <f t="shared" si="61"/>
        <v>0</v>
      </c>
      <c r="AE102" s="1545">
        <f t="shared" si="61"/>
        <v>0</v>
      </c>
      <c r="AF102" s="1546">
        <f t="shared" si="61"/>
        <v>0</v>
      </c>
      <c r="AG102" s="1549">
        <f t="shared" si="61"/>
        <v>0</v>
      </c>
    </row>
    <row r="103" spans="1:35" ht="12.75" customHeight="1">
      <c r="A103" s="501"/>
      <c r="B103" s="501"/>
      <c r="C103" s="501"/>
      <c r="E103" s="4477"/>
      <c r="F103" s="887" t="s">
        <v>607</v>
      </c>
      <c r="G103" s="1545">
        <f t="shared" ref="G103:U103" si="62">SUMIF($F$21:$F$100,"Related party margin expenditure",G$21:G$100)</f>
        <v>0</v>
      </c>
      <c r="H103" s="1546">
        <f t="shared" si="62"/>
        <v>0</v>
      </c>
      <c r="I103" s="1546">
        <f t="shared" si="62"/>
        <v>0</v>
      </c>
      <c r="J103" s="1546">
        <f t="shared" si="62"/>
        <v>0</v>
      </c>
      <c r="K103" s="1547">
        <f t="shared" si="62"/>
        <v>0</v>
      </c>
      <c r="L103" s="1545">
        <f t="shared" si="62"/>
        <v>0</v>
      </c>
      <c r="M103" s="1546">
        <f t="shared" si="62"/>
        <v>0</v>
      </c>
      <c r="N103" s="1546">
        <f t="shared" si="62"/>
        <v>0</v>
      </c>
      <c r="O103" s="1546">
        <f t="shared" si="62"/>
        <v>0</v>
      </c>
      <c r="P103" s="1546">
        <f t="shared" si="62"/>
        <v>0</v>
      </c>
      <c r="Q103" s="1545">
        <f t="shared" si="62"/>
        <v>0</v>
      </c>
      <c r="R103" s="1546">
        <f t="shared" si="62"/>
        <v>0</v>
      </c>
      <c r="S103" s="1546">
        <f t="shared" si="62"/>
        <v>0</v>
      </c>
      <c r="T103" s="1546">
        <f t="shared" si="62"/>
        <v>0</v>
      </c>
      <c r="U103" s="1548">
        <f t="shared" si="62"/>
        <v>0</v>
      </c>
      <c r="V103" s="4480"/>
      <c r="W103" s="501"/>
      <c r="X103" s="501"/>
      <c r="Y103" s="501"/>
      <c r="Z103" s="1545">
        <f t="shared" ref="Z103:AG103" si="63">SUMIF($F$21:$F$100,"Related party margin expenditure",Z$21:Z$100)</f>
        <v>0</v>
      </c>
      <c r="AA103" s="1546">
        <f t="shared" si="63"/>
        <v>0</v>
      </c>
      <c r="AB103" s="1546">
        <f t="shared" si="63"/>
        <v>0</v>
      </c>
      <c r="AC103" s="1546">
        <f t="shared" si="63"/>
        <v>0</v>
      </c>
      <c r="AD103" s="1547">
        <f t="shared" si="63"/>
        <v>0</v>
      </c>
      <c r="AE103" s="1545">
        <f t="shared" si="63"/>
        <v>0</v>
      </c>
      <c r="AF103" s="1546">
        <f t="shared" si="63"/>
        <v>0</v>
      </c>
      <c r="AG103" s="1549">
        <f t="shared" si="63"/>
        <v>0</v>
      </c>
    </row>
    <row r="104" spans="1:35" ht="12.75" customHeight="1">
      <c r="A104" s="501"/>
      <c r="B104" s="501"/>
      <c r="C104" s="501"/>
      <c r="E104" s="4477"/>
      <c r="F104" s="1506" t="s">
        <v>610</v>
      </c>
      <c r="G104" s="398">
        <f t="shared" ref="G104:U104" si="64">SUMIF($F$21:$F$100,"Total gross expenditure",G$21:G$100)</f>
        <v>0</v>
      </c>
      <c r="H104" s="1239">
        <f t="shared" si="64"/>
        <v>0</v>
      </c>
      <c r="I104" s="1239">
        <f t="shared" si="64"/>
        <v>0</v>
      </c>
      <c r="J104" s="1239">
        <f t="shared" si="64"/>
        <v>0</v>
      </c>
      <c r="K104" s="1242">
        <f t="shared" si="64"/>
        <v>0</v>
      </c>
      <c r="L104" s="1238">
        <f t="shared" si="64"/>
        <v>0</v>
      </c>
      <c r="M104" s="1239">
        <f t="shared" si="64"/>
        <v>0</v>
      </c>
      <c r="N104" s="1239">
        <f t="shared" si="64"/>
        <v>0</v>
      </c>
      <c r="O104" s="1239">
        <f>SUM(O101:O103)</f>
        <v>6138236.4874245888</v>
      </c>
      <c r="P104" s="1239">
        <f t="shared" si="64"/>
        <v>265199.99999999994</v>
      </c>
      <c r="Q104" s="1238">
        <f t="shared" si="64"/>
        <v>0</v>
      </c>
      <c r="R104" s="1239">
        <f t="shared" si="64"/>
        <v>0</v>
      </c>
      <c r="S104" s="1239">
        <f t="shared" si="64"/>
        <v>0</v>
      </c>
      <c r="T104" s="1239">
        <f t="shared" si="64"/>
        <v>0</v>
      </c>
      <c r="U104" s="1247">
        <f t="shared" si="64"/>
        <v>0</v>
      </c>
      <c r="V104" s="4480"/>
      <c r="W104" s="1266"/>
      <c r="X104" s="1266"/>
      <c r="Y104" s="1266"/>
      <c r="Z104" s="398">
        <f t="shared" ref="Z104:AG104" si="65">SUMIF($F$21:$F$100,"Total gross expenditure",Z$21:Z$100)</f>
        <v>0</v>
      </c>
      <c r="AA104" s="1239">
        <f t="shared" si="65"/>
        <v>0</v>
      </c>
      <c r="AB104" s="1239">
        <f t="shared" si="65"/>
        <v>0</v>
      </c>
      <c r="AC104" s="1239">
        <f t="shared" si="65"/>
        <v>0</v>
      </c>
      <c r="AD104" s="1242">
        <f t="shared" si="65"/>
        <v>0</v>
      </c>
      <c r="AE104" s="1238">
        <f t="shared" si="65"/>
        <v>0</v>
      </c>
      <c r="AF104" s="1239">
        <f t="shared" si="65"/>
        <v>0</v>
      </c>
      <c r="AG104" s="1240">
        <f t="shared" si="65"/>
        <v>0</v>
      </c>
    </row>
    <row r="105" spans="1:35" ht="12.75" customHeight="1">
      <c r="A105" s="501"/>
      <c r="B105" s="501"/>
      <c r="C105" s="501"/>
      <c r="E105" s="4477"/>
      <c r="F105" s="887" t="s">
        <v>35</v>
      </c>
      <c r="G105" s="1545">
        <f t="shared" ref="G105:U105" si="66">SUMIF($F$21:$F$100,"Less customer contributions",G$21:G$100)</f>
        <v>0</v>
      </c>
      <c r="H105" s="1546">
        <f t="shared" si="66"/>
        <v>0</v>
      </c>
      <c r="I105" s="1546">
        <f t="shared" si="66"/>
        <v>0</v>
      </c>
      <c r="J105" s="1546">
        <f t="shared" si="66"/>
        <v>0</v>
      </c>
      <c r="K105" s="1547">
        <f t="shared" si="66"/>
        <v>0</v>
      </c>
      <c r="L105" s="1545">
        <f t="shared" si="66"/>
        <v>0</v>
      </c>
      <c r="M105" s="1546">
        <f t="shared" si="66"/>
        <v>0</v>
      </c>
      <c r="N105" s="1546">
        <f t="shared" si="66"/>
        <v>0</v>
      </c>
      <c r="O105" s="1546">
        <f t="shared" si="66"/>
        <v>0</v>
      </c>
      <c r="P105" s="1546">
        <f t="shared" si="66"/>
        <v>0</v>
      </c>
      <c r="Q105" s="1545">
        <f t="shared" si="66"/>
        <v>0</v>
      </c>
      <c r="R105" s="1546">
        <f t="shared" si="66"/>
        <v>0</v>
      </c>
      <c r="S105" s="1546">
        <f t="shared" si="66"/>
        <v>0</v>
      </c>
      <c r="T105" s="1546">
        <f t="shared" si="66"/>
        <v>0</v>
      </c>
      <c r="U105" s="1548">
        <f t="shared" si="66"/>
        <v>0</v>
      </c>
      <c r="V105" s="4480"/>
      <c r="W105" s="501"/>
      <c r="X105" s="501"/>
      <c r="Y105" s="501"/>
      <c r="Z105" s="1545">
        <f t="shared" ref="Z105:AG105" si="67">SUMIF($F$21:$F$100,"Less customer contributions",Z$21:Z$100)</f>
        <v>0</v>
      </c>
      <c r="AA105" s="1546">
        <f t="shared" si="67"/>
        <v>0</v>
      </c>
      <c r="AB105" s="1546">
        <f t="shared" si="67"/>
        <v>0</v>
      </c>
      <c r="AC105" s="1546">
        <f t="shared" si="67"/>
        <v>0</v>
      </c>
      <c r="AD105" s="1547">
        <f t="shared" si="67"/>
        <v>0</v>
      </c>
      <c r="AE105" s="1545">
        <f t="shared" si="67"/>
        <v>0</v>
      </c>
      <c r="AF105" s="1546">
        <f t="shared" si="67"/>
        <v>0</v>
      </c>
      <c r="AG105" s="1549">
        <f t="shared" si="67"/>
        <v>0</v>
      </c>
    </row>
    <row r="106" spans="1:35" ht="13.5" customHeight="1" thickBot="1">
      <c r="A106" s="501"/>
      <c r="B106" s="501"/>
      <c r="C106" s="501"/>
      <c r="E106" s="4478"/>
      <c r="F106" s="1507" t="s">
        <v>611</v>
      </c>
      <c r="G106" s="398">
        <f t="shared" ref="G106:U106" si="68">SUMIF($F$21:$F$100,"Total net expenditure",G$21:G$100)</f>
        <v>0</v>
      </c>
      <c r="H106" s="1244">
        <f t="shared" si="68"/>
        <v>0</v>
      </c>
      <c r="I106" s="1244">
        <f t="shared" si="68"/>
        <v>0</v>
      </c>
      <c r="J106" s="1244">
        <f t="shared" si="68"/>
        <v>0</v>
      </c>
      <c r="K106" s="1248">
        <f t="shared" si="68"/>
        <v>0</v>
      </c>
      <c r="L106" s="1535">
        <f t="shared" si="68"/>
        <v>0</v>
      </c>
      <c r="M106" s="1244">
        <f t="shared" si="68"/>
        <v>0</v>
      </c>
      <c r="N106" s="1244">
        <f t="shared" si="68"/>
        <v>0</v>
      </c>
      <c r="O106" s="1244">
        <f>O104-O105</f>
        <v>6138236.4874245888</v>
      </c>
      <c r="P106" s="1244">
        <f t="shared" si="68"/>
        <v>265199.99999999994</v>
      </c>
      <c r="Q106" s="1535">
        <f t="shared" si="68"/>
        <v>0</v>
      </c>
      <c r="R106" s="1244">
        <f t="shared" si="68"/>
        <v>0</v>
      </c>
      <c r="S106" s="1244">
        <f t="shared" si="68"/>
        <v>0</v>
      </c>
      <c r="T106" s="1244">
        <f t="shared" si="68"/>
        <v>0</v>
      </c>
      <c r="U106" s="1536">
        <f t="shared" si="68"/>
        <v>0</v>
      </c>
      <c r="V106" s="4481"/>
      <c r="W106" s="1266"/>
      <c r="X106" s="1266"/>
      <c r="Y106" s="1266"/>
      <c r="Z106" s="398">
        <f t="shared" ref="Z106:AG106" si="69">SUMIF($F$21:$F$100,"Total net expenditure",Z$21:Z$100)</f>
        <v>0</v>
      </c>
      <c r="AA106" s="1244">
        <f t="shared" si="69"/>
        <v>0</v>
      </c>
      <c r="AB106" s="1244">
        <f t="shared" si="69"/>
        <v>0</v>
      </c>
      <c r="AC106" s="1244">
        <f t="shared" si="69"/>
        <v>0</v>
      </c>
      <c r="AD106" s="1248">
        <f t="shared" si="69"/>
        <v>0</v>
      </c>
      <c r="AE106" s="1535">
        <f t="shared" si="69"/>
        <v>0</v>
      </c>
      <c r="AF106" s="1244">
        <f t="shared" si="69"/>
        <v>0</v>
      </c>
      <c r="AG106" s="1245">
        <f t="shared" si="69"/>
        <v>0</v>
      </c>
    </row>
    <row r="107" spans="1:35" s="1266" customFormat="1" ht="115.5" thickBot="1">
      <c r="A107" s="1272"/>
      <c r="B107" s="1272"/>
      <c r="C107" s="1272"/>
      <c r="D107" s="974"/>
      <c r="E107" s="4196" t="s">
        <v>127</v>
      </c>
      <c r="F107" s="4197"/>
      <c r="G107" s="3044" t="s">
        <v>1517</v>
      </c>
      <c r="H107" s="3045" t="s">
        <v>1518</v>
      </c>
      <c r="I107" s="3045" t="s">
        <v>1519</v>
      </c>
      <c r="J107" s="3045" t="s">
        <v>1520</v>
      </c>
      <c r="K107" s="3046" t="s">
        <v>1521</v>
      </c>
      <c r="L107" s="4482" t="s">
        <v>1522</v>
      </c>
      <c r="M107" s="4483"/>
      <c r="N107" s="4483"/>
      <c r="O107" s="4483"/>
      <c r="P107" s="4484"/>
      <c r="Q107" s="4482" t="s">
        <v>1523</v>
      </c>
      <c r="R107" s="4483"/>
      <c r="S107" s="4483"/>
      <c r="T107" s="4483"/>
      <c r="U107" s="4484"/>
      <c r="V107" s="1533"/>
      <c r="Z107" s="1790"/>
      <c r="AA107" s="1771"/>
      <c r="AB107" s="1771"/>
      <c r="AC107" s="1771"/>
      <c r="AD107" s="1771"/>
      <c r="AE107" s="1771"/>
      <c r="AF107" s="1771"/>
      <c r="AG107" s="1774"/>
    </row>
    <row r="108" spans="1:35" s="78" customFormat="1" ht="56.25" customHeight="1" thickBot="1">
      <c r="A108" s="299"/>
      <c r="B108" s="299"/>
      <c r="C108" s="299"/>
      <c r="D108" s="299"/>
      <c r="E108" s="517"/>
      <c r="F108" s="517"/>
      <c r="G108" s="517"/>
      <c r="H108" s="517"/>
      <c r="I108" s="517"/>
      <c r="J108" s="517"/>
      <c r="K108" s="517"/>
      <c r="L108" s="517"/>
      <c r="M108" s="517"/>
      <c r="N108" s="517"/>
      <c r="O108" s="517"/>
      <c r="P108" s="517"/>
      <c r="Q108" s="517"/>
      <c r="R108" s="517"/>
      <c r="S108" s="517"/>
      <c r="T108" s="517"/>
      <c r="U108" s="517"/>
      <c r="V108" s="517"/>
      <c r="W108"/>
      <c r="X108"/>
      <c r="Y108"/>
      <c r="Z108" s="517"/>
      <c r="AA108" s="517"/>
      <c r="AB108" s="517"/>
      <c r="AC108" s="517"/>
      <c r="AD108" s="517"/>
      <c r="AE108" s="517"/>
      <c r="AF108" s="517"/>
      <c r="AG108" s="517"/>
    </row>
    <row r="109" spans="1:35" s="78" customFormat="1" ht="24.75" customHeight="1" thickBot="1">
      <c r="A109" s="299"/>
      <c r="B109" s="299"/>
      <c r="C109" s="299"/>
      <c r="D109" s="299"/>
      <c r="E109" s="2867" t="s">
        <v>514</v>
      </c>
      <c r="F109" s="1373"/>
      <c r="G109" s="1373"/>
      <c r="H109" s="1373"/>
      <c r="I109" s="1373"/>
      <c r="J109" s="1373"/>
      <c r="K109" s="1373"/>
      <c r="L109" s="1373"/>
      <c r="M109" s="1373"/>
      <c r="N109" s="1373"/>
      <c r="O109" s="1373"/>
      <c r="P109" s="1374"/>
      <c r="Q109" s="1268"/>
      <c r="R109" s="1268"/>
      <c r="S109" s="1268"/>
      <c r="T109" s="1268"/>
      <c r="U109" s="1268"/>
      <c r="V109" s="299"/>
      <c r="W109" s="1266"/>
      <c r="X109" s="1266"/>
      <c r="Y109" s="1266"/>
      <c r="Z109" s="1266"/>
      <c r="AA109" s="1266"/>
      <c r="AB109" s="1266"/>
      <c r="AC109" s="1266"/>
      <c r="AD109" s="1266"/>
      <c r="AE109" s="1266"/>
      <c r="AF109" s="1266"/>
      <c r="AG109" s="1266"/>
      <c r="AH109" s="1266"/>
      <c r="AI109" s="223"/>
    </row>
    <row r="110" spans="1:35" ht="15.75" customHeight="1">
      <c r="E110" s="284"/>
      <c r="F110" s="546"/>
      <c r="G110" s="4186" t="s">
        <v>36</v>
      </c>
      <c r="H110" s="4137"/>
      <c r="I110" s="4137"/>
      <c r="J110" s="4137"/>
      <c r="K110" s="4137"/>
      <c r="L110" s="4187" t="s">
        <v>37</v>
      </c>
      <c r="M110" s="4188"/>
      <c r="N110" s="4188"/>
      <c r="O110" s="4188"/>
      <c r="P110" s="4189"/>
      <c r="Q110" s="662"/>
      <c r="R110" s="756"/>
      <c r="S110" s="756"/>
      <c r="T110" s="756"/>
      <c r="U110" s="756"/>
      <c r="V110" s="756"/>
      <c r="W110" s="1266"/>
      <c r="X110" s="1266"/>
      <c r="Y110" s="1266"/>
      <c r="Z110" s="1266"/>
      <c r="AA110" s="1266"/>
      <c r="AB110" s="1266"/>
      <c r="AC110" s="1266"/>
      <c r="AD110" s="1266"/>
      <c r="AE110" s="1266"/>
      <c r="AF110" s="1266"/>
      <c r="AG110" s="1266"/>
      <c r="AH110" s="1266"/>
    </row>
    <row r="111" spans="1:35" ht="15" customHeight="1">
      <c r="E111" s="1273"/>
      <c r="F111" s="547"/>
      <c r="G111" s="4125" t="str">
        <f>CONCATENATE("$0's, real ",dms_DollarReal)</f>
        <v>$0's, real December 2017</v>
      </c>
      <c r="H111" s="4126"/>
      <c r="I111" s="4126"/>
      <c r="J111" s="4126"/>
      <c r="K111" s="4126"/>
      <c r="L111" s="4126"/>
      <c r="M111" s="4126"/>
      <c r="N111" s="4126"/>
      <c r="O111" s="4126"/>
      <c r="P111" s="4169"/>
      <c r="Q111" s="662"/>
      <c r="R111" s="663"/>
      <c r="S111" s="663"/>
      <c r="T111" s="663"/>
      <c r="U111" s="663"/>
      <c r="V111" s="663"/>
      <c r="W111" s="1266"/>
      <c r="X111" s="1266"/>
      <c r="Y111" s="1266"/>
      <c r="Z111" s="1266"/>
      <c r="AA111" s="1266"/>
      <c r="AB111" s="1266"/>
      <c r="AC111" s="1266"/>
      <c r="AD111" s="1266"/>
      <c r="AE111" s="1266"/>
      <c r="AF111" s="1266"/>
      <c r="AG111" s="1266"/>
      <c r="AH111" s="1266"/>
    </row>
    <row r="112" spans="1:35" ht="15">
      <c r="E112" s="1273"/>
      <c r="F112" s="547"/>
      <c r="G112" s="4125" t="s">
        <v>76</v>
      </c>
      <c r="H112" s="4126"/>
      <c r="I112" s="4126"/>
      <c r="J112" s="4126"/>
      <c r="K112" s="4126"/>
      <c r="L112" s="4126"/>
      <c r="M112" s="4126"/>
      <c r="N112" s="4126"/>
      <c r="O112" s="4126"/>
      <c r="P112" s="4169"/>
      <c r="Q112" s="662"/>
      <c r="R112" s="663"/>
      <c r="S112" s="663"/>
      <c r="T112" s="663"/>
      <c r="U112" s="663"/>
      <c r="V112" s="663"/>
      <c r="W112" s="1266"/>
      <c r="X112" s="1266"/>
      <c r="Y112" s="1266"/>
      <c r="Z112" s="1266"/>
      <c r="AA112" s="1266"/>
      <c r="AB112" s="1266"/>
      <c r="AC112" s="1266"/>
      <c r="AD112" s="1266"/>
      <c r="AE112" s="1266"/>
      <c r="AF112" s="1266"/>
      <c r="AG112" s="1266"/>
      <c r="AH112" s="1266"/>
    </row>
    <row r="113" spans="1:35" ht="15.75" thickBot="1">
      <c r="E113" s="3047"/>
      <c r="F113" s="3048"/>
      <c r="G113" s="1521">
        <f t="array" ref="G113:K113">PRCP</f>
        <v>2008</v>
      </c>
      <c r="H113" s="374">
        <v>2009</v>
      </c>
      <c r="I113" s="374">
        <v>2010</v>
      </c>
      <c r="J113" s="374">
        <v>2011</v>
      </c>
      <c r="K113" s="374">
        <v>2012</v>
      </c>
      <c r="L113" s="376">
        <f>CRCP_y1</f>
        <v>2013</v>
      </c>
      <c r="M113" s="376">
        <f>CRCP_y2</f>
        <v>2014</v>
      </c>
      <c r="N113" s="376">
        <f>CRCP_y3</f>
        <v>2015</v>
      </c>
      <c r="O113" s="376">
        <f>CRCP_y4</f>
        <v>2016</v>
      </c>
      <c r="P113" s="568">
        <f>CRCP_y5</f>
        <v>2017</v>
      </c>
      <c r="Q113" s="662"/>
      <c r="R113" s="663"/>
      <c r="S113" s="663"/>
      <c r="T113" s="663"/>
      <c r="U113" s="663"/>
      <c r="V113" s="663"/>
      <c r="W113" s="1266"/>
      <c r="X113" s="1266"/>
      <c r="Y113" s="1266"/>
      <c r="Z113" s="1266"/>
      <c r="AA113" s="1266"/>
      <c r="AB113" s="1266"/>
      <c r="AC113" s="1266"/>
      <c r="AD113" s="1266"/>
      <c r="AE113" s="1266"/>
      <c r="AF113" s="1266"/>
      <c r="AG113" s="1266"/>
      <c r="AH113" s="1266"/>
    </row>
    <row r="114" spans="1:35" s="78" customFormat="1" ht="18" customHeight="1">
      <c r="A114" s="299"/>
      <c r="B114" s="299"/>
      <c r="C114" s="299"/>
      <c r="D114" s="299"/>
      <c r="E114" s="4467" t="s">
        <v>1507</v>
      </c>
      <c r="F114" s="880" t="s">
        <v>619</v>
      </c>
      <c r="G114" s="553"/>
      <c r="H114" s="554"/>
      <c r="I114" s="554"/>
      <c r="J114" s="554"/>
      <c r="K114" s="555"/>
      <c r="L114" s="564"/>
      <c r="M114" s="565"/>
      <c r="N114" s="565"/>
      <c r="O114" s="565"/>
      <c r="P114" s="566"/>
      <c r="Q114" s="664"/>
      <c r="R114" s="664"/>
      <c r="S114" s="664"/>
      <c r="T114" s="664"/>
      <c r="U114" s="664"/>
      <c r="V114" s="664"/>
      <c r="W114" s="1266"/>
      <c r="X114" s="1266"/>
      <c r="Y114" s="1266"/>
      <c r="Z114" s="1266"/>
      <c r="AA114" s="1266"/>
      <c r="AB114" s="1266"/>
      <c r="AC114" s="1266"/>
      <c r="AD114" s="1266"/>
      <c r="AE114" s="1266"/>
      <c r="AF114" s="1266"/>
      <c r="AG114" s="1266"/>
      <c r="AH114" s="1266"/>
      <c r="AI114" s="223"/>
    </row>
    <row r="115" spans="1:35" ht="12.75" customHeight="1">
      <c r="E115" s="4468"/>
      <c r="F115" s="542" t="s">
        <v>585</v>
      </c>
      <c r="G115" s="497"/>
      <c r="H115" s="495"/>
      <c r="I115" s="495"/>
      <c r="J115" s="495"/>
      <c r="K115" s="556"/>
      <c r="L115" s="486"/>
      <c r="M115" s="485"/>
      <c r="N115" s="485"/>
      <c r="O115" s="485"/>
      <c r="P115" s="487"/>
      <c r="Q115" s="577"/>
      <c r="R115" s="577"/>
      <c r="S115" s="577"/>
      <c r="T115" s="577"/>
      <c r="U115" s="577"/>
      <c r="V115" s="577"/>
      <c r="W115" s="1266"/>
      <c r="X115" s="1266"/>
      <c r="Y115" s="1266"/>
      <c r="Z115" s="1266"/>
      <c r="AA115" s="1266"/>
      <c r="AB115" s="1266"/>
      <c r="AC115" s="1266"/>
      <c r="AD115" s="1266"/>
      <c r="AE115" s="1266"/>
      <c r="AF115" s="1266"/>
      <c r="AG115" s="1266"/>
      <c r="AH115" s="1266"/>
    </row>
    <row r="116" spans="1:35" ht="12.75" customHeight="1">
      <c r="E116" s="4468"/>
      <c r="F116" s="542" t="s">
        <v>584</v>
      </c>
      <c r="G116" s="497"/>
      <c r="H116" s="495"/>
      <c r="I116" s="495"/>
      <c r="J116" s="495"/>
      <c r="K116" s="556"/>
      <c r="L116" s="486">
        <v>22566105</v>
      </c>
      <c r="M116" s="485">
        <v>1171597</v>
      </c>
      <c r="N116" s="485">
        <v>1124953</v>
      </c>
      <c r="O116" s="485">
        <v>0</v>
      </c>
      <c r="P116" s="487">
        <v>0</v>
      </c>
      <c r="Q116" s="577"/>
      <c r="R116" s="577"/>
      <c r="S116" s="577"/>
      <c r="T116" s="577"/>
      <c r="U116" s="577"/>
      <c r="V116" s="577"/>
      <c r="W116" s="1266"/>
      <c r="X116" s="1266"/>
      <c r="Y116" s="1266"/>
      <c r="Z116" s="1266"/>
      <c r="AA116" s="1266"/>
      <c r="AB116" s="1266"/>
      <c r="AC116" s="1266"/>
      <c r="AD116" s="1266"/>
      <c r="AE116" s="1266"/>
      <c r="AF116" s="1266"/>
      <c r="AG116" s="1266"/>
      <c r="AH116" s="1266"/>
    </row>
    <row r="117" spans="1:35" ht="12.75" customHeight="1">
      <c r="E117" s="4468"/>
      <c r="F117" s="542" t="s">
        <v>604</v>
      </c>
      <c r="G117" s="497"/>
      <c r="H117" s="495"/>
      <c r="I117" s="495"/>
      <c r="J117" s="495"/>
      <c r="K117" s="556"/>
      <c r="L117" s="486"/>
      <c r="M117" s="485"/>
      <c r="N117" s="485"/>
      <c r="O117" s="485"/>
      <c r="P117" s="487"/>
      <c r="Q117" s="577"/>
      <c r="R117" s="577"/>
      <c r="S117" s="577"/>
      <c r="T117" s="577"/>
      <c r="U117" s="577"/>
      <c r="V117" s="577"/>
      <c r="W117" s="1266"/>
      <c r="X117" s="1266"/>
      <c r="Y117" s="1266"/>
      <c r="Z117" s="1266"/>
      <c r="AA117" s="1266"/>
      <c r="AB117" s="1266"/>
      <c r="AC117" s="1266"/>
      <c r="AD117" s="1266"/>
      <c r="AE117" s="1266"/>
      <c r="AF117" s="1266"/>
      <c r="AG117" s="1266"/>
      <c r="AH117" s="1266"/>
    </row>
    <row r="118" spans="1:35" ht="12.75" customHeight="1">
      <c r="E118" s="4468"/>
      <c r="F118" s="543" t="s">
        <v>592</v>
      </c>
      <c r="G118" s="486"/>
      <c r="H118" s="485">
        <v>1240000</v>
      </c>
      <c r="I118" s="485"/>
      <c r="J118" s="485"/>
      <c r="K118" s="487"/>
      <c r="L118" s="384">
        <f>SUM(L115:L117)</f>
        <v>22566105</v>
      </c>
      <c r="M118" s="385">
        <f>SUM(M115:M117)</f>
        <v>1171597</v>
      </c>
      <c r="N118" s="385">
        <f t="shared" ref="N118:P118" si="70">SUM(N115:N117)</f>
        <v>1124953</v>
      </c>
      <c r="O118" s="385">
        <f t="shared" si="70"/>
        <v>0</v>
      </c>
      <c r="P118" s="477">
        <f t="shared" si="70"/>
        <v>0</v>
      </c>
      <c r="Q118" s="577"/>
      <c r="R118" s="577"/>
      <c r="S118" s="577"/>
      <c r="T118" s="577"/>
      <c r="U118" s="577"/>
      <c r="V118" s="577"/>
      <c r="W118" s="1266"/>
      <c r="X118" s="1266"/>
      <c r="Y118" s="1266"/>
      <c r="Z118" s="1266"/>
      <c r="AA118" s="1266"/>
      <c r="AB118" s="1266"/>
      <c r="AC118" s="1266"/>
      <c r="AD118" s="1266"/>
      <c r="AE118" s="1266"/>
      <c r="AF118" s="1266"/>
      <c r="AG118" s="1266"/>
      <c r="AH118" s="1266"/>
    </row>
    <row r="119" spans="1:35" ht="12.75" customHeight="1">
      <c r="E119" s="4468"/>
      <c r="F119" s="542" t="s">
        <v>609</v>
      </c>
      <c r="G119" s="486"/>
      <c r="H119" s="485"/>
      <c r="I119" s="485"/>
      <c r="J119" s="485"/>
      <c r="K119" s="487"/>
      <c r="L119" s="536"/>
      <c r="M119" s="537"/>
      <c r="N119" s="537"/>
      <c r="O119" s="537"/>
      <c r="P119" s="573"/>
      <c r="Q119" s="577"/>
      <c r="R119" s="577"/>
      <c r="S119" s="577"/>
      <c r="T119" s="577"/>
      <c r="U119" s="577"/>
      <c r="V119" s="577"/>
      <c r="W119" s="1266"/>
      <c r="X119" s="1266"/>
      <c r="Y119" s="1266"/>
      <c r="Z119" s="1266"/>
      <c r="AA119" s="1266"/>
      <c r="AB119" s="1266"/>
      <c r="AC119" s="1266"/>
      <c r="AD119" s="1266"/>
      <c r="AE119" s="1266"/>
      <c r="AF119" s="1266"/>
      <c r="AG119" s="1266"/>
      <c r="AH119" s="1266"/>
    </row>
    <row r="120" spans="1:35" ht="12.75" customHeight="1">
      <c r="E120" s="4468"/>
      <c r="F120" s="542" t="s">
        <v>159</v>
      </c>
      <c r="G120" s="486"/>
      <c r="H120" s="485"/>
      <c r="I120" s="485"/>
      <c r="J120" s="485"/>
      <c r="K120" s="487"/>
      <c r="L120" s="489"/>
      <c r="M120" s="490"/>
      <c r="N120" s="490"/>
      <c r="O120" s="490"/>
      <c r="P120" s="491"/>
      <c r="Q120" s="577"/>
      <c r="R120" s="577"/>
      <c r="S120" s="577"/>
      <c r="T120" s="577"/>
      <c r="U120" s="577"/>
      <c r="V120" s="577"/>
      <c r="W120" s="1266"/>
      <c r="X120" s="1266"/>
      <c r="Y120" s="1266"/>
      <c r="Z120" s="1266"/>
      <c r="AA120" s="1266"/>
      <c r="AB120" s="1266"/>
      <c r="AC120" s="1266"/>
      <c r="AD120" s="1266"/>
      <c r="AE120" s="1266"/>
      <c r="AF120" s="1266"/>
      <c r="AG120" s="1266"/>
      <c r="AH120" s="1266"/>
    </row>
    <row r="121" spans="1:35" ht="12.75" customHeight="1">
      <c r="E121" s="4468"/>
      <c r="F121" s="543" t="s">
        <v>610</v>
      </c>
      <c r="G121" s="1238">
        <f>SUM(G118:G120)</f>
        <v>0</v>
      </c>
      <c r="H121" s="1239">
        <f t="shared" ref="H121:P121" si="71">SUM(H118:H120)</f>
        <v>1240000</v>
      </c>
      <c r="I121" s="1239">
        <f t="shared" si="71"/>
        <v>0</v>
      </c>
      <c r="J121" s="1239">
        <f t="shared" si="71"/>
        <v>0</v>
      </c>
      <c r="K121" s="1240">
        <f t="shared" si="71"/>
        <v>0</v>
      </c>
      <c r="L121" s="1238">
        <f t="shared" si="71"/>
        <v>22566105</v>
      </c>
      <c r="M121" s="1239">
        <f t="shared" si="71"/>
        <v>1171597</v>
      </c>
      <c r="N121" s="1239">
        <f t="shared" si="71"/>
        <v>1124953</v>
      </c>
      <c r="O121" s="1239">
        <f t="shared" si="71"/>
        <v>0</v>
      </c>
      <c r="P121" s="1240">
        <f t="shared" si="71"/>
        <v>0</v>
      </c>
      <c r="Q121" s="577"/>
      <c r="R121" s="577"/>
      <c r="S121" s="577"/>
      <c r="T121" s="577"/>
      <c r="U121" s="577"/>
      <c r="V121" s="577"/>
      <c r="W121" s="1266"/>
      <c r="X121" s="1266"/>
      <c r="Y121" s="1266"/>
      <c r="Z121" s="1266"/>
      <c r="AA121" s="1266"/>
      <c r="AB121" s="1266"/>
      <c r="AC121" s="1266"/>
      <c r="AD121" s="1266"/>
      <c r="AE121" s="1266"/>
      <c r="AF121" s="1266"/>
      <c r="AG121" s="1266"/>
      <c r="AH121" s="1266"/>
    </row>
    <row r="122" spans="1:35" ht="12.75" customHeight="1">
      <c r="E122" s="4468"/>
      <c r="F122" s="542" t="s">
        <v>35</v>
      </c>
      <c r="G122" s="486"/>
      <c r="H122" s="485"/>
      <c r="I122" s="485"/>
      <c r="J122" s="485"/>
      <c r="K122" s="487"/>
      <c r="L122" s="486"/>
      <c r="M122" s="485"/>
      <c r="N122" s="485"/>
      <c r="O122" s="485"/>
      <c r="P122" s="487"/>
      <c r="Q122" s="577"/>
      <c r="R122" s="577"/>
      <c r="S122" s="577"/>
      <c r="T122" s="577"/>
      <c r="U122" s="577"/>
      <c r="V122" s="577"/>
      <c r="W122" s="1266"/>
      <c r="X122" s="1266"/>
      <c r="Y122" s="1266"/>
      <c r="Z122" s="1266"/>
      <c r="AA122" s="1266"/>
      <c r="AB122" s="1266"/>
      <c r="AC122" s="1266"/>
      <c r="AD122" s="1266"/>
      <c r="AE122" s="1266"/>
      <c r="AF122" s="1266"/>
      <c r="AG122" s="1266"/>
      <c r="AH122" s="1266"/>
    </row>
    <row r="123" spans="1:35" ht="13.5" customHeight="1" thickBot="1">
      <c r="E123" s="4469"/>
      <c r="F123" s="1501" t="s">
        <v>611</v>
      </c>
      <c r="G123" s="1535">
        <f t="shared" ref="G123:P123" si="72">G121-G122</f>
        <v>0</v>
      </c>
      <c r="H123" s="1244">
        <f t="shared" si="72"/>
        <v>1240000</v>
      </c>
      <c r="I123" s="1244">
        <f t="shared" si="72"/>
        <v>0</v>
      </c>
      <c r="J123" s="1244">
        <f t="shared" si="72"/>
        <v>0</v>
      </c>
      <c r="K123" s="1245">
        <f t="shared" si="72"/>
        <v>0</v>
      </c>
      <c r="L123" s="1535">
        <f t="shared" si="72"/>
        <v>22566105</v>
      </c>
      <c r="M123" s="1244">
        <f t="shared" si="72"/>
        <v>1171597</v>
      </c>
      <c r="N123" s="1244">
        <f t="shared" si="72"/>
        <v>1124953</v>
      </c>
      <c r="O123" s="1244">
        <f t="shared" si="72"/>
        <v>0</v>
      </c>
      <c r="P123" s="1245">
        <f t="shared" si="72"/>
        <v>0</v>
      </c>
      <c r="Q123" s="577"/>
      <c r="R123" s="577"/>
      <c r="S123" s="577"/>
      <c r="T123" s="577"/>
      <c r="U123" s="577"/>
      <c r="V123" s="577"/>
      <c r="W123" s="1266"/>
      <c r="X123" s="1266"/>
      <c r="Y123" s="1266"/>
      <c r="Z123" s="1266"/>
      <c r="AA123" s="1266"/>
      <c r="AB123" s="1266"/>
      <c r="AC123" s="1266"/>
      <c r="AD123" s="1266"/>
      <c r="AE123" s="1266"/>
      <c r="AF123" s="1266"/>
      <c r="AG123" s="1266"/>
      <c r="AH123" s="1266"/>
    </row>
    <row r="124" spans="1:35" s="78" customFormat="1" ht="12.75" customHeight="1">
      <c r="A124" s="299"/>
      <c r="B124" s="299"/>
      <c r="C124" s="299"/>
      <c r="D124" s="299"/>
      <c r="E124" s="4467" t="s">
        <v>1509</v>
      </c>
      <c r="F124" s="880" t="s">
        <v>619</v>
      </c>
      <c r="G124" s="553"/>
      <c r="H124" s="554"/>
      <c r="I124" s="554"/>
      <c r="J124" s="554"/>
      <c r="K124" s="555"/>
      <c r="L124" s="564"/>
      <c r="M124" s="565"/>
      <c r="N124" s="565"/>
      <c r="O124" s="565"/>
      <c r="P124" s="566"/>
      <c r="Q124" s="577"/>
      <c r="R124" s="577"/>
      <c r="S124" s="577"/>
      <c r="T124" s="577"/>
      <c r="U124" s="577"/>
      <c r="V124" s="577"/>
      <c r="W124" s="1266"/>
      <c r="X124" s="1266"/>
      <c r="Y124" s="1266"/>
      <c r="Z124" s="1266"/>
      <c r="AA124" s="1266"/>
      <c r="AB124" s="1266"/>
      <c r="AC124" s="1266"/>
      <c r="AD124" s="1266"/>
      <c r="AE124" s="1266"/>
      <c r="AF124" s="1266"/>
      <c r="AG124" s="1266"/>
      <c r="AH124" s="1266"/>
      <c r="AI124" s="501"/>
    </row>
    <row r="125" spans="1:35" ht="12.75" customHeight="1">
      <c r="E125" s="4468"/>
      <c r="F125" s="542" t="s">
        <v>585</v>
      </c>
      <c r="G125" s="497"/>
      <c r="H125" s="495"/>
      <c r="I125" s="495"/>
      <c r="J125" s="495"/>
      <c r="K125" s="556"/>
      <c r="L125" s="486"/>
      <c r="M125" s="485"/>
      <c r="N125" s="485"/>
      <c r="O125" s="485"/>
      <c r="P125" s="487"/>
      <c r="Q125" s="577"/>
      <c r="R125" s="577"/>
      <c r="S125" s="577"/>
      <c r="T125" s="577"/>
      <c r="U125" s="577"/>
      <c r="V125" s="577"/>
      <c r="W125" s="1266"/>
      <c r="X125" s="1266"/>
      <c r="Y125" s="1266"/>
      <c r="Z125" s="1266"/>
      <c r="AA125" s="1266"/>
      <c r="AB125" s="1266"/>
      <c r="AC125" s="1266"/>
      <c r="AD125" s="1266"/>
      <c r="AE125" s="1266"/>
      <c r="AF125" s="1266"/>
      <c r="AG125" s="1266"/>
      <c r="AH125" s="1266"/>
    </row>
    <row r="126" spans="1:35" ht="12.75" customHeight="1">
      <c r="E126" s="4468"/>
      <c r="F126" s="542" t="s">
        <v>584</v>
      </c>
      <c r="G126" s="497"/>
      <c r="H126" s="495"/>
      <c r="I126" s="495"/>
      <c r="J126" s="495"/>
      <c r="K126" s="556"/>
      <c r="L126" s="486">
        <v>0</v>
      </c>
      <c r="M126" s="485">
        <v>225100</v>
      </c>
      <c r="N126" s="485">
        <v>812175</v>
      </c>
      <c r="O126" s="485">
        <v>682073</v>
      </c>
      <c r="P126" s="487">
        <v>682073</v>
      </c>
      <c r="Q126" s="577"/>
      <c r="R126" s="577"/>
      <c r="S126" s="577"/>
      <c r="T126" s="577"/>
      <c r="U126" s="577"/>
      <c r="V126" s="577"/>
      <c r="W126" s="1266"/>
      <c r="X126" s="1266"/>
      <c r="Y126" s="1266"/>
      <c r="Z126" s="1266"/>
      <c r="AA126" s="1266"/>
      <c r="AB126" s="1266"/>
      <c r="AC126" s="1266"/>
      <c r="AD126" s="1266"/>
      <c r="AE126" s="1266"/>
      <c r="AF126" s="1266"/>
      <c r="AG126" s="1266"/>
      <c r="AH126" s="1266"/>
    </row>
    <row r="127" spans="1:35" ht="12.75" customHeight="1">
      <c r="E127" s="4468"/>
      <c r="F127" s="542" t="s">
        <v>604</v>
      </c>
      <c r="G127" s="497"/>
      <c r="H127" s="495"/>
      <c r="I127" s="495"/>
      <c r="J127" s="495"/>
      <c r="K127" s="556"/>
      <c r="L127" s="486"/>
      <c r="M127" s="485"/>
      <c r="N127" s="485"/>
      <c r="O127" s="485"/>
      <c r="P127" s="487"/>
      <c r="Q127" s="577"/>
      <c r="R127" s="577"/>
      <c r="S127" s="577"/>
      <c r="T127" s="577"/>
      <c r="U127" s="577"/>
      <c r="V127" s="577"/>
      <c r="W127" s="1266"/>
      <c r="X127" s="1266"/>
      <c r="Y127" s="1266"/>
      <c r="Z127" s="1266"/>
      <c r="AA127" s="1266"/>
      <c r="AB127" s="1266"/>
      <c r="AC127" s="1266"/>
      <c r="AD127" s="1266"/>
      <c r="AE127" s="1266"/>
      <c r="AF127" s="1266"/>
      <c r="AG127" s="1266"/>
      <c r="AH127" s="1266"/>
    </row>
    <row r="128" spans="1:35" ht="12.75" customHeight="1">
      <c r="E128" s="4468"/>
      <c r="F128" s="543" t="s">
        <v>592</v>
      </c>
      <c r="G128" s="486"/>
      <c r="H128" s="485"/>
      <c r="I128" s="485"/>
      <c r="J128" s="485"/>
      <c r="K128" s="487"/>
      <c r="L128" s="384">
        <f>SUM(L125:L127)</f>
        <v>0</v>
      </c>
      <c r="M128" s="385">
        <f>SUM(M125:M127)</f>
        <v>225100</v>
      </c>
      <c r="N128" s="385">
        <f t="shared" ref="N128:P128" si="73">SUM(N125:N127)</f>
        <v>812175</v>
      </c>
      <c r="O128" s="385">
        <f t="shared" si="73"/>
        <v>682073</v>
      </c>
      <c r="P128" s="477">
        <f t="shared" si="73"/>
        <v>682073</v>
      </c>
      <c r="Q128" s="577"/>
      <c r="R128" s="577"/>
      <c r="S128" s="577"/>
      <c r="T128" s="577"/>
      <c r="U128" s="577"/>
      <c r="V128" s="577"/>
      <c r="W128" s="1266"/>
      <c r="X128" s="1266"/>
      <c r="Y128" s="1266"/>
      <c r="Z128" s="1266"/>
      <c r="AA128" s="1266"/>
      <c r="AB128" s="1266"/>
      <c r="AC128" s="1266"/>
      <c r="AD128" s="1266"/>
      <c r="AE128" s="1266"/>
      <c r="AF128" s="1266"/>
      <c r="AG128" s="1266"/>
      <c r="AH128" s="1266"/>
    </row>
    <row r="129" spans="1:35" ht="12.75" customHeight="1">
      <c r="E129" s="4468"/>
      <c r="F129" s="542" t="s">
        <v>609</v>
      </c>
      <c r="G129" s="486"/>
      <c r="H129" s="485"/>
      <c r="I129" s="485"/>
      <c r="J129" s="485"/>
      <c r="K129" s="487"/>
      <c r="L129" s="536"/>
      <c r="M129" s="537"/>
      <c r="N129" s="537"/>
      <c r="O129" s="537"/>
      <c r="P129" s="573"/>
      <c r="Q129" s="577"/>
      <c r="R129" s="577"/>
      <c r="S129" s="577"/>
      <c r="T129" s="577"/>
      <c r="U129" s="577"/>
      <c r="V129" s="577"/>
      <c r="W129" s="1266"/>
      <c r="X129" s="1266"/>
      <c r="Y129" s="1266"/>
      <c r="Z129" s="1266"/>
      <c r="AA129" s="1266"/>
      <c r="AB129" s="1266"/>
      <c r="AC129" s="1266"/>
      <c r="AD129" s="1266"/>
      <c r="AE129" s="1266"/>
      <c r="AF129" s="1266"/>
      <c r="AG129" s="1266"/>
      <c r="AH129" s="1266"/>
    </row>
    <row r="130" spans="1:35" ht="12.75" customHeight="1">
      <c r="E130" s="4468"/>
      <c r="F130" s="542" t="s">
        <v>159</v>
      </c>
      <c r="G130" s="486"/>
      <c r="H130" s="485"/>
      <c r="I130" s="485"/>
      <c r="J130" s="485"/>
      <c r="K130" s="487"/>
      <c r="L130" s="489"/>
      <c r="M130" s="490"/>
      <c r="N130" s="490"/>
      <c r="O130" s="490"/>
      <c r="P130" s="491"/>
      <c r="Q130" s="577"/>
      <c r="R130" s="577"/>
      <c r="S130" s="577"/>
      <c r="T130" s="577"/>
      <c r="U130" s="577"/>
      <c r="V130" s="577"/>
      <c r="W130" s="1266"/>
      <c r="X130" s="1266"/>
      <c r="Y130" s="1266"/>
      <c r="Z130" s="1266"/>
      <c r="AA130" s="1266"/>
      <c r="AB130" s="1266"/>
      <c r="AC130" s="1266"/>
      <c r="AD130" s="1266"/>
      <c r="AE130" s="1266"/>
      <c r="AF130" s="1266"/>
      <c r="AG130" s="1266"/>
      <c r="AH130" s="1266"/>
    </row>
    <row r="131" spans="1:35" ht="12.75" customHeight="1">
      <c r="E131" s="4468"/>
      <c r="F131" s="543" t="s">
        <v>610</v>
      </c>
      <c r="G131" s="1238">
        <f>SUM(G128:G130)</f>
        <v>0</v>
      </c>
      <c r="H131" s="1239">
        <f t="shared" ref="H131:P131" si="74">SUM(H128:H130)</f>
        <v>0</v>
      </c>
      <c r="I131" s="1239">
        <f t="shared" si="74"/>
        <v>0</v>
      </c>
      <c r="J131" s="1239">
        <f t="shared" si="74"/>
        <v>0</v>
      </c>
      <c r="K131" s="1240">
        <f t="shared" si="74"/>
        <v>0</v>
      </c>
      <c r="L131" s="1238">
        <f t="shared" si="74"/>
        <v>0</v>
      </c>
      <c r="M131" s="1239">
        <f t="shared" si="74"/>
        <v>225100</v>
      </c>
      <c r="N131" s="1239">
        <f t="shared" si="74"/>
        <v>812175</v>
      </c>
      <c r="O131" s="1239">
        <f t="shared" si="74"/>
        <v>682073</v>
      </c>
      <c r="P131" s="1240">
        <f t="shared" si="74"/>
        <v>682073</v>
      </c>
      <c r="Q131" s="577"/>
      <c r="R131" s="577"/>
      <c r="S131" s="577"/>
      <c r="T131" s="577"/>
      <c r="U131" s="577"/>
      <c r="V131" s="577"/>
      <c r="W131" s="1266"/>
      <c r="X131" s="1266"/>
      <c r="Y131" s="1266"/>
      <c r="Z131" s="1266"/>
      <c r="AA131" s="1266"/>
      <c r="AB131" s="1266"/>
      <c r="AC131" s="1266"/>
      <c r="AD131" s="1266"/>
      <c r="AE131" s="1266"/>
      <c r="AF131" s="1266"/>
      <c r="AG131" s="1266"/>
      <c r="AH131" s="1266"/>
    </row>
    <row r="132" spans="1:35" ht="12.75" customHeight="1">
      <c r="E132" s="4468"/>
      <c r="F132" s="542" t="s">
        <v>35</v>
      </c>
      <c r="G132" s="486"/>
      <c r="H132" s="485"/>
      <c r="I132" s="485"/>
      <c r="J132" s="485"/>
      <c r="K132" s="487"/>
      <c r="L132" s="486"/>
      <c r="M132" s="485"/>
      <c r="N132" s="485"/>
      <c r="O132" s="485"/>
      <c r="P132" s="487"/>
      <c r="Q132" s="577"/>
      <c r="R132" s="577"/>
      <c r="S132" s="577"/>
      <c r="T132" s="577"/>
      <c r="U132" s="577"/>
      <c r="V132" s="577"/>
      <c r="W132" s="1266"/>
      <c r="X132" s="1266"/>
      <c r="Y132" s="1266"/>
      <c r="Z132" s="1266"/>
      <c r="AA132" s="1266"/>
      <c r="AB132" s="1266"/>
      <c r="AC132" s="1266"/>
      <c r="AD132" s="1266"/>
      <c r="AE132" s="1266"/>
      <c r="AF132" s="1266"/>
      <c r="AG132" s="1266"/>
      <c r="AH132" s="1266"/>
    </row>
    <row r="133" spans="1:35" ht="13.5" customHeight="1" thickBot="1">
      <c r="E133" s="4469"/>
      <c r="F133" s="1501" t="s">
        <v>611</v>
      </c>
      <c r="G133" s="1535">
        <f t="shared" ref="G133:P133" si="75">G131-G132</f>
        <v>0</v>
      </c>
      <c r="H133" s="1244">
        <f t="shared" si="75"/>
        <v>0</v>
      </c>
      <c r="I133" s="1244">
        <f t="shared" si="75"/>
        <v>0</v>
      </c>
      <c r="J133" s="1244">
        <f t="shared" si="75"/>
        <v>0</v>
      </c>
      <c r="K133" s="1245">
        <f t="shared" si="75"/>
        <v>0</v>
      </c>
      <c r="L133" s="1535">
        <f t="shared" si="75"/>
        <v>0</v>
      </c>
      <c r="M133" s="1244">
        <f t="shared" si="75"/>
        <v>225100</v>
      </c>
      <c r="N133" s="1244">
        <f t="shared" si="75"/>
        <v>812175</v>
      </c>
      <c r="O133" s="1244">
        <f t="shared" si="75"/>
        <v>682073</v>
      </c>
      <c r="P133" s="1245">
        <f t="shared" si="75"/>
        <v>682073</v>
      </c>
      <c r="Q133" s="577"/>
      <c r="R133" s="577"/>
      <c r="S133" s="577"/>
      <c r="T133" s="577"/>
      <c r="U133" s="577"/>
      <c r="V133" s="577"/>
      <c r="W133" s="1266"/>
      <c r="X133" s="1266"/>
      <c r="Y133" s="1266"/>
      <c r="Z133" s="1266"/>
      <c r="AA133" s="1266"/>
      <c r="AB133" s="1266"/>
      <c r="AC133" s="1266"/>
      <c r="AD133" s="1266"/>
      <c r="AE133" s="1266"/>
      <c r="AF133" s="1266"/>
      <c r="AG133" s="1266"/>
      <c r="AH133" s="1266"/>
    </row>
    <row r="134" spans="1:35" ht="12.75" customHeight="1">
      <c r="E134" s="4467" t="s">
        <v>1511</v>
      </c>
      <c r="F134" s="880" t="s">
        <v>619</v>
      </c>
      <c r="G134" s="553"/>
      <c r="H134" s="554"/>
      <c r="I134" s="554"/>
      <c r="J134" s="554"/>
      <c r="K134" s="555"/>
      <c r="L134" s="564"/>
      <c r="M134" s="565"/>
      <c r="N134" s="565"/>
      <c r="O134" s="565"/>
      <c r="P134" s="566"/>
      <c r="Q134" s="577"/>
      <c r="R134" s="577"/>
      <c r="S134" s="577"/>
      <c r="T134" s="577"/>
      <c r="U134" s="577"/>
      <c r="V134" s="577"/>
      <c r="W134" s="1266"/>
      <c r="X134" s="1266"/>
      <c r="Y134" s="1266"/>
      <c r="Z134" s="1266"/>
      <c r="AA134" s="1266"/>
      <c r="AB134" s="1266"/>
      <c r="AC134" s="1266"/>
      <c r="AD134" s="1266"/>
      <c r="AE134" s="1266"/>
      <c r="AF134" s="1266"/>
      <c r="AG134" s="1266"/>
      <c r="AH134" s="1266"/>
    </row>
    <row r="135" spans="1:35" ht="12.75" customHeight="1">
      <c r="E135" s="4468"/>
      <c r="F135" s="542" t="s">
        <v>585</v>
      </c>
      <c r="G135" s="497"/>
      <c r="H135" s="495"/>
      <c r="I135" s="495"/>
      <c r="J135" s="495"/>
      <c r="K135" s="556"/>
      <c r="L135" s="486"/>
      <c r="M135" s="485"/>
      <c r="N135" s="485"/>
      <c r="O135" s="485"/>
      <c r="P135" s="487"/>
      <c r="Q135" s="577"/>
      <c r="R135" s="577"/>
      <c r="S135" s="577"/>
      <c r="T135" s="577"/>
      <c r="U135" s="577"/>
      <c r="V135" s="577"/>
      <c r="W135" s="1266"/>
      <c r="X135" s="1266"/>
      <c r="Y135" s="1266"/>
      <c r="Z135" s="1266"/>
      <c r="AA135" s="1266"/>
      <c r="AB135" s="1266"/>
      <c r="AC135" s="1266"/>
      <c r="AD135" s="1266"/>
      <c r="AE135" s="1266"/>
      <c r="AF135" s="1266"/>
      <c r="AG135" s="1266"/>
      <c r="AH135" s="1266"/>
    </row>
    <row r="136" spans="1:35" ht="12.75" customHeight="1">
      <c r="E136" s="4468"/>
      <c r="F136" s="542" t="s">
        <v>584</v>
      </c>
      <c r="G136" s="497"/>
      <c r="H136" s="495"/>
      <c r="I136" s="495"/>
      <c r="J136" s="495"/>
      <c r="K136" s="556"/>
      <c r="L136" s="486">
        <v>3621522</v>
      </c>
      <c r="M136" s="485">
        <v>3666881</v>
      </c>
      <c r="N136" s="485">
        <v>1655929</v>
      </c>
      <c r="O136" s="485">
        <v>2127576</v>
      </c>
      <c r="P136" s="487">
        <v>893381</v>
      </c>
      <c r="Q136" s="577"/>
      <c r="R136" s="577"/>
      <c r="S136" s="577"/>
      <c r="T136" s="577"/>
      <c r="U136" s="577"/>
      <c r="V136" s="577"/>
      <c r="W136" s="1266"/>
      <c r="X136" s="1266"/>
      <c r="Y136" s="1266"/>
      <c r="Z136" s="1266"/>
      <c r="AA136" s="1266"/>
      <c r="AB136" s="1266"/>
      <c r="AC136" s="1266"/>
      <c r="AD136" s="1266"/>
      <c r="AE136" s="1266"/>
      <c r="AF136" s="1266"/>
      <c r="AG136" s="1266"/>
      <c r="AH136" s="1266"/>
    </row>
    <row r="137" spans="1:35" s="69" customFormat="1" ht="12.75" customHeight="1">
      <c r="A137" s="392"/>
      <c r="B137" s="348"/>
      <c r="C137" s="348"/>
      <c r="D137" s="348"/>
      <c r="E137" s="4468"/>
      <c r="F137" s="542" t="s">
        <v>604</v>
      </c>
      <c r="G137" s="497"/>
      <c r="H137" s="495"/>
      <c r="I137" s="495"/>
      <c r="J137" s="495"/>
      <c r="K137" s="556"/>
      <c r="L137" s="486"/>
      <c r="M137" s="485"/>
      <c r="N137" s="485"/>
      <c r="O137" s="485"/>
      <c r="P137" s="487"/>
      <c r="Q137" s="577"/>
      <c r="R137" s="577"/>
      <c r="S137" s="577"/>
      <c r="T137" s="577"/>
      <c r="U137" s="577"/>
      <c r="V137" s="577"/>
      <c r="W137" s="1266"/>
      <c r="X137" s="1266"/>
      <c r="Y137" s="1266"/>
      <c r="Z137" s="1266"/>
      <c r="AA137" s="1266"/>
      <c r="AB137" s="1266"/>
      <c r="AC137" s="1266"/>
      <c r="AD137" s="1266"/>
      <c r="AE137" s="1266"/>
      <c r="AF137" s="1266"/>
      <c r="AG137" s="1266"/>
      <c r="AH137" s="1266"/>
      <c r="AI137" s="501"/>
    </row>
    <row r="138" spans="1:35" s="69" customFormat="1" ht="12.75" customHeight="1">
      <c r="A138" s="392"/>
      <c r="B138" s="348"/>
      <c r="C138" s="348"/>
      <c r="D138" s="348"/>
      <c r="E138" s="4468"/>
      <c r="F138" s="543" t="s">
        <v>592</v>
      </c>
      <c r="G138" s="486"/>
      <c r="H138" s="485"/>
      <c r="I138" s="485"/>
      <c r="J138" s="485"/>
      <c r="K138" s="487"/>
      <c r="L138" s="384">
        <f>SUM(L135:L137)</f>
        <v>3621522</v>
      </c>
      <c r="M138" s="385">
        <f>SUM(M135:M137)</f>
        <v>3666881</v>
      </c>
      <c r="N138" s="385">
        <f t="shared" ref="N138:P138" si="76">SUM(N135:N137)</f>
        <v>1655929</v>
      </c>
      <c r="O138" s="385">
        <f t="shared" si="76"/>
        <v>2127576</v>
      </c>
      <c r="P138" s="477">
        <f t="shared" si="76"/>
        <v>893381</v>
      </c>
      <c r="Q138" s="577"/>
      <c r="R138" s="577"/>
      <c r="S138" s="577"/>
      <c r="T138" s="577"/>
      <c r="U138" s="577"/>
      <c r="V138" s="577"/>
      <c r="W138" s="1266"/>
      <c r="X138" s="1266"/>
      <c r="Y138" s="1266"/>
      <c r="Z138" s="1266"/>
      <c r="AA138" s="1266"/>
      <c r="AB138" s="1266"/>
      <c r="AC138" s="1266"/>
      <c r="AD138" s="1266"/>
      <c r="AE138" s="1266"/>
      <c r="AF138" s="1266"/>
      <c r="AG138" s="1266"/>
      <c r="AH138" s="1266"/>
      <c r="AI138" s="501"/>
    </row>
    <row r="139" spans="1:35" s="69" customFormat="1" ht="13.5" customHeight="1">
      <c r="A139" s="392"/>
      <c r="B139" s="348"/>
      <c r="C139" s="348"/>
      <c r="D139" s="348"/>
      <c r="E139" s="4468"/>
      <c r="F139" s="542" t="s">
        <v>609</v>
      </c>
      <c r="G139" s="486"/>
      <c r="H139" s="485"/>
      <c r="I139" s="485"/>
      <c r="J139" s="485"/>
      <c r="K139" s="487"/>
      <c r="L139" s="536"/>
      <c r="M139" s="537"/>
      <c r="N139" s="537"/>
      <c r="O139" s="537"/>
      <c r="P139" s="573"/>
      <c r="Q139" s="577"/>
      <c r="R139" s="577"/>
      <c r="S139" s="577"/>
      <c r="T139" s="577"/>
      <c r="U139" s="577"/>
      <c r="V139" s="577"/>
      <c r="W139" s="1266"/>
      <c r="X139" s="1266"/>
      <c r="Y139" s="1266"/>
      <c r="Z139" s="1266"/>
      <c r="AA139" s="1266"/>
      <c r="AB139" s="1266"/>
      <c r="AC139" s="1266"/>
      <c r="AD139" s="1266"/>
      <c r="AE139" s="1266"/>
      <c r="AF139" s="1266"/>
      <c r="AG139" s="1266"/>
      <c r="AH139" s="1266"/>
      <c r="AI139" s="501"/>
    </row>
    <row r="140" spans="1:35" s="69" customFormat="1" ht="32.25" customHeight="1">
      <c r="A140" s="392"/>
      <c r="B140" s="348"/>
      <c r="C140" s="348"/>
      <c r="D140" s="348"/>
      <c r="E140" s="4468"/>
      <c r="F140" s="542" t="s">
        <v>159</v>
      </c>
      <c r="G140" s="486"/>
      <c r="H140" s="485"/>
      <c r="I140" s="485"/>
      <c r="J140" s="485"/>
      <c r="K140" s="487"/>
      <c r="L140" s="489"/>
      <c r="M140" s="490"/>
      <c r="N140" s="490"/>
      <c r="O140" s="490"/>
      <c r="P140" s="491"/>
      <c r="Q140" s="577"/>
      <c r="R140" s="577"/>
      <c r="S140" s="577"/>
      <c r="T140" s="577"/>
      <c r="U140" s="577"/>
      <c r="V140" s="577"/>
      <c r="W140" s="1266"/>
      <c r="X140" s="1266"/>
      <c r="Y140" s="1266"/>
      <c r="Z140" s="1266"/>
      <c r="AA140" s="1266"/>
      <c r="AB140" s="1266"/>
      <c r="AC140" s="1266"/>
      <c r="AD140" s="1266"/>
      <c r="AE140" s="1266"/>
      <c r="AF140" s="1266"/>
      <c r="AG140" s="1266"/>
      <c r="AH140" s="1266"/>
      <c r="AI140" s="501"/>
    </row>
    <row r="141" spans="1:35" s="65" customFormat="1">
      <c r="A141" s="282"/>
      <c r="B141" s="282"/>
      <c r="C141" s="282"/>
      <c r="D141" s="282"/>
      <c r="E141" s="4468"/>
      <c r="F141" s="543" t="s">
        <v>610</v>
      </c>
      <c r="G141" s="1238">
        <f>SUM(G138:G140)</f>
        <v>0</v>
      </c>
      <c r="H141" s="1239">
        <f t="shared" ref="H141:P141" si="77">SUM(H138:H140)</f>
        <v>0</v>
      </c>
      <c r="I141" s="1239">
        <f t="shared" si="77"/>
        <v>0</v>
      </c>
      <c r="J141" s="1239">
        <f t="shared" si="77"/>
        <v>0</v>
      </c>
      <c r="K141" s="1240">
        <f t="shared" si="77"/>
        <v>0</v>
      </c>
      <c r="L141" s="1238">
        <f t="shared" si="77"/>
        <v>3621522</v>
      </c>
      <c r="M141" s="1239">
        <f t="shared" si="77"/>
        <v>3666881</v>
      </c>
      <c r="N141" s="1239">
        <f t="shared" si="77"/>
        <v>1655929</v>
      </c>
      <c r="O141" s="1239">
        <f t="shared" si="77"/>
        <v>2127576</v>
      </c>
      <c r="P141" s="1240">
        <f t="shared" si="77"/>
        <v>893381</v>
      </c>
      <c r="Q141" s="577"/>
      <c r="R141" s="577"/>
      <c r="S141" s="577"/>
      <c r="T141" s="577"/>
      <c r="U141" s="577"/>
      <c r="V141" s="577"/>
      <c r="W141" s="1266"/>
      <c r="X141" s="1266"/>
      <c r="Y141" s="1266"/>
      <c r="Z141" s="1266"/>
      <c r="AA141" s="1266"/>
      <c r="AB141" s="1266"/>
      <c r="AC141" s="1266"/>
      <c r="AD141" s="1266"/>
      <c r="AE141" s="1266"/>
      <c r="AF141" s="1266"/>
      <c r="AG141" s="1266"/>
      <c r="AH141" s="1266"/>
      <c r="AI141" s="501"/>
    </row>
    <row r="142" spans="1:35">
      <c r="E142" s="4468"/>
      <c r="F142" s="542" t="s">
        <v>35</v>
      </c>
      <c r="G142" s="486"/>
      <c r="H142" s="485"/>
      <c r="I142" s="485"/>
      <c r="J142" s="485"/>
      <c r="K142" s="487"/>
      <c r="L142" s="486"/>
      <c r="M142" s="485"/>
      <c r="N142" s="485"/>
      <c r="O142" s="485"/>
      <c r="P142" s="487"/>
      <c r="Q142" s="577"/>
      <c r="R142" s="577"/>
      <c r="S142" s="577"/>
      <c r="T142" s="577"/>
      <c r="U142" s="577"/>
      <c r="V142" s="577"/>
      <c r="W142" s="1266"/>
      <c r="X142" s="1266"/>
      <c r="Y142" s="1266"/>
      <c r="Z142" s="1266"/>
      <c r="AA142" s="1266"/>
      <c r="AB142" s="1266"/>
      <c r="AC142" s="1266"/>
      <c r="AD142" s="1266"/>
      <c r="AE142" s="1266"/>
      <c r="AF142" s="1266"/>
      <c r="AG142" s="1266"/>
      <c r="AH142" s="1266"/>
    </row>
    <row r="143" spans="1:35" ht="13.5" thickBot="1">
      <c r="E143" s="4469"/>
      <c r="F143" s="1501" t="s">
        <v>611</v>
      </c>
      <c r="G143" s="1535">
        <f t="shared" ref="G143:P143" si="78">G141-G142</f>
        <v>0</v>
      </c>
      <c r="H143" s="1244">
        <f t="shared" si="78"/>
        <v>0</v>
      </c>
      <c r="I143" s="1244">
        <f t="shared" si="78"/>
        <v>0</v>
      </c>
      <c r="J143" s="1244">
        <f t="shared" si="78"/>
        <v>0</v>
      </c>
      <c r="K143" s="1245">
        <f t="shared" si="78"/>
        <v>0</v>
      </c>
      <c r="L143" s="1535">
        <f t="shared" si="78"/>
        <v>3621522</v>
      </c>
      <c r="M143" s="1244">
        <f t="shared" si="78"/>
        <v>3666881</v>
      </c>
      <c r="N143" s="1244">
        <f t="shared" si="78"/>
        <v>1655929</v>
      </c>
      <c r="O143" s="1244">
        <f t="shared" si="78"/>
        <v>2127576</v>
      </c>
      <c r="P143" s="1245">
        <f t="shared" si="78"/>
        <v>893381</v>
      </c>
      <c r="Q143" s="577"/>
      <c r="R143" s="577"/>
      <c r="S143" s="577"/>
      <c r="T143" s="577"/>
      <c r="U143" s="577"/>
      <c r="V143" s="577"/>
      <c r="W143" s="1266"/>
      <c r="X143" s="1266"/>
      <c r="Y143" s="1266"/>
      <c r="Z143" s="1266"/>
      <c r="AA143" s="1266"/>
      <c r="AB143" s="1266"/>
      <c r="AC143" s="1266"/>
      <c r="AD143" s="1266"/>
      <c r="AE143" s="1266"/>
      <c r="AF143" s="1266"/>
      <c r="AG143" s="1266"/>
      <c r="AH143" s="1266"/>
    </row>
    <row r="144" spans="1:35">
      <c r="E144" s="4467" t="s">
        <v>1512</v>
      </c>
      <c r="F144" s="880" t="s">
        <v>619</v>
      </c>
      <c r="G144" s="553"/>
      <c r="H144" s="554"/>
      <c r="I144" s="554"/>
      <c r="J144" s="554"/>
      <c r="K144" s="555"/>
      <c r="L144" s="564"/>
      <c r="M144" s="565"/>
      <c r="N144" s="565"/>
      <c r="O144" s="565"/>
      <c r="P144" s="566"/>
      <c r="Q144" s="577"/>
      <c r="R144" s="577"/>
      <c r="S144" s="577"/>
      <c r="T144" s="577"/>
      <c r="U144" s="577"/>
      <c r="V144" s="577"/>
      <c r="W144" s="1266"/>
      <c r="X144" s="1266"/>
      <c r="Y144" s="1266"/>
      <c r="Z144" s="1266"/>
      <c r="AA144" s="1266"/>
      <c r="AB144" s="1266"/>
      <c r="AC144" s="1266"/>
      <c r="AD144" s="1266"/>
      <c r="AE144" s="1266"/>
      <c r="AF144" s="1266"/>
      <c r="AG144" s="1266"/>
      <c r="AH144" s="1266"/>
    </row>
    <row r="145" spans="5:34">
      <c r="E145" s="4468"/>
      <c r="F145" s="542" t="s">
        <v>585</v>
      </c>
      <c r="G145" s="497"/>
      <c r="H145" s="495"/>
      <c r="I145" s="495"/>
      <c r="J145" s="495"/>
      <c r="K145" s="556"/>
      <c r="L145" s="486"/>
      <c r="M145" s="485"/>
      <c r="N145" s="485"/>
      <c r="O145" s="485"/>
      <c r="P145" s="487"/>
      <c r="Q145" s="577"/>
      <c r="R145" s="577"/>
      <c r="S145" s="577"/>
      <c r="T145" s="577"/>
      <c r="U145" s="577"/>
      <c r="V145" s="577"/>
      <c r="W145" s="1266"/>
      <c r="X145" s="1266"/>
      <c r="Y145" s="1266"/>
      <c r="Z145" s="1266"/>
      <c r="AA145" s="1266"/>
      <c r="AB145" s="1266"/>
      <c r="AC145" s="1266"/>
      <c r="AD145" s="1266"/>
      <c r="AE145" s="1266"/>
      <c r="AF145" s="1266"/>
      <c r="AG145" s="1266"/>
      <c r="AH145" s="1266"/>
    </row>
    <row r="146" spans="5:34">
      <c r="E146" s="4468"/>
      <c r="F146" s="542" t="s">
        <v>584</v>
      </c>
      <c r="G146" s="497"/>
      <c r="H146" s="495"/>
      <c r="I146" s="495"/>
      <c r="J146" s="495"/>
      <c r="K146" s="556"/>
      <c r="L146" s="486"/>
      <c r="M146" s="485"/>
      <c r="N146" s="485"/>
      <c r="O146" s="485"/>
      <c r="P146" s="487"/>
      <c r="Q146" s="577"/>
      <c r="R146" s="577"/>
      <c r="S146" s="577"/>
      <c r="T146" s="577"/>
      <c r="U146" s="577"/>
      <c r="V146" s="577"/>
      <c r="W146" s="1266"/>
      <c r="X146" s="1266"/>
      <c r="Y146" s="1266"/>
      <c r="Z146" s="1266"/>
      <c r="AA146" s="1266"/>
      <c r="AB146" s="1266"/>
      <c r="AC146" s="1266"/>
      <c r="AD146" s="1266"/>
      <c r="AE146" s="1266"/>
      <c r="AF146" s="1266"/>
      <c r="AG146" s="1266"/>
      <c r="AH146" s="1266"/>
    </row>
    <row r="147" spans="5:34">
      <c r="E147" s="4468"/>
      <c r="F147" s="542" t="s">
        <v>604</v>
      </c>
      <c r="G147" s="497"/>
      <c r="H147" s="495"/>
      <c r="I147" s="495"/>
      <c r="J147" s="495"/>
      <c r="K147" s="556"/>
      <c r="L147" s="486"/>
      <c r="M147" s="485"/>
      <c r="N147" s="485"/>
      <c r="O147" s="485"/>
      <c r="P147" s="487"/>
      <c r="Q147" s="577"/>
      <c r="R147" s="577"/>
      <c r="S147" s="577"/>
      <c r="T147" s="577"/>
      <c r="U147" s="577"/>
      <c r="V147" s="577"/>
      <c r="W147" s="1266"/>
      <c r="X147" s="1266"/>
      <c r="Y147" s="1266"/>
      <c r="Z147" s="1266"/>
      <c r="AA147" s="1266"/>
      <c r="AB147" s="1266"/>
      <c r="AC147" s="1266"/>
      <c r="AD147" s="1266"/>
      <c r="AE147" s="1266"/>
      <c r="AF147" s="1266"/>
      <c r="AG147" s="1266"/>
      <c r="AH147" s="1266"/>
    </row>
    <row r="148" spans="5:34">
      <c r="E148" s="4468"/>
      <c r="F148" s="543" t="s">
        <v>592</v>
      </c>
      <c r="G148" s="486"/>
      <c r="H148" s="485"/>
      <c r="I148" s="485"/>
      <c r="J148" s="485"/>
      <c r="K148" s="487"/>
      <c r="L148" s="384">
        <f t="shared" ref="L148:P148" si="79">SUM(L145:L147)</f>
        <v>0</v>
      </c>
      <c r="M148" s="385">
        <f t="shared" si="79"/>
        <v>0</v>
      </c>
      <c r="N148" s="385">
        <f t="shared" si="79"/>
        <v>0</v>
      </c>
      <c r="O148" s="385">
        <f t="shared" si="79"/>
        <v>0</v>
      </c>
      <c r="P148" s="477">
        <f t="shared" si="79"/>
        <v>0</v>
      </c>
      <c r="Q148" s="577"/>
      <c r="R148" s="577"/>
      <c r="S148" s="577"/>
      <c r="T148" s="577"/>
      <c r="U148" s="577"/>
      <c r="V148" s="577"/>
      <c r="W148" s="1266"/>
      <c r="X148" s="1266"/>
      <c r="Y148" s="1266"/>
      <c r="Z148" s="1266"/>
      <c r="AA148" s="1266"/>
      <c r="AB148" s="1266"/>
      <c r="AC148" s="1266"/>
      <c r="AD148" s="1266"/>
      <c r="AE148" s="1266"/>
      <c r="AF148" s="1266"/>
      <c r="AG148" s="1266"/>
      <c r="AH148" s="1266"/>
    </row>
    <row r="149" spans="5:34">
      <c r="E149" s="4468"/>
      <c r="F149" s="542" t="s">
        <v>609</v>
      </c>
      <c r="G149" s="486"/>
      <c r="H149" s="485"/>
      <c r="I149" s="485"/>
      <c r="J149" s="485"/>
      <c r="K149" s="487"/>
      <c r="L149" s="536"/>
      <c r="M149" s="537"/>
      <c r="N149" s="537"/>
      <c r="O149" s="537"/>
      <c r="P149" s="573"/>
      <c r="Q149" s="577"/>
      <c r="R149" s="577"/>
      <c r="S149" s="577"/>
      <c r="T149" s="577"/>
      <c r="U149" s="577"/>
      <c r="V149" s="577"/>
      <c r="W149" s="1266"/>
      <c r="X149" s="1266"/>
      <c r="Y149" s="1266"/>
      <c r="Z149" s="1266"/>
      <c r="AA149" s="1266"/>
      <c r="AB149" s="1266"/>
      <c r="AC149" s="1266"/>
      <c r="AD149" s="1266"/>
      <c r="AE149" s="1266"/>
      <c r="AF149" s="1266"/>
      <c r="AG149" s="1266"/>
      <c r="AH149" s="1266"/>
    </row>
    <row r="150" spans="5:34">
      <c r="E150" s="4468"/>
      <c r="F150" s="542" t="s">
        <v>159</v>
      </c>
      <c r="G150" s="486"/>
      <c r="H150" s="485"/>
      <c r="I150" s="485"/>
      <c r="J150" s="485"/>
      <c r="K150" s="487"/>
      <c r="L150" s="489"/>
      <c r="M150" s="490"/>
      <c r="N150" s="490"/>
      <c r="O150" s="490"/>
      <c r="P150" s="491"/>
      <c r="Q150" s="577"/>
      <c r="R150" s="577"/>
      <c r="S150" s="577"/>
      <c r="T150" s="577"/>
      <c r="U150" s="577"/>
      <c r="V150" s="577"/>
      <c r="W150" s="1266"/>
      <c r="X150" s="1266"/>
      <c r="Y150" s="1266"/>
      <c r="Z150" s="1266"/>
      <c r="AA150" s="1266"/>
      <c r="AB150" s="1266"/>
      <c r="AC150" s="1266"/>
      <c r="AD150" s="1266"/>
      <c r="AE150" s="1266"/>
      <c r="AF150" s="1266"/>
      <c r="AG150" s="1266"/>
      <c r="AH150" s="1266"/>
    </row>
    <row r="151" spans="5:34">
      <c r="E151" s="4468"/>
      <c r="F151" s="543" t="s">
        <v>610</v>
      </c>
      <c r="G151" s="1238">
        <f>SUM(G148:G150)</f>
        <v>0</v>
      </c>
      <c r="H151" s="1239">
        <f t="shared" ref="H151:P151" si="80">SUM(H148:H150)</f>
        <v>0</v>
      </c>
      <c r="I151" s="1239">
        <f t="shared" si="80"/>
        <v>0</v>
      </c>
      <c r="J151" s="1239">
        <f t="shared" si="80"/>
        <v>0</v>
      </c>
      <c r="K151" s="1240">
        <f t="shared" si="80"/>
        <v>0</v>
      </c>
      <c r="L151" s="1238">
        <f t="shared" si="80"/>
        <v>0</v>
      </c>
      <c r="M151" s="1239">
        <f t="shared" si="80"/>
        <v>0</v>
      </c>
      <c r="N151" s="1239">
        <f t="shared" si="80"/>
        <v>0</v>
      </c>
      <c r="O151" s="1239">
        <f t="shared" si="80"/>
        <v>0</v>
      </c>
      <c r="P151" s="1240">
        <f t="shared" si="80"/>
        <v>0</v>
      </c>
      <c r="Q151" s="577"/>
      <c r="R151" s="577"/>
      <c r="S151" s="577"/>
      <c r="T151" s="577"/>
      <c r="U151" s="577"/>
      <c r="V151" s="577"/>
      <c r="W151" s="1266"/>
      <c r="X151" s="1266"/>
      <c r="Y151" s="1266"/>
      <c r="Z151" s="1266"/>
      <c r="AA151" s="1266"/>
      <c r="AB151" s="1266"/>
      <c r="AC151" s="1266"/>
      <c r="AD151" s="1266"/>
      <c r="AE151" s="1266"/>
      <c r="AF151" s="1266"/>
      <c r="AG151" s="1266"/>
      <c r="AH151" s="1266"/>
    </row>
    <row r="152" spans="5:34">
      <c r="E152" s="4468"/>
      <c r="F152" s="542" t="s">
        <v>35</v>
      </c>
      <c r="G152" s="486"/>
      <c r="H152" s="485"/>
      <c r="I152" s="485"/>
      <c r="J152" s="485"/>
      <c r="K152" s="487"/>
      <c r="L152" s="486"/>
      <c r="M152" s="485"/>
      <c r="N152" s="485"/>
      <c r="O152" s="485"/>
      <c r="P152" s="487"/>
      <c r="Q152" s="577"/>
      <c r="R152" s="577"/>
      <c r="S152" s="577"/>
      <c r="T152" s="577"/>
      <c r="U152" s="577"/>
      <c r="V152" s="577"/>
      <c r="W152" s="1266"/>
      <c r="X152" s="1266"/>
      <c r="Y152" s="1266"/>
      <c r="Z152" s="1266"/>
      <c r="AA152" s="1266"/>
      <c r="AB152" s="1266"/>
      <c r="AC152" s="1266"/>
      <c r="AD152" s="1266"/>
      <c r="AE152" s="1266"/>
      <c r="AF152" s="1266"/>
      <c r="AG152" s="1266"/>
      <c r="AH152" s="1266"/>
    </row>
    <row r="153" spans="5:34" ht="13.5" thickBot="1">
      <c r="E153" s="4469"/>
      <c r="F153" s="1501" t="s">
        <v>611</v>
      </c>
      <c r="G153" s="1535">
        <f t="shared" ref="G153:P153" si="81">G151-G152</f>
        <v>0</v>
      </c>
      <c r="H153" s="1244">
        <f t="shared" si="81"/>
        <v>0</v>
      </c>
      <c r="I153" s="1244">
        <f t="shared" si="81"/>
        <v>0</v>
      </c>
      <c r="J153" s="1244">
        <f t="shared" si="81"/>
        <v>0</v>
      </c>
      <c r="K153" s="1245">
        <f t="shared" si="81"/>
        <v>0</v>
      </c>
      <c r="L153" s="1535">
        <f t="shared" si="81"/>
        <v>0</v>
      </c>
      <c r="M153" s="1244">
        <f t="shared" si="81"/>
        <v>0</v>
      </c>
      <c r="N153" s="1244">
        <f t="shared" si="81"/>
        <v>0</v>
      </c>
      <c r="O153" s="1244">
        <f t="shared" si="81"/>
        <v>0</v>
      </c>
      <c r="P153" s="1245">
        <f t="shared" si="81"/>
        <v>0</v>
      </c>
      <c r="Q153" s="577"/>
      <c r="R153" s="577"/>
      <c r="S153" s="577"/>
      <c r="T153" s="577"/>
      <c r="U153" s="577"/>
      <c r="V153" s="577"/>
      <c r="W153" s="1266"/>
      <c r="X153" s="1266"/>
      <c r="Y153" s="1266"/>
      <c r="Z153" s="1266"/>
      <c r="AA153" s="1266"/>
      <c r="AB153" s="1266"/>
      <c r="AC153" s="1266"/>
      <c r="AD153" s="1266"/>
      <c r="AE153" s="1266"/>
      <c r="AF153" s="1266"/>
      <c r="AG153" s="1266"/>
      <c r="AH153" s="1266"/>
    </row>
    <row r="154" spans="5:34">
      <c r="E154" s="4467" t="s">
        <v>1513</v>
      </c>
      <c r="F154" s="880" t="s">
        <v>619</v>
      </c>
      <c r="G154" s="553"/>
      <c r="H154" s="554"/>
      <c r="I154" s="554"/>
      <c r="J154" s="554"/>
      <c r="K154" s="555"/>
      <c r="L154" s="564"/>
      <c r="M154" s="565"/>
      <c r="N154" s="565"/>
      <c r="O154" s="565"/>
      <c r="P154" s="566"/>
      <c r="Q154" s="577"/>
      <c r="R154" s="577"/>
      <c r="S154" s="577"/>
      <c r="T154" s="577"/>
      <c r="U154" s="577"/>
      <c r="V154" s="577"/>
      <c r="W154" s="1266"/>
      <c r="X154" s="1266"/>
      <c r="Y154" s="1266"/>
      <c r="Z154" s="1266"/>
      <c r="AA154" s="1266"/>
      <c r="AB154" s="1266"/>
      <c r="AC154" s="1266"/>
      <c r="AD154" s="1266"/>
      <c r="AE154" s="1266"/>
      <c r="AF154" s="1266"/>
      <c r="AG154" s="1266"/>
      <c r="AH154" s="1266"/>
    </row>
    <row r="155" spans="5:34">
      <c r="E155" s="4468"/>
      <c r="F155" s="542" t="s">
        <v>585</v>
      </c>
      <c r="G155" s="497"/>
      <c r="H155" s="495"/>
      <c r="I155" s="495"/>
      <c r="J155" s="495"/>
      <c r="K155" s="556"/>
      <c r="L155" s="486"/>
      <c r="M155" s="485"/>
      <c r="N155" s="485"/>
      <c r="O155" s="485"/>
      <c r="P155" s="487"/>
      <c r="Q155" s="577"/>
      <c r="R155" s="577"/>
      <c r="S155" s="577"/>
      <c r="T155" s="577"/>
      <c r="U155" s="577"/>
      <c r="V155" s="577"/>
      <c r="W155" s="1266"/>
      <c r="X155" s="1266"/>
      <c r="Y155" s="1266"/>
      <c r="Z155" s="1266"/>
      <c r="AA155" s="1266"/>
      <c r="AB155" s="1266"/>
      <c r="AC155" s="1266"/>
      <c r="AD155" s="1266"/>
      <c r="AE155" s="1266"/>
      <c r="AF155" s="1266"/>
      <c r="AG155" s="1266"/>
      <c r="AH155" s="1266"/>
    </row>
    <row r="156" spans="5:34">
      <c r="E156" s="4468"/>
      <c r="F156" s="542" t="s">
        <v>584</v>
      </c>
      <c r="G156" s="497"/>
      <c r="H156" s="495"/>
      <c r="I156" s="495"/>
      <c r="J156" s="495"/>
      <c r="K156" s="556"/>
      <c r="L156" s="486">
        <v>1672184</v>
      </c>
      <c r="M156" s="485">
        <v>749029</v>
      </c>
      <c r="N156" s="485">
        <v>0</v>
      </c>
      <c r="O156" s="485">
        <v>0</v>
      </c>
      <c r="P156" s="487">
        <v>0</v>
      </c>
      <c r="Q156" s="577"/>
      <c r="R156" s="577"/>
      <c r="S156" s="577"/>
      <c r="T156" s="577"/>
      <c r="U156" s="577"/>
      <c r="V156" s="577"/>
      <c r="W156" s="1266"/>
      <c r="X156" s="1266"/>
      <c r="Y156" s="1266"/>
      <c r="Z156" s="1266"/>
      <c r="AA156" s="1266"/>
      <c r="AB156" s="1266"/>
      <c r="AC156" s="1266"/>
      <c r="AD156" s="1266"/>
      <c r="AE156" s="1266"/>
      <c r="AF156" s="1266"/>
      <c r="AG156" s="1266"/>
      <c r="AH156" s="1266"/>
    </row>
    <row r="157" spans="5:34">
      <c r="E157" s="4468"/>
      <c r="F157" s="542" t="s">
        <v>604</v>
      </c>
      <c r="G157" s="497"/>
      <c r="H157" s="495"/>
      <c r="I157" s="495"/>
      <c r="J157" s="495"/>
      <c r="K157" s="556"/>
      <c r="L157" s="486"/>
      <c r="M157" s="485"/>
      <c r="N157" s="485"/>
      <c r="O157" s="485"/>
      <c r="P157" s="487"/>
      <c r="Q157" s="577"/>
      <c r="R157" s="577"/>
      <c r="S157" s="577"/>
      <c r="T157" s="577"/>
      <c r="U157" s="577"/>
      <c r="V157" s="577"/>
      <c r="W157" s="1266"/>
      <c r="X157" s="1266"/>
      <c r="Y157" s="1266"/>
      <c r="Z157" s="1266"/>
      <c r="AA157" s="1266"/>
      <c r="AB157" s="1266"/>
      <c r="AC157" s="1266"/>
      <c r="AD157" s="1266"/>
      <c r="AE157" s="1266"/>
      <c r="AF157" s="1266"/>
      <c r="AG157" s="1266"/>
      <c r="AH157" s="1266"/>
    </row>
    <row r="158" spans="5:34">
      <c r="E158" s="4468"/>
      <c r="F158" s="543" t="s">
        <v>592</v>
      </c>
      <c r="G158" s="486">
        <v>840000</v>
      </c>
      <c r="H158" s="485">
        <v>240000</v>
      </c>
      <c r="I158" s="485">
        <v>220000</v>
      </c>
      <c r="J158" s="485">
        <v>570000</v>
      </c>
      <c r="K158" s="487">
        <v>220000</v>
      </c>
      <c r="L158" s="384">
        <f>SUM(L155:L157)</f>
        <v>1672184</v>
      </c>
      <c r="M158" s="385">
        <f>SUM(M155:M157)</f>
        <v>749029</v>
      </c>
      <c r="N158" s="385">
        <f t="shared" ref="N158:P158" si="82">SUM(N155:N157)</f>
        <v>0</v>
      </c>
      <c r="O158" s="385">
        <f t="shared" si="82"/>
        <v>0</v>
      </c>
      <c r="P158" s="477">
        <f t="shared" si="82"/>
        <v>0</v>
      </c>
      <c r="Q158" s="577"/>
      <c r="R158" s="577"/>
      <c r="S158" s="577"/>
      <c r="T158" s="577"/>
      <c r="U158" s="577"/>
      <c r="V158" s="577"/>
      <c r="W158" s="1266"/>
      <c r="X158" s="1266"/>
      <c r="Y158" s="1266"/>
      <c r="Z158" s="1266"/>
      <c r="AA158" s="1266"/>
      <c r="AB158" s="1266"/>
      <c r="AC158" s="1266"/>
      <c r="AD158" s="1266"/>
      <c r="AE158" s="1266"/>
      <c r="AF158" s="1266"/>
      <c r="AG158" s="1266"/>
      <c r="AH158" s="1266"/>
    </row>
    <row r="159" spans="5:34">
      <c r="E159" s="4468"/>
      <c r="F159" s="542" t="s">
        <v>609</v>
      </c>
      <c r="G159" s="486"/>
      <c r="H159" s="485"/>
      <c r="I159" s="485"/>
      <c r="J159" s="485"/>
      <c r="K159" s="487"/>
      <c r="L159" s="536"/>
      <c r="M159" s="537"/>
      <c r="N159" s="537"/>
      <c r="O159" s="537"/>
      <c r="P159" s="573"/>
      <c r="Q159" s="577"/>
      <c r="R159" s="577"/>
      <c r="S159" s="577"/>
      <c r="T159" s="577"/>
      <c r="U159" s="577"/>
      <c r="V159" s="577"/>
      <c r="W159" s="1266"/>
      <c r="X159" s="1266"/>
      <c r="Y159" s="1266"/>
      <c r="Z159" s="1266"/>
      <c r="AA159" s="1266"/>
      <c r="AB159" s="1266"/>
      <c r="AC159" s="1266"/>
      <c r="AD159" s="1266"/>
      <c r="AE159" s="1266"/>
      <c r="AF159" s="1266"/>
      <c r="AG159" s="1266"/>
      <c r="AH159" s="1266"/>
    </row>
    <row r="160" spans="5:34">
      <c r="E160" s="4468"/>
      <c r="F160" s="542" t="s">
        <v>159</v>
      </c>
      <c r="G160" s="486"/>
      <c r="H160" s="485"/>
      <c r="I160" s="485"/>
      <c r="J160" s="485"/>
      <c r="K160" s="487"/>
      <c r="L160" s="489"/>
      <c r="M160" s="490"/>
      <c r="N160" s="490"/>
      <c r="O160" s="490"/>
      <c r="P160" s="491"/>
      <c r="Q160" s="577"/>
      <c r="R160" s="577"/>
      <c r="S160" s="577"/>
      <c r="T160" s="577"/>
      <c r="U160" s="577"/>
      <c r="V160" s="577"/>
      <c r="W160" s="1266"/>
      <c r="X160" s="1266"/>
      <c r="Y160" s="1266"/>
      <c r="Z160" s="1266"/>
      <c r="AA160" s="1266"/>
      <c r="AB160" s="1266"/>
      <c r="AC160" s="1266"/>
      <c r="AD160" s="1266"/>
      <c r="AE160" s="1266"/>
      <c r="AF160" s="1266"/>
      <c r="AG160" s="1266"/>
      <c r="AH160" s="1266"/>
    </row>
    <row r="161" spans="5:34">
      <c r="E161" s="4468"/>
      <c r="F161" s="543" t="s">
        <v>610</v>
      </c>
      <c r="G161" s="1238">
        <f>SUM(G158:G160)</f>
        <v>840000</v>
      </c>
      <c r="H161" s="1239">
        <f t="shared" ref="H161:P161" si="83">SUM(H158:H160)</f>
        <v>240000</v>
      </c>
      <c r="I161" s="1239">
        <f t="shared" si="83"/>
        <v>220000</v>
      </c>
      <c r="J161" s="1239">
        <f t="shared" si="83"/>
        <v>570000</v>
      </c>
      <c r="K161" s="1240">
        <f t="shared" si="83"/>
        <v>220000</v>
      </c>
      <c r="L161" s="1238">
        <f t="shared" si="83"/>
        <v>1672184</v>
      </c>
      <c r="M161" s="1239">
        <f t="shared" si="83"/>
        <v>749029</v>
      </c>
      <c r="N161" s="1239">
        <f t="shared" si="83"/>
        <v>0</v>
      </c>
      <c r="O161" s="1239">
        <f t="shared" si="83"/>
        <v>0</v>
      </c>
      <c r="P161" s="1240">
        <f t="shared" si="83"/>
        <v>0</v>
      </c>
      <c r="Q161" s="577"/>
      <c r="R161" s="577"/>
      <c r="S161" s="577"/>
      <c r="T161" s="577"/>
      <c r="U161" s="577"/>
      <c r="V161" s="577"/>
      <c r="W161" s="1266"/>
      <c r="X161" s="1266"/>
      <c r="Y161" s="1266"/>
      <c r="Z161" s="1266"/>
      <c r="AA161" s="1266"/>
      <c r="AB161" s="1266"/>
      <c r="AC161" s="1266"/>
      <c r="AD161" s="1266"/>
      <c r="AE161" s="1266"/>
      <c r="AF161" s="1266"/>
      <c r="AG161" s="1266"/>
      <c r="AH161" s="1266"/>
    </row>
    <row r="162" spans="5:34">
      <c r="E162" s="4468"/>
      <c r="F162" s="542" t="s">
        <v>35</v>
      </c>
      <c r="G162" s="486"/>
      <c r="H162" s="485"/>
      <c r="I162" s="485"/>
      <c r="J162" s="485"/>
      <c r="K162" s="487"/>
      <c r="L162" s="486"/>
      <c r="M162" s="485"/>
      <c r="N162" s="485"/>
      <c r="O162" s="485"/>
      <c r="P162" s="487"/>
      <c r="Q162" s="577"/>
      <c r="R162" s="577"/>
      <c r="S162" s="577"/>
      <c r="T162" s="577"/>
      <c r="U162" s="577"/>
      <c r="V162" s="577"/>
      <c r="W162" s="1266"/>
      <c r="X162" s="1266"/>
      <c r="Y162" s="1266"/>
      <c r="Z162" s="1266"/>
      <c r="AA162" s="1266"/>
      <c r="AB162" s="1266"/>
      <c r="AC162" s="1266"/>
      <c r="AD162" s="1266"/>
      <c r="AE162" s="1266"/>
      <c r="AF162" s="1266"/>
      <c r="AG162" s="1266"/>
      <c r="AH162" s="1266"/>
    </row>
    <row r="163" spans="5:34" ht="13.5" thickBot="1">
      <c r="E163" s="4469"/>
      <c r="F163" s="1501" t="s">
        <v>611</v>
      </c>
      <c r="G163" s="1535">
        <f t="shared" ref="G163:P163" si="84">G161-G162</f>
        <v>840000</v>
      </c>
      <c r="H163" s="1244">
        <f t="shared" si="84"/>
        <v>240000</v>
      </c>
      <c r="I163" s="1244">
        <f t="shared" si="84"/>
        <v>220000</v>
      </c>
      <c r="J163" s="1244">
        <f t="shared" si="84"/>
        <v>570000</v>
      </c>
      <c r="K163" s="1245">
        <f t="shared" si="84"/>
        <v>220000</v>
      </c>
      <c r="L163" s="1535">
        <f t="shared" si="84"/>
        <v>1672184</v>
      </c>
      <c r="M163" s="1244">
        <f t="shared" si="84"/>
        <v>749029</v>
      </c>
      <c r="N163" s="1244">
        <f t="shared" si="84"/>
        <v>0</v>
      </c>
      <c r="O163" s="1244">
        <f t="shared" si="84"/>
        <v>0</v>
      </c>
      <c r="P163" s="1245">
        <f t="shared" si="84"/>
        <v>0</v>
      </c>
      <c r="Q163" s="577"/>
      <c r="R163" s="577"/>
      <c r="S163" s="577"/>
      <c r="T163" s="577"/>
      <c r="U163" s="577"/>
      <c r="V163" s="577"/>
      <c r="W163" s="1266"/>
      <c r="X163" s="1266"/>
      <c r="Y163" s="1266"/>
      <c r="Z163" s="1266"/>
      <c r="AA163" s="1266"/>
      <c r="AB163" s="1266"/>
      <c r="AC163" s="1266"/>
      <c r="AD163" s="1266"/>
      <c r="AE163" s="1266"/>
      <c r="AF163" s="1266"/>
      <c r="AG163" s="1266"/>
      <c r="AH163" s="1266"/>
    </row>
    <row r="164" spans="5:34">
      <c r="E164" s="4467" t="s">
        <v>1514</v>
      </c>
      <c r="F164" s="880" t="s">
        <v>619</v>
      </c>
      <c r="G164" s="553"/>
      <c r="H164" s="554"/>
      <c r="I164" s="554"/>
      <c r="J164" s="554"/>
      <c r="K164" s="555"/>
      <c r="L164" s="564"/>
      <c r="M164" s="565"/>
      <c r="N164" s="565"/>
      <c r="O164" s="565"/>
      <c r="P164" s="566"/>
      <c r="Q164" s="577"/>
      <c r="R164" s="577"/>
      <c r="S164" s="577"/>
      <c r="T164" s="577"/>
      <c r="U164" s="577"/>
      <c r="V164" s="577"/>
      <c r="W164" s="1266"/>
      <c r="X164" s="1266"/>
      <c r="Y164" s="1266"/>
      <c r="Z164" s="1266"/>
      <c r="AA164" s="1266"/>
      <c r="AB164" s="1266"/>
      <c r="AC164" s="1266"/>
      <c r="AD164" s="1266"/>
      <c r="AE164" s="1266"/>
      <c r="AF164" s="1266"/>
      <c r="AG164" s="1266"/>
      <c r="AH164" s="1266"/>
    </row>
    <row r="165" spans="5:34">
      <c r="E165" s="4468"/>
      <c r="F165" s="542" t="s">
        <v>585</v>
      </c>
      <c r="G165" s="497"/>
      <c r="H165" s="495"/>
      <c r="I165" s="495"/>
      <c r="J165" s="495"/>
      <c r="K165" s="556"/>
      <c r="L165" s="486"/>
      <c r="M165" s="485"/>
      <c r="N165" s="485"/>
      <c r="O165" s="485"/>
      <c r="P165" s="487"/>
      <c r="Q165" s="577"/>
      <c r="R165" s="577"/>
      <c r="S165" s="577"/>
      <c r="T165" s="577"/>
      <c r="U165" s="577"/>
      <c r="V165" s="577"/>
      <c r="W165" s="1266"/>
      <c r="X165" s="1266"/>
      <c r="Y165" s="1266"/>
      <c r="Z165" s="1266"/>
      <c r="AA165" s="1266"/>
      <c r="AB165" s="1266"/>
      <c r="AC165" s="1266"/>
      <c r="AD165" s="1266"/>
      <c r="AE165" s="1266"/>
      <c r="AF165" s="1266"/>
      <c r="AG165" s="1266"/>
      <c r="AH165" s="1266"/>
    </row>
    <row r="166" spans="5:34">
      <c r="E166" s="4468"/>
      <c r="F166" s="542" t="s">
        <v>584</v>
      </c>
      <c r="G166" s="497"/>
      <c r="H166" s="495"/>
      <c r="I166" s="495"/>
      <c r="J166" s="495"/>
      <c r="K166" s="556"/>
      <c r="L166" s="486">
        <v>2398460</v>
      </c>
      <c r="M166" s="485">
        <v>0</v>
      </c>
      <c r="N166" s="485">
        <v>2320333</v>
      </c>
      <c r="O166" s="485">
        <v>0</v>
      </c>
      <c r="P166" s="487">
        <v>0</v>
      </c>
      <c r="Q166" s="577"/>
      <c r="R166" s="577"/>
      <c r="S166" s="577"/>
      <c r="T166" s="577"/>
      <c r="U166" s="577"/>
      <c r="V166" s="577"/>
      <c r="W166" s="1266"/>
      <c r="X166" s="1266"/>
      <c r="Y166" s="1266"/>
      <c r="Z166" s="1266"/>
      <c r="AA166" s="1266"/>
      <c r="AB166" s="1266"/>
      <c r="AC166" s="1266"/>
      <c r="AD166" s="1266"/>
      <c r="AE166" s="1266"/>
      <c r="AF166" s="1266"/>
      <c r="AG166" s="1266"/>
      <c r="AH166" s="1266"/>
    </row>
    <row r="167" spans="5:34">
      <c r="E167" s="4468"/>
      <c r="F167" s="542" t="s">
        <v>604</v>
      </c>
      <c r="G167" s="497"/>
      <c r="H167" s="495"/>
      <c r="I167" s="495"/>
      <c r="J167" s="495"/>
      <c r="K167" s="556"/>
      <c r="L167" s="486"/>
      <c r="M167" s="485"/>
      <c r="N167" s="485"/>
      <c r="O167" s="485"/>
      <c r="P167" s="487"/>
      <c r="Q167" s="577"/>
      <c r="R167" s="577"/>
      <c r="S167" s="577"/>
      <c r="T167" s="577"/>
      <c r="U167" s="577"/>
      <c r="V167" s="577"/>
      <c r="W167" s="1266"/>
      <c r="X167" s="1266"/>
      <c r="Y167" s="1266"/>
      <c r="Z167" s="1266"/>
      <c r="AA167" s="1266"/>
      <c r="AB167" s="1266"/>
      <c r="AC167" s="1266"/>
      <c r="AD167" s="1266"/>
      <c r="AE167" s="1266"/>
      <c r="AF167" s="1266"/>
      <c r="AG167" s="1266"/>
      <c r="AH167" s="1266"/>
    </row>
    <row r="168" spans="5:34">
      <c r="E168" s="4468"/>
      <c r="F168" s="543" t="s">
        <v>592</v>
      </c>
      <c r="G168" s="486">
        <v>330000</v>
      </c>
      <c r="H168" s="485">
        <v>1320000</v>
      </c>
      <c r="I168" s="485">
        <v>130000</v>
      </c>
      <c r="J168" s="485">
        <v>130000</v>
      </c>
      <c r="K168" s="487">
        <v>130000</v>
      </c>
      <c r="L168" s="384">
        <f>SUM(L165:L167)</f>
        <v>2398460</v>
      </c>
      <c r="M168" s="385">
        <f>SUM(M165:M167)</f>
        <v>0</v>
      </c>
      <c r="N168" s="385">
        <f t="shared" ref="N168:P168" si="85">SUM(N165:N167)</f>
        <v>2320333</v>
      </c>
      <c r="O168" s="385">
        <f t="shared" si="85"/>
        <v>0</v>
      </c>
      <c r="P168" s="477">
        <f t="shared" si="85"/>
        <v>0</v>
      </c>
      <c r="Q168" s="577"/>
      <c r="R168" s="577"/>
      <c r="S168" s="577"/>
      <c r="T168" s="577"/>
      <c r="U168" s="577"/>
      <c r="V168" s="577"/>
      <c r="W168" s="1266"/>
      <c r="X168" s="1266"/>
      <c r="Y168" s="1266"/>
      <c r="Z168" s="1266"/>
      <c r="AA168" s="1266"/>
      <c r="AB168" s="1266"/>
      <c r="AC168" s="1266"/>
      <c r="AD168" s="1266"/>
      <c r="AE168" s="1266"/>
      <c r="AF168" s="1266"/>
      <c r="AG168" s="1266"/>
      <c r="AH168" s="1266"/>
    </row>
    <row r="169" spans="5:34">
      <c r="E169" s="4468"/>
      <c r="F169" s="542" t="s">
        <v>609</v>
      </c>
      <c r="G169" s="486"/>
      <c r="H169" s="485"/>
      <c r="I169" s="485"/>
      <c r="J169" s="485"/>
      <c r="K169" s="487"/>
      <c r="L169" s="536"/>
      <c r="M169" s="537"/>
      <c r="N169" s="537"/>
      <c r="O169" s="537"/>
      <c r="P169" s="573"/>
      <c r="Q169" s="577"/>
      <c r="R169" s="577"/>
      <c r="S169" s="577"/>
      <c r="T169" s="577"/>
      <c r="U169" s="577"/>
      <c r="V169" s="577"/>
      <c r="W169" s="1266"/>
      <c r="X169" s="1266"/>
      <c r="Y169" s="1266"/>
      <c r="Z169" s="1266"/>
      <c r="AA169" s="1266"/>
      <c r="AB169" s="1266"/>
      <c r="AC169" s="1266"/>
      <c r="AD169" s="1266"/>
      <c r="AE169" s="1266"/>
      <c r="AF169" s="1266"/>
      <c r="AG169" s="1266"/>
      <c r="AH169" s="1266"/>
    </row>
    <row r="170" spans="5:34">
      <c r="E170" s="4468"/>
      <c r="F170" s="542" t="s">
        <v>159</v>
      </c>
      <c r="G170" s="486"/>
      <c r="H170" s="485"/>
      <c r="I170" s="485"/>
      <c r="J170" s="485"/>
      <c r="K170" s="487"/>
      <c r="L170" s="489"/>
      <c r="M170" s="490"/>
      <c r="N170" s="490"/>
      <c r="O170" s="490"/>
      <c r="P170" s="491"/>
      <c r="Q170" s="577"/>
      <c r="R170" s="577"/>
      <c r="S170" s="577"/>
      <c r="T170" s="577"/>
      <c r="U170" s="577"/>
      <c r="V170" s="577"/>
      <c r="W170" s="1266"/>
      <c r="X170" s="1266"/>
      <c r="Y170" s="1266"/>
      <c r="Z170" s="1266"/>
      <c r="AA170" s="1266"/>
      <c r="AB170" s="1266"/>
      <c r="AC170" s="1266"/>
      <c r="AD170" s="1266"/>
      <c r="AE170" s="1266"/>
      <c r="AF170" s="1266"/>
      <c r="AG170" s="1266"/>
      <c r="AH170" s="1266"/>
    </row>
    <row r="171" spans="5:34">
      <c r="E171" s="4468"/>
      <c r="F171" s="543" t="s">
        <v>610</v>
      </c>
      <c r="G171" s="1238">
        <f>SUM(G168:G170)</f>
        <v>330000</v>
      </c>
      <c r="H171" s="1239">
        <f t="shared" ref="H171:P171" si="86">SUM(H168:H170)</f>
        <v>1320000</v>
      </c>
      <c r="I171" s="1239">
        <f t="shared" si="86"/>
        <v>130000</v>
      </c>
      <c r="J171" s="1239">
        <f t="shared" si="86"/>
        <v>130000</v>
      </c>
      <c r="K171" s="1240">
        <f t="shared" si="86"/>
        <v>130000</v>
      </c>
      <c r="L171" s="1238">
        <f t="shared" si="86"/>
        <v>2398460</v>
      </c>
      <c r="M171" s="1239">
        <f t="shared" si="86"/>
        <v>0</v>
      </c>
      <c r="N171" s="1239">
        <f t="shared" si="86"/>
        <v>2320333</v>
      </c>
      <c r="O171" s="1239">
        <f t="shared" si="86"/>
        <v>0</v>
      </c>
      <c r="P171" s="1240">
        <f t="shared" si="86"/>
        <v>0</v>
      </c>
      <c r="Q171" s="577"/>
      <c r="R171" s="577"/>
      <c r="S171" s="577"/>
      <c r="T171" s="577"/>
      <c r="U171" s="577"/>
      <c r="V171" s="577"/>
      <c r="W171" s="1266"/>
      <c r="X171" s="1266"/>
      <c r="Y171" s="1266"/>
      <c r="Z171" s="1266"/>
      <c r="AA171" s="1266"/>
      <c r="AB171" s="1266"/>
      <c r="AC171" s="1266"/>
      <c r="AD171" s="1266"/>
      <c r="AE171" s="1266"/>
      <c r="AF171" s="1266"/>
      <c r="AG171" s="1266"/>
      <c r="AH171" s="1266"/>
    </row>
    <row r="172" spans="5:34">
      <c r="E172" s="4468"/>
      <c r="F172" s="542" t="s">
        <v>35</v>
      </c>
      <c r="G172" s="486"/>
      <c r="H172" s="485"/>
      <c r="I172" s="485"/>
      <c r="J172" s="485"/>
      <c r="K172" s="487"/>
      <c r="L172" s="486"/>
      <c r="M172" s="485"/>
      <c r="N172" s="485"/>
      <c r="O172" s="485"/>
      <c r="P172" s="487"/>
      <c r="Q172" s="577"/>
      <c r="R172" s="577"/>
      <c r="S172" s="577"/>
      <c r="T172" s="577"/>
      <c r="U172" s="577"/>
      <c r="V172" s="577"/>
      <c r="W172" s="1266"/>
      <c r="X172" s="1266"/>
      <c r="Y172" s="1266"/>
      <c r="Z172" s="1266"/>
      <c r="AA172" s="1266"/>
      <c r="AB172" s="1266"/>
      <c r="AC172" s="1266"/>
      <c r="AD172" s="1266"/>
      <c r="AE172" s="1266"/>
      <c r="AF172" s="1266"/>
      <c r="AG172" s="1266"/>
      <c r="AH172" s="1266"/>
    </row>
    <row r="173" spans="5:34" ht="13.5" thickBot="1">
      <c r="E173" s="4469"/>
      <c r="F173" s="1501" t="s">
        <v>611</v>
      </c>
      <c r="G173" s="1535">
        <f t="shared" ref="G173:P173" si="87">G171-G172</f>
        <v>330000</v>
      </c>
      <c r="H173" s="1244">
        <f t="shared" si="87"/>
        <v>1320000</v>
      </c>
      <c r="I173" s="1244">
        <f t="shared" si="87"/>
        <v>130000</v>
      </c>
      <c r="J173" s="1244">
        <f t="shared" si="87"/>
        <v>130000</v>
      </c>
      <c r="K173" s="1245">
        <f t="shared" si="87"/>
        <v>130000</v>
      </c>
      <c r="L173" s="1535">
        <f t="shared" si="87"/>
        <v>2398460</v>
      </c>
      <c r="M173" s="1244">
        <f t="shared" si="87"/>
        <v>0</v>
      </c>
      <c r="N173" s="1244">
        <f t="shared" si="87"/>
        <v>2320333</v>
      </c>
      <c r="O173" s="1244">
        <f t="shared" si="87"/>
        <v>0</v>
      </c>
      <c r="P173" s="1245">
        <f t="shared" si="87"/>
        <v>0</v>
      </c>
      <c r="Q173" s="577"/>
      <c r="R173" s="577"/>
      <c r="S173" s="577"/>
      <c r="T173" s="577"/>
      <c r="U173" s="577"/>
      <c r="V173" s="577"/>
      <c r="W173" s="1266"/>
      <c r="X173" s="1266"/>
      <c r="Y173" s="1266"/>
      <c r="Z173" s="1266"/>
      <c r="AA173" s="1266"/>
      <c r="AB173" s="1266"/>
      <c r="AC173" s="1266"/>
      <c r="AD173" s="1266"/>
      <c r="AE173" s="1266"/>
      <c r="AF173" s="1266"/>
      <c r="AG173" s="1266"/>
      <c r="AH173" s="1266"/>
    </row>
    <row r="174" spans="5:34">
      <c r="E174" s="4467" t="s">
        <v>1524</v>
      </c>
      <c r="F174" s="880" t="s">
        <v>619</v>
      </c>
      <c r="G174" s="553"/>
      <c r="H174" s="554"/>
      <c r="I174" s="554"/>
      <c r="J174" s="554"/>
      <c r="K174" s="555"/>
      <c r="L174" s="564"/>
      <c r="M174" s="565"/>
      <c r="N174" s="565"/>
      <c r="O174" s="565"/>
      <c r="P174" s="566"/>
      <c r="Q174" s="577"/>
      <c r="R174" s="577"/>
      <c r="S174" s="577"/>
      <c r="T174" s="577"/>
      <c r="U174" s="577"/>
      <c r="V174" s="577"/>
      <c r="W174" s="1266"/>
      <c r="X174" s="1266"/>
      <c r="Y174" s="1266"/>
      <c r="Z174" s="1266"/>
      <c r="AA174" s="1266"/>
      <c r="AB174" s="1266"/>
      <c r="AC174" s="1266"/>
      <c r="AD174" s="1266"/>
      <c r="AE174" s="1266"/>
      <c r="AF174" s="1266"/>
      <c r="AG174" s="1266"/>
      <c r="AH174" s="1266"/>
    </row>
    <row r="175" spans="5:34">
      <c r="E175" s="4468"/>
      <c r="F175" s="542" t="s">
        <v>585</v>
      </c>
      <c r="G175" s="497"/>
      <c r="H175" s="495"/>
      <c r="I175" s="495"/>
      <c r="J175" s="495"/>
      <c r="K175" s="556"/>
      <c r="L175" s="486"/>
      <c r="M175" s="485"/>
      <c r="N175" s="485"/>
      <c r="O175" s="485"/>
      <c r="P175" s="487"/>
      <c r="Q175" s="577"/>
      <c r="R175" s="577"/>
      <c r="S175" s="577"/>
      <c r="T175" s="577"/>
      <c r="U175" s="577"/>
      <c r="V175" s="577"/>
      <c r="W175" s="1266"/>
      <c r="X175" s="1266"/>
      <c r="Y175" s="1266"/>
      <c r="Z175" s="1266"/>
      <c r="AA175" s="1266"/>
      <c r="AB175" s="1266"/>
      <c r="AC175" s="1266"/>
      <c r="AD175" s="1266"/>
      <c r="AE175" s="1266"/>
      <c r="AF175" s="1266"/>
      <c r="AG175" s="1266"/>
      <c r="AH175" s="1266"/>
    </row>
    <row r="176" spans="5:34">
      <c r="E176" s="4468"/>
      <c r="F176" s="542" t="s">
        <v>584</v>
      </c>
      <c r="G176" s="497"/>
      <c r="H176" s="495"/>
      <c r="I176" s="495"/>
      <c r="J176" s="495"/>
      <c r="K176" s="556"/>
      <c r="L176" s="486">
        <v>702313</v>
      </c>
      <c r="M176" s="485">
        <v>1230120</v>
      </c>
      <c r="N176" s="485">
        <v>1058639</v>
      </c>
      <c r="O176" s="485">
        <v>705314</v>
      </c>
      <c r="P176" s="487">
        <v>209146</v>
      </c>
      <c r="Q176" s="577"/>
      <c r="R176" s="577"/>
      <c r="S176" s="577"/>
      <c r="T176" s="577"/>
      <c r="U176" s="577"/>
      <c r="V176" s="577"/>
      <c r="W176" s="1266"/>
      <c r="X176" s="1266"/>
      <c r="Y176" s="1266"/>
      <c r="Z176" s="1266"/>
      <c r="AA176" s="1266"/>
      <c r="AB176" s="1266"/>
      <c r="AC176" s="1266"/>
      <c r="AD176" s="1266"/>
      <c r="AE176" s="1266"/>
      <c r="AF176" s="1266"/>
      <c r="AG176" s="1266"/>
      <c r="AH176" s="1266"/>
    </row>
    <row r="177" spans="5:35">
      <c r="E177" s="4468"/>
      <c r="F177" s="542" t="s">
        <v>604</v>
      </c>
      <c r="G177" s="497"/>
      <c r="H177" s="495"/>
      <c r="I177" s="495"/>
      <c r="J177" s="495"/>
      <c r="K177" s="556"/>
      <c r="L177" s="486"/>
      <c r="M177" s="485"/>
      <c r="N177" s="485"/>
      <c r="O177" s="485"/>
      <c r="P177" s="487"/>
      <c r="Q177" s="577"/>
      <c r="R177" s="577"/>
      <c r="S177" s="577"/>
      <c r="T177" s="577"/>
      <c r="U177" s="577"/>
      <c r="V177" s="577"/>
      <c r="W177" s="1266"/>
      <c r="X177" s="1266"/>
      <c r="Y177" s="1266"/>
      <c r="Z177" s="1266"/>
      <c r="AA177" s="1266"/>
      <c r="AB177" s="1266"/>
      <c r="AC177" s="1266"/>
      <c r="AD177" s="1266"/>
      <c r="AE177" s="1266"/>
      <c r="AF177" s="1266"/>
      <c r="AG177" s="1266"/>
      <c r="AH177" s="1266"/>
    </row>
    <row r="178" spans="5:35">
      <c r="E178" s="4468"/>
      <c r="F178" s="543" t="s">
        <v>592</v>
      </c>
      <c r="G178" s="486"/>
      <c r="H178" s="485"/>
      <c r="I178" s="485"/>
      <c r="J178" s="485"/>
      <c r="K178" s="487"/>
      <c r="L178" s="384">
        <f>SUM(L175:L177)</f>
        <v>702313</v>
      </c>
      <c r="M178" s="385">
        <f>SUM(M175:M177)</f>
        <v>1230120</v>
      </c>
      <c r="N178" s="385">
        <f t="shared" ref="N178:P178" si="88">SUM(N175:N177)</f>
        <v>1058639</v>
      </c>
      <c r="O178" s="385">
        <f t="shared" si="88"/>
        <v>705314</v>
      </c>
      <c r="P178" s="477">
        <f t="shared" si="88"/>
        <v>209146</v>
      </c>
      <c r="Q178" s="577"/>
      <c r="R178" s="577"/>
      <c r="S178" s="577"/>
      <c r="T178" s="577"/>
      <c r="U178" s="577"/>
      <c r="V178" s="577"/>
      <c r="W178" s="1266"/>
      <c r="X178" s="1266"/>
      <c r="Y178" s="1266"/>
      <c r="Z178" s="1266"/>
      <c r="AA178" s="1266"/>
      <c r="AB178" s="1266"/>
      <c r="AC178" s="1266"/>
      <c r="AD178" s="1266"/>
      <c r="AE178" s="1266"/>
      <c r="AF178" s="1266"/>
      <c r="AG178" s="1266"/>
      <c r="AH178" s="1266"/>
    </row>
    <row r="179" spans="5:35">
      <c r="E179" s="4468"/>
      <c r="F179" s="542" t="s">
        <v>609</v>
      </c>
      <c r="G179" s="486"/>
      <c r="H179" s="485"/>
      <c r="I179" s="485"/>
      <c r="J179" s="485"/>
      <c r="K179" s="487"/>
      <c r="L179" s="536"/>
      <c r="M179" s="537"/>
      <c r="N179" s="537"/>
      <c r="O179" s="537"/>
      <c r="P179" s="573"/>
      <c r="Q179" s="577"/>
      <c r="R179" s="577"/>
      <c r="S179" s="577"/>
      <c r="T179" s="577"/>
      <c r="U179" s="577"/>
      <c r="V179" s="577"/>
      <c r="W179" s="1266"/>
      <c r="X179" s="1266"/>
      <c r="Y179" s="1266"/>
      <c r="Z179" s="1266"/>
      <c r="AA179" s="1266"/>
      <c r="AB179" s="1266"/>
      <c r="AC179" s="1266"/>
      <c r="AD179" s="1266"/>
      <c r="AE179" s="1266"/>
      <c r="AF179" s="1266"/>
      <c r="AG179" s="1266"/>
      <c r="AH179" s="1266"/>
    </row>
    <row r="180" spans="5:35">
      <c r="E180" s="4468"/>
      <c r="F180" s="542" t="s">
        <v>159</v>
      </c>
      <c r="G180" s="486"/>
      <c r="H180" s="485"/>
      <c r="I180" s="485"/>
      <c r="J180" s="485"/>
      <c r="K180" s="487"/>
      <c r="L180" s="489"/>
      <c r="M180" s="490"/>
      <c r="N180" s="490"/>
      <c r="O180" s="490"/>
      <c r="P180" s="491"/>
      <c r="Q180" s="577"/>
      <c r="R180" s="577"/>
      <c r="S180" s="577"/>
      <c r="T180" s="577"/>
      <c r="U180" s="577"/>
      <c r="V180" s="577"/>
      <c r="W180" s="1266"/>
      <c r="X180" s="1266"/>
      <c r="Y180" s="1266"/>
      <c r="Z180" s="1266"/>
      <c r="AA180" s="1266"/>
      <c r="AB180" s="1266"/>
      <c r="AC180" s="1266"/>
      <c r="AD180" s="1266"/>
      <c r="AE180" s="1266"/>
      <c r="AF180" s="1266"/>
      <c r="AG180" s="1266"/>
      <c r="AH180" s="1266"/>
    </row>
    <row r="181" spans="5:35">
      <c r="E181" s="4468"/>
      <c r="F181" s="543" t="s">
        <v>610</v>
      </c>
      <c r="G181" s="1238">
        <f>SUM(G178:G180)</f>
        <v>0</v>
      </c>
      <c r="H181" s="1239">
        <f t="shared" ref="H181:P181" si="89">SUM(H178:H180)</f>
        <v>0</v>
      </c>
      <c r="I181" s="1239">
        <f t="shared" si="89"/>
        <v>0</v>
      </c>
      <c r="J181" s="1239">
        <f t="shared" si="89"/>
        <v>0</v>
      </c>
      <c r="K181" s="1240">
        <f t="shared" si="89"/>
        <v>0</v>
      </c>
      <c r="L181" s="1238">
        <f t="shared" si="89"/>
        <v>702313</v>
      </c>
      <c r="M181" s="1239">
        <f t="shared" si="89"/>
        <v>1230120</v>
      </c>
      <c r="N181" s="1239">
        <f t="shared" si="89"/>
        <v>1058639</v>
      </c>
      <c r="O181" s="1239">
        <f t="shared" si="89"/>
        <v>705314</v>
      </c>
      <c r="P181" s="1240">
        <f t="shared" si="89"/>
        <v>209146</v>
      </c>
      <c r="Q181" s="577"/>
      <c r="R181" s="577"/>
      <c r="S181" s="577"/>
      <c r="T181" s="577"/>
      <c r="U181" s="577"/>
      <c r="V181" s="577"/>
      <c r="W181" s="1266"/>
      <c r="X181" s="1266"/>
      <c r="Y181" s="1266"/>
      <c r="Z181" s="1266"/>
      <c r="AA181" s="1266"/>
      <c r="AB181" s="1266"/>
      <c r="AC181" s="1266"/>
      <c r="AD181" s="1266"/>
      <c r="AE181" s="1266"/>
      <c r="AF181" s="1266"/>
      <c r="AG181" s="1266"/>
      <c r="AH181" s="1266"/>
    </row>
    <row r="182" spans="5:35">
      <c r="E182" s="4468"/>
      <c r="F182" s="542" t="s">
        <v>35</v>
      </c>
      <c r="G182" s="486"/>
      <c r="H182" s="485"/>
      <c r="I182" s="485"/>
      <c r="J182" s="485"/>
      <c r="K182" s="487"/>
      <c r="L182" s="486"/>
      <c r="M182" s="485"/>
      <c r="N182" s="485"/>
      <c r="O182" s="485"/>
      <c r="P182" s="487"/>
      <c r="Q182" s="577"/>
      <c r="R182" s="577"/>
      <c r="S182" s="577"/>
      <c r="T182" s="577"/>
      <c r="U182" s="577"/>
      <c r="V182" s="577"/>
      <c r="W182" s="1266"/>
      <c r="X182" s="1266"/>
      <c r="Y182" s="1266"/>
      <c r="Z182" s="1266"/>
      <c r="AA182" s="1266"/>
      <c r="AB182" s="1266"/>
      <c r="AC182" s="1266"/>
      <c r="AD182" s="1266"/>
      <c r="AE182" s="1266"/>
      <c r="AF182" s="1266"/>
      <c r="AG182" s="1266"/>
      <c r="AH182" s="1266"/>
    </row>
    <row r="183" spans="5:35" ht="13.5" thickBot="1">
      <c r="E183" s="4469"/>
      <c r="F183" s="1501" t="s">
        <v>611</v>
      </c>
      <c r="G183" s="1535">
        <f t="shared" ref="G183:P183" si="90">G181-G182</f>
        <v>0</v>
      </c>
      <c r="H183" s="1244">
        <f t="shared" si="90"/>
        <v>0</v>
      </c>
      <c r="I183" s="1244">
        <f t="shared" si="90"/>
        <v>0</v>
      </c>
      <c r="J183" s="1244">
        <f t="shared" si="90"/>
        <v>0</v>
      </c>
      <c r="K183" s="1245">
        <f t="shared" si="90"/>
        <v>0</v>
      </c>
      <c r="L183" s="1535">
        <f t="shared" si="90"/>
        <v>702313</v>
      </c>
      <c r="M183" s="1244">
        <f t="shared" si="90"/>
        <v>1230120</v>
      </c>
      <c r="N183" s="1244">
        <f t="shared" si="90"/>
        <v>1058639</v>
      </c>
      <c r="O183" s="1244">
        <f t="shared" si="90"/>
        <v>705314</v>
      </c>
      <c r="P183" s="1245">
        <f t="shared" si="90"/>
        <v>209146</v>
      </c>
      <c r="Q183" s="577"/>
      <c r="R183" s="577"/>
      <c r="S183" s="577"/>
      <c r="T183" s="577"/>
      <c r="U183" s="577"/>
      <c r="V183" s="577"/>
      <c r="W183" s="1266"/>
      <c r="X183" s="1266"/>
      <c r="Y183" s="1266"/>
      <c r="Z183" s="1266"/>
      <c r="AA183" s="1266"/>
      <c r="AB183" s="1266"/>
      <c r="AC183" s="1266"/>
      <c r="AD183" s="1266"/>
      <c r="AE183" s="1266"/>
      <c r="AF183" s="1266"/>
      <c r="AG183" s="1266"/>
      <c r="AH183" s="1266"/>
    </row>
    <row r="184" spans="5:35">
      <c r="E184" s="4467" t="s">
        <v>1525</v>
      </c>
      <c r="F184" s="880" t="s">
        <v>619</v>
      </c>
      <c r="G184" s="553"/>
      <c r="H184" s="554"/>
      <c r="I184" s="554"/>
      <c r="J184" s="554"/>
      <c r="K184" s="555"/>
      <c r="L184" s="564"/>
      <c r="M184" s="565"/>
      <c r="N184" s="565"/>
      <c r="O184" s="565"/>
      <c r="P184" s="566"/>
      <c r="Q184" s="664"/>
      <c r="R184" s="664"/>
      <c r="S184" s="664"/>
      <c r="T184" s="664"/>
      <c r="U184" s="664"/>
      <c r="V184" s="664"/>
      <c r="W184" s="1266"/>
      <c r="X184" s="1266"/>
      <c r="Y184" s="1266"/>
      <c r="Z184" s="1266"/>
      <c r="AA184" s="1266"/>
      <c r="AB184" s="1266"/>
      <c r="AC184" s="1266"/>
      <c r="AD184" s="1266"/>
      <c r="AE184" s="1266"/>
      <c r="AF184" s="1266"/>
      <c r="AG184" s="1266"/>
      <c r="AH184" s="1266"/>
      <c r="AI184" s="223"/>
    </row>
    <row r="185" spans="5:35">
      <c r="E185" s="4468"/>
      <c r="F185" s="542" t="s">
        <v>585</v>
      </c>
      <c r="G185" s="497"/>
      <c r="H185" s="495"/>
      <c r="I185" s="495"/>
      <c r="J185" s="495"/>
      <c r="K185" s="556"/>
      <c r="L185" s="486"/>
      <c r="M185" s="485"/>
      <c r="N185" s="485"/>
      <c r="O185" s="485"/>
      <c r="P185" s="487"/>
      <c r="Q185" s="577"/>
      <c r="R185" s="577"/>
      <c r="S185" s="577"/>
      <c r="T185" s="577"/>
      <c r="U185" s="577"/>
      <c r="V185" s="577"/>
      <c r="W185" s="1266"/>
      <c r="X185" s="1266"/>
      <c r="Y185" s="1266"/>
      <c r="Z185" s="1266"/>
      <c r="AA185" s="1266"/>
      <c r="AB185" s="1266"/>
      <c r="AC185" s="1266"/>
      <c r="AD185" s="1266"/>
      <c r="AE185" s="1266"/>
      <c r="AF185" s="1266"/>
      <c r="AG185" s="1266"/>
      <c r="AH185" s="1266"/>
    </row>
    <row r="186" spans="5:35">
      <c r="E186" s="4468"/>
      <c r="F186" s="542" t="s">
        <v>584</v>
      </c>
      <c r="G186" s="497"/>
      <c r="H186" s="495"/>
      <c r="I186" s="495"/>
      <c r="J186" s="495"/>
      <c r="K186" s="556"/>
      <c r="L186" s="486">
        <v>540241</v>
      </c>
      <c r="M186" s="485">
        <v>0</v>
      </c>
      <c r="N186" s="485">
        <v>0</v>
      </c>
      <c r="O186" s="485">
        <v>0</v>
      </c>
      <c r="P186" s="487">
        <v>0</v>
      </c>
      <c r="Q186" s="577"/>
      <c r="R186" s="577"/>
      <c r="S186" s="577"/>
      <c r="T186" s="577"/>
      <c r="U186" s="577"/>
      <c r="V186" s="577"/>
      <c r="W186" s="1266"/>
      <c r="X186" s="1266"/>
      <c r="Y186" s="1266"/>
      <c r="Z186" s="1266"/>
      <c r="AA186" s="1266"/>
      <c r="AB186" s="1266"/>
      <c r="AC186" s="1266"/>
      <c r="AD186" s="1266"/>
      <c r="AE186" s="1266"/>
      <c r="AF186" s="1266"/>
      <c r="AG186" s="1266"/>
      <c r="AH186" s="1266"/>
    </row>
    <row r="187" spans="5:35">
      <c r="E187" s="4468"/>
      <c r="F187" s="542" t="s">
        <v>604</v>
      </c>
      <c r="G187" s="497"/>
      <c r="H187" s="495"/>
      <c r="I187" s="495"/>
      <c r="J187" s="495"/>
      <c r="K187" s="556"/>
      <c r="L187" s="486"/>
      <c r="M187" s="485"/>
      <c r="N187" s="485"/>
      <c r="O187" s="485"/>
      <c r="P187" s="487"/>
      <c r="Q187" s="577"/>
      <c r="R187" s="577"/>
      <c r="S187" s="577"/>
      <c r="T187" s="577"/>
      <c r="U187" s="577"/>
      <c r="V187" s="577"/>
      <c r="W187" s="1266"/>
      <c r="X187" s="1266"/>
      <c r="Y187" s="1266"/>
      <c r="Z187" s="1266"/>
      <c r="AA187" s="1266"/>
      <c r="AB187" s="1266"/>
      <c r="AC187" s="1266"/>
      <c r="AD187" s="1266"/>
      <c r="AE187" s="1266"/>
      <c r="AF187" s="1266"/>
      <c r="AG187" s="1266"/>
      <c r="AH187" s="1266"/>
    </row>
    <row r="188" spans="5:35">
      <c r="E188" s="4468"/>
      <c r="F188" s="543" t="s">
        <v>592</v>
      </c>
      <c r="G188" s="486">
        <v>2640000</v>
      </c>
      <c r="H188" s="485">
        <v>26020000</v>
      </c>
      <c r="I188" s="485">
        <v>0</v>
      </c>
      <c r="J188" s="485">
        <v>0</v>
      </c>
      <c r="K188" s="487">
        <v>0</v>
      </c>
      <c r="L188" s="384">
        <f>SUM(L185:L187)</f>
        <v>540241</v>
      </c>
      <c r="M188" s="385">
        <f>SUM(M185:M187)</f>
        <v>0</v>
      </c>
      <c r="N188" s="385">
        <f t="shared" ref="N188:P188" si="91">SUM(N185:N187)</f>
        <v>0</v>
      </c>
      <c r="O188" s="385">
        <f t="shared" si="91"/>
        <v>0</v>
      </c>
      <c r="P188" s="477">
        <f t="shared" si="91"/>
        <v>0</v>
      </c>
      <c r="Q188" s="577"/>
      <c r="R188" s="577"/>
      <c r="S188" s="577"/>
      <c r="T188" s="577"/>
      <c r="U188" s="577"/>
      <c r="V188" s="577"/>
      <c r="W188" s="1266"/>
      <c r="X188" s="1266"/>
      <c r="Y188" s="1266"/>
      <c r="Z188" s="1266"/>
      <c r="AA188" s="1266"/>
      <c r="AB188" s="1266"/>
      <c r="AC188" s="1266"/>
      <c r="AD188" s="1266"/>
      <c r="AE188" s="1266"/>
      <c r="AF188" s="1266"/>
      <c r="AG188" s="1266"/>
      <c r="AH188" s="1266"/>
    </row>
    <row r="189" spans="5:35">
      <c r="E189" s="4468"/>
      <c r="F189" s="542" t="s">
        <v>609</v>
      </c>
      <c r="G189" s="486"/>
      <c r="H189" s="485"/>
      <c r="I189" s="485"/>
      <c r="J189" s="485"/>
      <c r="K189" s="487"/>
      <c r="L189" s="536"/>
      <c r="M189" s="537"/>
      <c r="N189" s="537"/>
      <c r="O189" s="537"/>
      <c r="P189" s="573"/>
      <c r="Q189" s="577"/>
      <c r="R189" s="577"/>
      <c r="S189" s="577"/>
      <c r="T189" s="577"/>
      <c r="U189" s="577"/>
      <c r="V189" s="577"/>
      <c r="W189" s="1266"/>
      <c r="X189" s="1266"/>
      <c r="Y189" s="1266"/>
      <c r="Z189" s="1266"/>
      <c r="AA189" s="1266"/>
      <c r="AB189" s="1266"/>
      <c r="AC189" s="1266"/>
      <c r="AD189" s="1266"/>
      <c r="AE189" s="1266"/>
      <c r="AF189" s="1266"/>
      <c r="AG189" s="1266"/>
      <c r="AH189" s="1266"/>
    </row>
    <row r="190" spans="5:35">
      <c r="E190" s="4468"/>
      <c r="F190" s="542" t="s">
        <v>159</v>
      </c>
      <c r="G190" s="486"/>
      <c r="H190" s="485"/>
      <c r="I190" s="485"/>
      <c r="J190" s="485"/>
      <c r="K190" s="487"/>
      <c r="L190" s="489"/>
      <c r="M190" s="490"/>
      <c r="N190" s="490"/>
      <c r="O190" s="490"/>
      <c r="P190" s="491"/>
      <c r="Q190" s="577"/>
      <c r="R190" s="577"/>
      <c r="S190" s="577"/>
      <c r="T190" s="577"/>
      <c r="U190" s="577"/>
      <c r="V190" s="577"/>
      <c r="W190" s="1266"/>
      <c r="X190" s="1266"/>
      <c r="Y190" s="1266"/>
      <c r="Z190" s="1266"/>
      <c r="AA190" s="1266"/>
      <c r="AB190" s="1266"/>
      <c r="AC190" s="1266"/>
      <c r="AD190" s="1266"/>
      <c r="AE190" s="1266"/>
      <c r="AF190" s="1266"/>
      <c r="AG190" s="1266"/>
      <c r="AH190" s="1266"/>
    </row>
    <row r="191" spans="5:35">
      <c r="E191" s="4468"/>
      <c r="F191" s="543" t="s">
        <v>610</v>
      </c>
      <c r="G191" s="1238">
        <f>SUM(G188:G190)</f>
        <v>2640000</v>
      </c>
      <c r="H191" s="1239">
        <f t="shared" ref="H191:P191" si="92">SUM(H188:H190)</f>
        <v>26020000</v>
      </c>
      <c r="I191" s="1239">
        <f t="shared" si="92"/>
        <v>0</v>
      </c>
      <c r="J191" s="1239">
        <f t="shared" si="92"/>
        <v>0</v>
      </c>
      <c r="K191" s="1240">
        <f t="shared" si="92"/>
        <v>0</v>
      </c>
      <c r="L191" s="1238">
        <f t="shared" si="92"/>
        <v>540241</v>
      </c>
      <c r="M191" s="1239">
        <f t="shared" si="92"/>
        <v>0</v>
      </c>
      <c r="N191" s="1239">
        <f t="shared" si="92"/>
        <v>0</v>
      </c>
      <c r="O191" s="1239">
        <f t="shared" si="92"/>
        <v>0</v>
      </c>
      <c r="P191" s="1240">
        <f t="shared" si="92"/>
        <v>0</v>
      </c>
      <c r="Q191" s="577"/>
      <c r="R191" s="577"/>
      <c r="S191" s="577"/>
      <c r="T191" s="577"/>
      <c r="U191" s="577"/>
      <c r="V191" s="577"/>
      <c r="W191" s="1266"/>
      <c r="X191" s="1266"/>
      <c r="Y191" s="1266"/>
      <c r="Z191" s="1266"/>
      <c r="AA191" s="1266"/>
      <c r="AB191" s="1266"/>
      <c r="AC191" s="1266"/>
      <c r="AD191" s="1266"/>
      <c r="AE191" s="1266"/>
      <c r="AF191" s="1266"/>
      <c r="AG191" s="1266"/>
      <c r="AH191" s="1266"/>
    </row>
    <row r="192" spans="5:35">
      <c r="E192" s="4468"/>
      <c r="F192" s="542" t="s">
        <v>35</v>
      </c>
      <c r="G192" s="486"/>
      <c r="H192" s="485"/>
      <c r="I192" s="485"/>
      <c r="J192" s="485"/>
      <c r="K192" s="487"/>
      <c r="L192" s="486"/>
      <c r="M192" s="485"/>
      <c r="N192" s="485"/>
      <c r="O192" s="485"/>
      <c r="P192" s="487"/>
      <c r="Q192" s="577"/>
      <c r="R192" s="577"/>
      <c r="S192" s="577"/>
      <c r="T192" s="577"/>
      <c r="U192" s="577"/>
      <c r="V192" s="577"/>
      <c r="W192" s="1266"/>
      <c r="X192" s="1266"/>
      <c r="Y192" s="1266"/>
      <c r="Z192" s="1266"/>
      <c r="AA192" s="1266"/>
      <c r="AB192" s="1266"/>
      <c r="AC192" s="1266"/>
      <c r="AD192" s="1266"/>
      <c r="AE192" s="1266"/>
      <c r="AF192" s="1266"/>
      <c r="AG192" s="1266"/>
      <c r="AH192" s="1266"/>
    </row>
    <row r="193" spans="5:35" ht="13.5" thickBot="1">
      <c r="E193" s="4469"/>
      <c r="F193" s="1501" t="s">
        <v>611</v>
      </c>
      <c r="G193" s="1535">
        <f t="shared" ref="G193:P193" si="93">G191-G192</f>
        <v>2640000</v>
      </c>
      <c r="H193" s="1244">
        <f t="shared" si="93"/>
        <v>26020000</v>
      </c>
      <c r="I193" s="1244">
        <f t="shared" si="93"/>
        <v>0</v>
      </c>
      <c r="J193" s="1244">
        <f t="shared" si="93"/>
        <v>0</v>
      </c>
      <c r="K193" s="1245">
        <f t="shared" si="93"/>
        <v>0</v>
      </c>
      <c r="L193" s="1535">
        <f t="shared" si="93"/>
        <v>540241</v>
      </c>
      <c r="M193" s="1244">
        <f t="shared" si="93"/>
        <v>0</v>
      </c>
      <c r="N193" s="1244">
        <f t="shared" si="93"/>
        <v>0</v>
      </c>
      <c r="O193" s="1244">
        <f t="shared" si="93"/>
        <v>0</v>
      </c>
      <c r="P193" s="1245">
        <f t="shared" si="93"/>
        <v>0</v>
      </c>
      <c r="Q193" s="577"/>
      <c r="R193" s="577"/>
      <c r="S193" s="577"/>
      <c r="T193" s="577"/>
      <c r="U193" s="577"/>
      <c r="V193" s="577"/>
      <c r="W193" s="1266"/>
      <c r="X193" s="1266"/>
      <c r="Y193" s="1266"/>
      <c r="Z193" s="1266"/>
      <c r="AA193" s="1266"/>
      <c r="AB193" s="1266"/>
      <c r="AC193" s="1266"/>
      <c r="AD193" s="1266"/>
      <c r="AE193" s="1266"/>
      <c r="AF193" s="1266"/>
      <c r="AG193" s="1266"/>
      <c r="AH193" s="1266"/>
    </row>
    <row r="194" spans="5:35">
      <c r="E194" s="4477" t="s">
        <v>360</v>
      </c>
      <c r="F194" s="1532" t="s">
        <v>592</v>
      </c>
      <c r="G194" s="670">
        <f>SUMIF($F$114:$F$193,"Total direct expenditure ",G$114:G$193)</f>
        <v>3810000</v>
      </c>
      <c r="H194" s="671">
        <f t="shared" ref="H194:P194" si="94">SUMIF($F$114:$F$193,"Total direct expenditure ",H$114:H$193)</f>
        <v>28820000</v>
      </c>
      <c r="I194" s="671">
        <f t="shared" si="94"/>
        <v>350000</v>
      </c>
      <c r="J194" s="671">
        <f t="shared" si="94"/>
        <v>700000</v>
      </c>
      <c r="K194" s="672">
        <f t="shared" si="94"/>
        <v>350000</v>
      </c>
      <c r="L194" s="670">
        <f t="shared" si="94"/>
        <v>31500825</v>
      </c>
      <c r="M194" s="671">
        <f t="shared" si="94"/>
        <v>7042727</v>
      </c>
      <c r="N194" s="671">
        <f t="shared" si="94"/>
        <v>6972029</v>
      </c>
      <c r="O194" s="671">
        <f t="shared" si="94"/>
        <v>3514963</v>
      </c>
      <c r="P194" s="1360">
        <f t="shared" si="94"/>
        <v>1784600</v>
      </c>
      <c r="Q194" s="664"/>
      <c r="R194" s="664"/>
      <c r="S194" s="664"/>
      <c r="T194" s="664"/>
      <c r="U194" s="664"/>
      <c r="V194" s="664"/>
      <c r="W194" s="1266"/>
      <c r="X194" s="1266"/>
      <c r="Y194" s="1266"/>
      <c r="Z194" s="1266"/>
      <c r="AA194" s="1266"/>
      <c r="AB194" s="1266"/>
      <c r="AC194" s="1266"/>
      <c r="AD194" s="1266"/>
      <c r="AE194" s="1266"/>
      <c r="AF194" s="1266"/>
      <c r="AG194" s="1266"/>
      <c r="AH194" s="1266"/>
    </row>
    <row r="195" spans="5:35">
      <c r="E195" s="4477"/>
      <c r="F195" s="887" t="s">
        <v>609</v>
      </c>
      <c r="G195" s="1550">
        <f>SUMIF($F$114:$F$193,"Total overhead expenditure",G$114:G$193)</f>
        <v>0</v>
      </c>
      <c r="H195" s="1551">
        <f t="shared" ref="H195:P195" si="95">SUMIF($F$114:$F$193,"Total overhead expenditure",H$114:H$193)</f>
        <v>0</v>
      </c>
      <c r="I195" s="1551">
        <f t="shared" si="95"/>
        <v>0</v>
      </c>
      <c r="J195" s="1551">
        <f t="shared" si="95"/>
        <v>0</v>
      </c>
      <c r="K195" s="1552">
        <f t="shared" si="95"/>
        <v>0</v>
      </c>
      <c r="L195" s="1550">
        <f t="shared" si="95"/>
        <v>0</v>
      </c>
      <c r="M195" s="1551">
        <f t="shared" si="95"/>
        <v>0</v>
      </c>
      <c r="N195" s="1551">
        <f t="shared" si="95"/>
        <v>0</v>
      </c>
      <c r="O195" s="1551">
        <f t="shared" si="95"/>
        <v>0</v>
      </c>
      <c r="P195" s="1553">
        <f t="shared" si="95"/>
        <v>0</v>
      </c>
      <c r="Q195" s="665"/>
      <c r="R195" s="666"/>
      <c r="S195" s="666"/>
      <c r="T195" s="666"/>
      <c r="U195" s="666"/>
      <c r="V195" s="666"/>
      <c r="W195" s="1266"/>
      <c r="X195" s="1266"/>
      <c r="Y195" s="1266"/>
      <c r="Z195" s="1266"/>
      <c r="AA195" s="1266"/>
      <c r="AB195" s="1266"/>
      <c r="AC195" s="1266"/>
      <c r="AD195" s="1266"/>
      <c r="AE195" s="1266"/>
      <c r="AF195" s="1266"/>
      <c r="AG195" s="1266"/>
      <c r="AH195" s="1266"/>
    </row>
    <row r="196" spans="5:35">
      <c r="E196" s="4477"/>
      <c r="F196" s="887" t="s">
        <v>607</v>
      </c>
      <c r="G196" s="1550">
        <f>SUMIF($F$114:$F$193,"Related party margin",G$114:G$193)</f>
        <v>0</v>
      </c>
      <c r="H196" s="1551">
        <f t="shared" ref="H196:P196" si="96">SUMIF($F$114:$F$193,"Related party margin",H$114:H$193)</f>
        <v>0</v>
      </c>
      <c r="I196" s="1551">
        <f t="shared" si="96"/>
        <v>0</v>
      </c>
      <c r="J196" s="1551">
        <f t="shared" si="96"/>
        <v>0</v>
      </c>
      <c r="K196" s="1552">
        <f t="shared" si="96"/>
        <v>0</v>
      </c>
      <c r="L196" s="1550">
        <f t="shared" si="96"/>
        <v>0</v>
      </c>
      <c r="M196" s="1551">
        <f t="shared" si="96"/>
        <v>0</v>
      </c>
      <c r="N196" s="1551">
        <f t="shared" si="96"/>
        <v>0</v>
      </c>
      <c r="O196" s="1551">
        <f t="shared" si="96"/>
        <v>0</v>
      </c>
      <c r="P196" s="1553">
        <f t="shared" si="96"/>
        <v>0</v>
      </c>
      <c r="Q196" s="666"/>
      <c r="R196" s="666"/>
      <c r="S196" s="666"/>
      <c r="T196" s="666"/>
      <c r="U196" s="666"/>
      <c r="V196" s="666"/>
      <c r="W196" s="1266"/>
      <c r="X196" s="1266"/>
      <c r="Y196" s="1266"/>
      <c r="Z196" s="1266"/>
      <c r="AA196" s="1266"/>
      <c r="AB196" s="1266"/>
      <c r="AC196" s="1266"/>
      <c r="AD196" s="1266"/>
      <c r="AE196" s="1266"/>
      <c r="AF196" s="1266"/>
      <c r="AG196" s="1266"/>
      <c r="AH196" s="1266"/>
    </row>
    <row r="197" spans="5:35">
      <c r="E197" s="4477"/>
      <c r="F197" s="1506" t="s">
        <v>610</v>
      </c>
      <c r="G197" s="673">
        <f>SUMIF($F$114:$F$193,"Total gross expenditure",G$114:G$193)</f>
        <v>3810000</v>
      </c>
      <c r="H197" s="656">
        <f t="shared" ref="H197:P197" si="97">SUMIF($F$114:$F$193,"Total gross expenditure",H$114:H$193)</f>
        <v>28820000</v>
      </c>
      <c r="I197" s="656">
        <f t="shared" si="97"/>
        <v>350000</v>
      </c>
      <c r="J197" s="656">
        <f t="shared" si="97"/>
        <v>700000</v>
      </c>
      <c r="K197" s="657">
        <f t="shared" si="97"/>
        <v>350000</v>
      </c>
      <c r="L197" s="673">
        <f t="shared" si="97"/>
        <v>31500825</v>
      </c>
      <c r="M197" s="656">
        <f t="shared" si="97"/>
        <v>7042727</v>
      </c>
      <c r="N197" s="656">
        <f t="shared" si="97"/>
        <v>6972029</v>
      </c>
      <c r="O197" s="656">
        <f t="shared" si="97"/>
        <v>3514963</v>
      </c>
      <c r="P197" s="674">
        <f t="shared" si="97"/>
        <v>1784600</v>
      </c>
      <c r="Q197" s="667"/>
      <c r="R197" s="664"/>
      <c r="S197" s="664"/>
      <c r="T197" s="664"/>
      <c r="U197" s="664"/>
      <c r="V197" s="664"/>
      <c r="W197" s="1266"/>
      <c r="X197" s="1266"/>
      <c r="Y197" s="1266"/>
      <c r="Z197" s="1266"/>
      <c r="AA197" s="1266"/>
      <c r="AB197" s="1266"/>
      <c r="AC197" s="1266"/>
      <c r="AD197" s="1266"/>
      <c r="AE197" s="1266"/>
      <c r="AF197" s="1266"/>
      <c r="AG197" s="1266"/>
      <c r="AH197" s="1266"/>
      <c r="AI197" s="1266"/>
    </row>
    <row r="198" spans="5:35">
      <c r="E198" s="4477"/>
      <c r="F198" s="887" t="s">
        <v>35</v>
      </c>
      <c r="G198" s="1550">
        <f>SUMIF($F$114:$F$193,"Less customer contributions",G$114:G$193)</f>
        <v>0</v>
      </c>
      <c r="H198" s="1551">
        <f t="shared" ref="H198:P198" si="98">SUMIF($F$114:$F$193,"Less customer contributions",H$114:H$193)</f>
        <v>0</v>
      </c>
      <c r="I198" s="1551">
        <f t="shared" si="98"/>
        <v>0</v>
      </c>
      <c r="J198" s="1551">
        <f t="shared" si="98"/>
        <v>0</v>
      </c>
      <c r="K198" s="1552">
        <f t="shared" si="98"/>
        <v>0</v>
      </c>
      <c r="L198" s="1550">
        <f t="shared" si="98"/>
        <v>0</v>
      </c>
      <c r="M198" s="1551">
        <f t="shared" si="98"/>
        <v>0</v>
      </c>
      <c r="N198" s="1551">
        <f t="shared" si="98"/>
        <v>0</v>
      </c>
      <c r="O198" s="1551">
        <f t="shared" si="98"/>
        <v>0</v>
      </c>
      <c r="P198" s="1553">
        <f t="shared" si="98"/>
        <v>0</v>
      </c>
      <c r="Q198" s="668"/>
      <c r="R198" s="669"/>
      <c r="S198" s="669"/>
      <c r="T198" s="669"/>
      <c r="U198" s="669"/>
      <c r="V198" s="669"/>
      <c r="W198" s="1266"/>
      <c r="X198" s="1266"/>
      <c r="Y198" s="1266"/>
      <c r="Z198" s="1266"/>
      <c r="AA198" s="1266"/>
      <c r="AB198" s="1266"/>
      <c r="AC198" s="1266"/>
      <c r="AD198" s="1266"/>
      <c r="AE198" s="1266"/>
      <c r="AF198" s="1266"/>
      <c r="AG198" s="1266"/>
      <c r="AH198" s="1266"/>
      <c r="AI198" s="1266"/>
    </row>
    <row r="199" spans="5:35" ht="13.5" thickBot="1">
      <c r="E199" s="4478"/>
      <c r="F199" s="1507" t="s">
        <v>611</v>
      </c>
      <c r="G199" s="1831">
        <f>SUMIF($F$114:$F$193,"Total net expenditure",G$114:G$193)</f>
        <v>3810000</v>
      </c>
      <c r="H199" s="675">
        <f t="shared" ref="H199:P199" si="99">SUMIF($F$114:$F$193,"Total net expenditure",H$114:H$193)</f>
        <v>28820000</v>
      </c>
      <c r="I199" s="675">
        <f t="shared" si="99"/>
        <v>350000</v>
      </c>
      <c r="J199" s="675">
        <f t="shared" si="99"/>
        <v>700000</v>
      </c>
      <c r="K199" s="676">
        <f t="shared" si="99"/>
        <v>350000</v>
      </c>
      <c r="L199" s="1831">
        <f t="shared" si="99"/>
        <v>31500825</v>
      </c>
      <c r="M199" s="675">
        <f t="shared" si="99"/>
        <v>7042727</v>
      </c>
      <c r="N199" s="675">
        <f t="shared" si="99"/>
        <v>6972029</v>
      </c>
      <c r="O199" s="675">
        <f t="shared" si="99"/>
        <v>3514963</v>
      </c>
      <c r="P199" s="677">
        <f t="shared" si="99"/>
        <v>1784600</v>
      </c>
      <c r="Q199" s="668"/>
      <c r="R199" s="669"/>
      <c r="S199" s="669"/>
      <c r="T199" s="669"/>
      <c r="U199" s="669"/>
      <c r="V199" s="669"/>
      <c r="W199" s="1266"/>
      <c r="X199" s="1266"/>
      <c r="Y199" s="1266"/>
      <c r="Z199" s="1266"/>
      <c r="AA199" s="1266"/>
      <c r="AB199" s="1266"/>
      <c r="AC199" s="1266"/>
      <c r="AD199" s="1266"/>
      <c r="AE199" s="1266"/>
      <c r="AF199" s="1266"/>
      <c r="AG199" s="1266"/>
      <c r="AH199" s="1266"/>
      <c r="AI199" s="1266"/>
    </row>
    <row r="200" spans="5:35" ht="13.5" thickBot="1">
      <c r="E200" s="4196" t="s">
        <v>127</v>
      </c>
      <c r="F200" s="4197"/>
      <c r="G200" s="4485" t="s">
        <v>1526</v>
      </c>
      <c r="H200" s="4486"/>
      <c r="I200" s="4486"/>
      <c r="J200" s="4486"/>
      <c r="K200" s="4487"/>
      <c r="L200" s="4485" t="s">
        <v>1527</v>
      </c>
      <c r="M200" s="4486"/>
      <c r="N200" s="4486"/>
      <c r="O200" s="4486"/>
      <c r="P200" s="4487"/>
      <c r="Q200" s="668"/>
      <c r="R200" s="669"/>
      <c r="S200" s="669"/>
      <c r="T200" s="669"/>
      <c r="U200" s="669"/>
      <c r="V200" s="669"/>
      <c r="W200" s="1266"/>
      <c r="X200" s="1266"/>
      <c r="Y200" s="1266"/>
      <c r="Z200" s="1266"/>
      <c r="AA200" s="1266"/>
      <c r="AB200" s="1266"/>
      <c r="AC200" s="1266"/>
      <c r="AD200" s="1266"/>
      <c r="AE200" s="1266"/>
      <c r="AF200" s="1266"/>
      <c r="AG200" s="1266"/>
      <c r="AH200" s="1266"/>
      <c r="AI200" s="1266"/>
    </row>
  </sheetData>
  <mergeCells count="54">
    <mergeCell ref="G200:K200"/>
    <mergeCell ref="L200:P200"/>
    <mergeCell ref="E164:E173"/>
    <mergeCell ref="E174:E183"/>
    <mergeCell ref="E184:E193"/>
    <mergeCell ref="E194:E199"/>
    <mergeCell ref="E200:F200"/>
    <mergeCell ref="L107:P107"/>
    <mergeCell ref="Q107:U107"/>
    <mergeCell ref="E134:E143"/>
    <mergeCell ref="E144:E153"/>
    <mergeCell ref="E154:E163"/>
    <mergeCell ref="E114:E123"/>
    <mergeCell ref="E124:E133"/>
    <mergeCell ref="G112:P112"/>
    <mergeCell ref="G111:P111"/>
    <mergeCell ref="G110:K110"/>
    <mergeCell ref="L110:P110"/>
    <mergeCell ref="E107:F107"/>
    <mergeCell ref="V81:V90"/>
    <mergeCell ref="E91:E100"/>
    <mergeCell ref="V91:V100"/>
    <mergeCell ref="E101:E106"/>
    <mergeCell ref="V101:V106"/>
    <mergeCell ref="E81:E90"/>
    <mergeCell ref="E51:E60"/>
    <mergeCell ref="V51:V60"/>
    <mergeCell ref="E61:E70"/>
    <mergeCell ref="V61:V70"/>
    <mergeCell ref="E71:E80"/>
    <mergeCell ref="V71:V80"/>
    <mergeCell ref="Z16:AD16"/>
    <mergeCell ref="AE16:AG16"/>
    <mergeCell ref="Z17:AG17"/>
    <mergeCell ref="Z18:AG18"/>
    <mergeCell ref="L16:P16"/>
    <mergeCell ref="G17:N17"/>
    <mergeCell ref="O17:U17"/>
    <mergeCell ref="G18:N18"/>
    <mergeCell ref="O18:U18"/>
    <mergeCell ref="E7:G7"/>
    <mergeCell ref="E8:G8"/>
    <mergeCell ref="E9:G9"/>
    <mergeCell ref="V41:V50"/>
    <mergeCell ref="E21:E30"/>
    <mergeCell ref="V21:V30"/>
    <mergeCell ref="E31:E40"/>
    <mergeCell ref="V31:V40"/>
    <mergeCell ref="E41:E50"/>
    <mergeCell ref="V16:V19"/>
    <mergeCell ref="G16:K16"/>
    <mergeCell ref="E10:G10"/>
    <mergeCell ref="E11:G11"/>
    <mergeCell ref="Q16:U16"/>
  </mergeCells>
  <pageMargins left="0.7" right="0.7" top="0.75" bottom="0.75" header="0.3" footer="0.3"/>
  <pageSetup paperSize="9" orientation="portrait" r:id="rId1"/>
  <customProperties>
    <customPr name="layoutContexts" r:id="rId2"/>
    <customPr name="SaveUndoMode" r:id="rId3"/>
    <customPr name="screen" r:id="rId4"/>
  </customProperties>
  <drawing r:id="rId5"/>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1">
    <tabColor rgb="FF92D050"/>
    <pageSetUpPr autoPageBreaks="0"/>
  </sheetPr>
  <dimension ref="A1:AI106"/>
  <sheetViews>
    <sheetView showGridLines="0" topLeftCell="B28" zoomScale="70" zoomScaleNormal="70" zoomScaleSheetLayoutView="115" workbookViewId="0">
      <selection activeCell="L32" sqref="L32"/>
    </sheetView>
  </sheetViews>
  <sheetFormatPr defaultColWidth="9.140625" defaultRowHeight="12.75"/>
  <cols>
    <col min="1" max="1" width="14.42578125" style="77" customWidth="1"/>
    <col min="2" max="2" width="91.5703125" style="77" customWidth="1"/>
    <col min="3" max="7" width="15.7109375" style="77" customWidth="1"/>
    <col min="8" max="8" width="15.7109375" style="501" customWidth="1"/>
    <col min="9" max="11" width="15.7109375" style="77" customWidth="1"/>
    <col min="12" max="12" width="17.7109375" style="77" customWidth="1"/>
    <col min="13" max="17" width="15.7109375" style="77" customWidth="1"/>
    <col min="18" max="20" width="8.7109375"/>
    <col min="21" max="28" width="15.7109375" style="501" customWidth="1"/>
    <col min="29" max="29" width="8.7109375" customWidth="1"/>
    <col min="30" max="16384" width="9.140625" style="77"/>
  </cols>
  <sheetData>
    <row r="1" spans="1:32" s="159" customFormat="1" ht="24" customHeight="1">
      <c r="B1" s="2272" t="str">
        <f>IF(dms_DataQuality="backcast",INDEX(dms_Worksheet_List,MATCH(dms_Model,dms_Model_List))&amp;" BACKCAST",INDEX(dms_Worksheet_List,MATCH(dms_Model,dms_Model_List)))</f>
        <v>REGULATORY REPORTING STATEMENT</v>
      </c>
      <c r="C1" s="160"/>
      <c r="D1" s="160"/>
      <c r="E1" s="160"/>
      <c r="F1" s="160"/>
      <c r="G1" s="160"/>
      <c r="H1" s="157"/>
      <c r="I1" s="157"/>
      <c r="J1" s="157"/>
      <c r="K1" s="157"/>
      <c r="L1" s="157"/>
      <c r="M1" s="157"/>
      <c r="N1" s="157"/>
      <c r="O1" s="157"/>
      <c r="P1" s="157"/>
      <c r="Q1" s="157"/>
      <c r="R1" s="219"/>
      <c r="S1" s="219"/>
      <c r="T1" s="219"/>
      <c r="U1" s="219"/>
      <c r="V1" s="219"/>
      <c r="W1" s="219"/>
      <c r="X1" s="219"/>
      <c r="Y1" s="219"/>
      <c r="Z1" s="219"/>
      <c r="AA1" s="219"/>
      <c r="AB1" s="219"/>
      <c r="AC1"/>
      <c r="AD1"/>
      <c r="AE1"/>
      <c r="AF1"/>
    </row>
    <row r="2" spans="1:32" s="217" customFormat="1" ht="24" customHeight="1">
      <c r="B2" s="2277" t="str">
        <f>INDEX(dms_TradingNameFull_List,MATCH(dms_TradingName,dms_TradingName_List))</f>
        <v>Multinet Gas (DB No.1) Pty Ltd (ACN 086 026 986), Multinet Gas (DB No.2) Pty Ltd (ACN 086 230 122)</v>
      </c>
      <c r="C2" s="220"/>
      <c r="D2" s="220"/>
      <c r="E2" s="220"/>
      <c r="F2" s="220"/>
      <c r="G2" s="220"/>
      <c r="H2" s="219"/>
      <c r="I2" s="219"/>
      <c r="J2" s="219"/>
      <c r="K2" s="219"/>
      <c r="L2" s="219"/>
      <c r="M2" s="219"/>
      <c r="N2" s="219"/>
      <c r="O2" s="219"/>
      <c r="P2" s="219"/>
      <c r="Q2" s="219"/>
      <c r="R2" s="219"/>
      <c r="S2" s="219"/>
      <c r="T2" s="219"/>
      <c r="U2" s="219"/>
      <c r="V2" s="219"/>
      <c r="W2" s="219"/>
      <c r="X2" s="219"/>
      <c r="Y2" s="219"/>
      <c r="Z2" s="219"/>
      <c r="AA2" s="219"/>
      <c r="AB2" s="219"/>
      <c r="AC2"/>
      <c r="AD2"/>
      <c r="AE2"/>
      <c r="AF2"/>
    </row>
    <row r="3" spans="1:32" s="217" customFormat="1" ht="24" customHeight="1">
      <c r="B3" s="2277" t="str">
        <f ca="1">IF(SUM(dms_SingleYear_Model)&gt;0,CRY,CONCATENATE(FRCP_y1," to ",dms_MultiYear_FinalYear_Result))</f>
        <v>2018 to 2022</v>
      </c>
      <c r="C3" s="221"/>
      <c r="D3" s="221"/>
      <c r="E3" s="221"/>
      <c r="F3" s="221"/>
      <c r="G3" s="221"/>
      <c r="H3" s="222" t="str">
        <f>CONCATENATE(LEFT(FRCP_y1,4),"-",LEFT(FRCP_y5,2),RIGHT(FRCP_y5,2))</f>
        <v>2018-2022</v>
      </c>
      <c r="I3" s="222" t="str">
        <f>CONCATENATE(LEFT(FRCP_y1,4),"-",LEFT(FRCP_y5,2),RIGHT(FRCP_y5,2))</f>
        <v>2018-2022</v>
      </c>
      <c r="J3" s="221"/>
      <c r="K3" s="221"/>
      <c r="L3" s="221"/>
      <c r="M3" s="221"/>
      <c r="N3" s="221"/>
      <c r="O3" s="221"/>
      <c r="P3" s="221"/>
      <c r="Q3" s="221"/>
      <c r="R3" s="1265"/>
      <c r="S3" s="1265"/>
      <c r="T3" s="1265"/>
      <c r="U3" s="1265"/>
      <c r="V3" s="1265"/>
      <c r="W3" s="1265"/>
      <c r="X3" s="1265"/>
      <c r="Y3" s="1265"/>
      <c r="Z3" s="1265"/>
      <c r="AA3" s="1265"/>
      <c r="AB3" s="1265"/>
      <c r="AC3"/>
      <c r="AD3"/>
      <c r="AE3"/>
      <c r="AF3"/>
    </row>
    <row r="4" spans="1:32" s="159" customFormat="1" ht="24" customHeight="1">
      <c r="B4" s="10" t="s">
        <v>515</v>
      </c>
      <c r="C4" s="12"/>
      <c r="D4" s="12"/>
      <c r="E4" s="12"/>
      <c r="F4" s="12"/>
      <c r="G4" s="12"/>
      <c r="H4" s="12"/>
      <c r="I4" s="12"/>
      <c r="J4" s="12"/>
      <c r="K4" s="12"/>
      <c r="L4" s="12"/>
      <c r="M4" s="12"/>
      <c r="N4" s="12"/>
      <c r="O4" s="12"/>
      <c r="P4" s="12"/>
      <c r="Q4" s="12"/>
      <c r="R4" s="12"/>
      <c r="S4" s="12"/>
      <c r="T4" s="12"/>
      <c r="U4" s="12"/>
      <c r="V4" s="12"/>
      <c r="W4" s="12"/>
      <c r="X4" s="12"/>
      <c r="Y4" s="12"/>
      <c r="Z4" s="12"/>
      <c r="AA4" s="12"/>
      <c r="AB4" s="12"/>
      <c r="AC4"/>
      <c r="AD4"/>
      <c r="AE4"/>
      <c r="AF4"/>
    </row>
    <row r="5" spans="1:32" customFormat="1"/>
    <row r="6" spans="1:32" customFormat="1"/>
    <row r="7" spans="1:32" ht="24.75" customHeight="1">
      <c r="A7" s="299"/>
      <c r="B7" s="84" t="s">
        <v>61</v>
      </c>
      <c r="C7" s="84"/>
      <c r="D7" s="84"/>
      <c r="E7" s="299"/>
      <c r="F7" s="282"/>
      <c r="G7" s="282"/>
      <c r="H7" s="282"/>
      <c r="I7" s="282"/>
      <c r="J7" s="282"/>
      <c r="K7" s="282"/>
      <c r="L7" s="282"/>
      <c r="M7" s="299"/>
      <c r="N7" s="299"/>
      <c r="O7" s="299"/>
      <c r="P7" s="299"/>
      <c r="Q7" s="299"/>
      <c r="U7"/>
      <c r="V7"/>
      <c r="W7"/>
      <c r="X7"/>
      <c r="Y7"/>
      <c r="Z7"/>
      <c r="AA7"/>
      <c r="AB7"/>
      <c r="AD7"/>
      <c r="AE7"/>
      <c r="AF7"/>
    </row>
    <row r="8" spans="1:32" ht="24.75" customHeight="1">
      <c r="A8" s="299"/>
      <c r="B8" s="4211" t="s">
        <v>99</v>
      </c>
      <c r="C8" s="4211"/>
      <c r="D8" s="4211"/>
      <c r="E8" s="299"/>
      <c r="F8" s="282"/>
      <c r="G8" s="282"/>
      <c r="H8" s="282"/>
      <c r="I8" s="282"/>
      <c r="J8" s="282"/>
      <c r="K8" s="282"/>
      <c r="L8" s="282"/>
      <c r="M8" s="299"/>
      <c r="N8" s="299"/>
      <c r="O8" s="299"/>
      <c r="P8" s="299"/>
      <c r="Q8" s="299"/>
      <c r="U8"/>
      <c r="V8"/>
      <c r="W8"/>
      <c r="X8"/>
      <c r="Y8"/>
      <c r="Z8"/>
      <c r="AA8"/>
      <c r="AB8"/>
      <c r="AD8"/>
      <c r="AE8"/>
      <c r="AF8"/>
    </row>
    <row r="9" spans="1:32" ht="24.75" customHeight="1">
      <c r="A9" s="299"/>
      <c r="B9" s="4163" t="s">
        <v>516</v>
      </c>
      <c r="C9" s="4163"/>
      <c r="D9" s="4163"/>
      <c r="E9" s="299"/>
      <c r="F9" s="282"/>
      <c r="G9" s="282"/>
      <c r="H9" s="282"/>
      <c r="I9" s="282"/>
      <c r="J9" s="282"/>
      <c r="K9" s="282"/>
      <c r="L9" s="282"/>
      <c r="M9" s="299"/>
      <c r="N9" s="299"/>
      <c r="O9" s="299"/>
      <c r="P9" s="299"/>
      <c r="Q9" s="299"/>
      <c r="U9"/>
      <c r="V9"/>
      <c r="W9"/>
      <c r="X9"/>
      <c r="Y9"/>
      <c r="Z9"/>
      <c r="AA9"/>
      <c r="AB9"/>
      <c r="AD9"/>
      <c r="AE9"/>
      <c r="AF9"/>
    </row>
    <row r="10" spans="1:32" ht="24.75" customHeight="1">
      <c r="A10" s="299"/>
      <c r="B10" s="153" t="s">
        <v>254</v>
      </c>
      <c r="C10" s="153"/>
      <c r="D10" s="153"/>
      <c r="E10" s="299"/>
      <c r="F10" s="299"/>
      <c r="G10" s="299"/>
      <c r="H10" s="299"/>
      <c r="I10" s="299"/>
      <c r="J10" s="299"/>
      <c r="K10" s="299"/>
      <c r="L10" s="299"/>
      <c r="M10" s="299"/>
      <c r="N10" s="299"/>
      <c r="O10" s="299"/>
      <c r="P10" s="299"/>
      <c r="Q10" s="299"/>
      <c r="U10"/>
      <c r="V10"/>
      <c r="W10"/>
      <c r="X10"/>
      <c r="Y10"/>
      <c r="Z10"/>
      <c r="AA10"/>
      <c r="AB10"/>
      <c r="AD10"/>
      <c r="AE10"/>
      <c r="AF10"/>
    </row>
    <row r="11" spans="1:32" customFormat="1">
      <c r="U11" s="1266"/>
      <c r="V11" s="1266"/>
      <c r="W11" s="1266"/>
      <c r="X11" s="1266"/>
      <c r="Y11" s="1266"/>
      <c r="Z11" s="1266"/>
      <c r="AA11" s="1266"/>
      <c r="AB11" s="1266"/>
    </row>
    <row r="12" spans="1:32" s="78" customFormat="1" ht="21" thickBot="1">
      <c r="A12" s="299"/>
      <c r="B12" s="81"/>
      <c r="C12" s="516"/>
      <c r="D12" s="516"/>
      <c r="E12" s="516"/>
      <c r="F12" s="516"/>
      <c r="G12" s="516"/>
      <c r="H12" s="516"/>
      <c r="I12" s="516"/>
      <c r="J12" s="516"/>
      <c r="K12" s="516"/>
      <c r="L12" s="516"/>
      <c r="M12" s="516"/>
      <c r="N12" s="299"/>
      <c r="O12" s="299"/>
      <c r="P12" s="299"/>
      <c r="Q12" s="299"/>
      <c r="R12"/>
      <c r="S12"/>
      <c r="T12"/>
      <c r="U12" s="516"/>
      <c r="V12" s="516"/>
      <c r="W12" s="516"/>
      <c r="X12" s="516"/>
      <c r="Y12" s="516"/>
      <c r="Z12" s="516"/>
      <c r="AA12" s="516"/>
      <c r="AB12" s="516"/>
      <c r="AC12"/>
    </row>
    <row r="13" spans="1:32" s="223" customFormat="1" ht="24.75" customHeight="1" thickBot="1">
      <c r="A13" s="299"/>
      <c r="B13" s="769" t="s">
        <v>517</v>
      </c>
      <c r="C13" s="769"/>
      <c r="D13" s="769"/>
      <c r="E13" s="769"/>
      <c r="F13" s="769"/>
      <c r="G13" s="769"/>
      <c r="H13" s="769"/>
      <c r="I13" s="769"/>
      <c r="J13" s="769"/>
      <c r="K13" s="769"/>
      <c r="L13" s="769"/>
      <c r="M13" s="769"/>
      <c r="N13" s="769"/>
      <c r="O13" s="769"/>
      <c r="P13" s="769"/>
      <c r="Q13" s="769"/>
      <c r="R13" s="1266"/>
      <c r="S13" s="1266"/>
      <c r="T13" s="1266"/>
      <c r="U13" s="769" t="s">
        <v>674</v>
      </c>
      <c r="V13" s="769"/>
      <c r="W13" s="769"/>
      <c r="X13" s="769"/>
      <c r="Y13" s="769"/>
      <c r="Z13" s="769"/>
      <c r="AA13" s="769"/>
      <c r="AB13" s="1303"/>
      <c r="AC13" s="1266"/>
    </row>
    <row r="14" spans="1:32" s="78" customFormat="1" ht="24.75" customHeight="1" thickBot="1">
      <c r="A14" s="299"/>
      <c r="B14" s="1372" t="s">
        <v>518</v>
      </c>
      <c r="C14" s="1373"/>
      <c r="D14" s="1373"/>
      <c r="E14" s="1373"/>
      <c r="F14" s="1373"/>
      <c r="G14" s="1373"/>
      <c r="H14" s="1373"/>
      <c r="I14" s="1373"/>
      <c r="J14" s="1373"/>
      <c r="K14" s="1373"/>
      <c r="L14" s="1373"/>
      <c r="M14" s="1373"/>
      <c r="N14" s="1373"/>
      <c r="O14" s="1373"/>
      <c r="P14" s="1373"/>
      <c r="Q14" s="1374"/>
      <c r="R14"/>
      <c r="S14"/>
      <c r="T14"/>
      <c r="U14" s="1372"/>
      <c r="V14" s="1373"/>
      <c r="W14" s="1373"/>
      <c r="X14" s="1373"/>
      <c r="Y14" s="1373"/>
      <c r="Z14" s="1373"/>
      <c r="AA14" s="1373"/>
      <c r="AB14" s="1374"/>
      <c r="AC14"/>
    </row>
    <row r="15" spans="1:32" s="501" customFormat="1" ht="15.75" customHeight="1">
      <c r="A15" s="299"/>
      <c r="B15" s="286"/>
      <c r="C15" s="4436" t="s">
        <v>36</v>
      </c>
      <c r="D15" s="4437"/>
      <c r="E15" s="4437"/>
      <c r="F15" s="4437"/>
      <c r="G15" s="4437"/>
      <c r="H15" s="4438" t="s">
        <v>37</v>
      </c>
      <c r="I15" s="4439"/>
      <c r="J15" s="4439"/>
      <c r="K15" s="4439"/>
      <c r="L15" s="4439"/>
      <c r="M15" s="4474" t="s">
        <v>75</v>
      </c>
      <c r="N15" s="4474"/>
      <c r="O15" s="4474"/>
      <c r="P15" s="4474"/>
      <c r="Q15" s="4488"/>
      <c r="R15"/>
      <c r="S15"/>
      <c r="T15"/>
      <c r="U15" s="4436" t="s">
        <v>36</v>
      </c>
      <c r="V15" s="4437"/>
      <c r="W15" s="4437"/>
      <c r="X15" s="4437"/>
      <c r="Y15" s="4437"/>
      <c r="Z15" s="4438" t="s">
        <v>37</v>
      </c>
      <c r="AA15" s="4439"/>
      <c r="AB15" s="4440"/>
      <c r="AC15"/>
    </row>
    <row r="16" spans="1:32" s="501" customFormat="1" ht="12.75" customHeight="1">
      <c r="A16" s="299"/>
      <c r="B16" s="286"/>
      <c r="C16" s="4125" t="s">
        <v>569</v>
      </c>
      <c r="D16" s="4126"/>
      <c r="E16" s="4126"/>
      <c r="F16" s="4126"/>
      <c r="G16" s="4126"/>
      <c r="H16" s="4126"/>
      <c r="I16" s="4126"/>
      <c r="J16" s="4127"/>
      <c r="K16" s="4128" t="str">
        <f>CONCATENATE("$0's, real ",dms_DollarReal)</f>
        <v>$0's, real December 2017</v>
      </c>
      <c r="L16" s="4129"/>
      <c r="M16" s="4129"/>
      <c r="N16" s="4129"/>
      <c r="O16" s="4129"/>
      <c r="P16" s="4129"/>
      <c r="Q16" s="4475"/>
      <c r="R16"/>
      <c r="S16"/>
      <c r="T16"/>
      <c r="U16" s="4217" t="str">
        <f>CONCATENATE("$0's, real ",dms_DollarReal)</f>
        <v>$0's, real December 2017</v>
      </c>
      <c r="V16" s="4129"/>
      <c r="W16" s="4129"/>
      <c r="X16" s="4129"/>
      <c r="Y16" s="4129"/>
      <c r="Z16" s="4129"/>
      <c r="AA16" s="4129"/>
      <c r="AB16" s="4130"/>
      <c r="AC16"/>
    </row>
    <row r="17" spans="1:29" s="501" customFormat="1" ht="15" customHeight="1">
      <c r="A17" s="299"/>
      <c r="B17" s="286"/>
      <c r="C17" s="4125" t="s">
        <v>56</v>
      </c>
      <c r="D17" s="4126"/>
      <c r="E17" s="4126"/>
      <c r="F17" s="4126"/>
      <c r="G17" s="4126"/>
      <c r="H17" s="4126"/>
      <c r="I17" s="4126"/>
      <c r="J17" s="4127"/>
      <c r="K17" s="4128" t="s">
        <v>57</v>
      </c>
      <c r="L17" s="4129"/>
      <c r="M17" s="4129"/>
      <c r="N17" s="4129"/>
      <c r="O17" s="4129"/>
      <c r="P17" s="4129"/>
      <c r="Q17" s="4475"/>
      <c r="R17"/>
      <c r="S17"/>
      <c r="T17"/>
      <c r="U17" s="4125" t="s">
        <v>56</v>
      </c>
      <c r="V17" s="4126"/>
      <c r="W17" s="4126"/>
      <c r="X17" s="4126"/>
      <c r="Y17" s="4126"/>
      <c r="Z17" s="4126"/>
      <c r="AA17" s="4126"/>
      <c r="AB17" s="4169"/>
      <c r="AC17"/>
    </row>
    <row r="18" spans="1:29" s="501" customFormat="1" ht="15" customHeight="1" thickBot="1">
      <c r="A18" s="299"/>
      <c r="B18" s="548"/>
      <c r="C18" s="375">
        <f t="array" ref="C18:G18">PRCP</f>
        <v>2008</v>
      </c>
      <c r="D18" s="374">
        <v>2009</v>
      </c>
      <c r="E18" s="374">
        <v>2010</v>
      </c>
      <c r="F18" s="374">
        <v>2011</v>
      </c>
      <c r="G18" s="374">
        <v>2012</v>
      </c>
      <c r="H18" s="376">
        <f>CRCP_y1</f>
        <v>2013</v>
      </c>
      <c r="I18" s="376">
        <f>CRCP_y2</f>
        <v>2014</v>
      </c>
      <c r="J18" s="376">
        <f>CRCP_y3</f>
        <v>2015</v>
      </c>
      <c r="K18" s="376">
        <f>CRCP_y4</f>
        <v>2016</v>
      </c>
      <c r="L18" s="376">
        <f>CRCP_y5</f>
        <v>2017</v>
      </c>
      <c r="M18" s="374" t="str">
        <f t="array" ref="M18:Q18">FRCP</f>
        <v>2018</v>
      </c>
      <c r="N18" s="374">
        <v>2019</v>
      </c>
      <c r="O18" s="374">
        <v>2020</v>
      </c>
      <c r="P18" s="374">
        <v>2021</v>
      </c>
      <c r="Q18" s="470">
        <v>2022</v>
      </c>
      <c r="R18"/>
      <c r="S18"/>
      <c r="T18"/>
      <c r="U18" s="1521">
        <f t="array" ref="U18:Y18">PRCP</f>
        <v>2008</v>
      </c>
      <c r="V18" s="374">
        <v>2009</v>
      </c>
      <c r="W18" s="374">
        <v>2010</v>
      </c>
      <c r="X18" s="374">
        <v>2011</v>
      </c>
      <c r="Y18" s="374">
        <v>2012</v>
      </c>
      <c r="Z18" s="376">
        <f>CRCP_y1</f>
        <v>2013</v>
      </c>
      <c r="AA18" s="376">
        <f>CRCP_y2</f>
        <v>2014</v>
      </c>
      <c r="AB18" s="568">
        <f>CRCP_y3</f>
        <v>2015</v>
      </c>
      <c r="AC18"/>
    </row>
    <row r="19" spans="1:29" ht="24.75" customHeight="1" thickBot="1">
      <c r="A19" s="299"/>
      <c r="B19" s="682" t="s">
        <v>649</v>
      </c>
      <c r="C19" s="481"/>
      <c r="D19" s="481"/>
      <c r="E19" s="481"/>
      <c r="F19" s="481"/>
      <c r="G19" s="481"/>
      <c r="H19" s="481"/>
      <c r="I19" s="481"/>
      <c r="J19" s="481"/>
      <c r="K19" s="481"/>
      <c r="L19" s="481"/>
      <c r="M19" s="481"/>
      <c r="N19" s="481"/>
      <c r="O19" s="481"/>
      <c r="P19" s="481"/>
      <c r="Q19" s="695"/>
      <c r="U19" s="1789"/>
      <c r="V19" s="481"/>
      <c r="W19" s="481"/>
      <c r="X19" s="481"/>
      <c r="Y19" s="481"/>
      <c r="Z19" s="481"/>
      <c r="AA19" s="481"/>
      <c r="AB19" s="453"/>
    </row>
    <row r="20" spans="1:29">
      <c r="A20" s="299"/>
      <c r="B20" s="683"/>
      <c r="C20" s="439"/>
      <c r="D20" s="440"/>
      <c r="E20" s="440"/>
      <c r="F20" s="440"/>
      <c r="G20" s="530"/>
      <c r="H20" s="697"/>
      <c r="I20" s="680"/>
      <c r="J20" s="680"/>
      <c r="K20" s="680"/>
      <c r="L20" s="698"/>
      <c r="M20" s="697"/>
      <c r="N20" s="680"/>
      <c r="O20" s="680"/>
      <c r="P20" s="680"/>
      <c r="Q20" s="698"/>
      <c r="U20" s="1595"/>
      <c r="V20" s="480"/>
      <c r="W20" s="480"/>
      <c r="X20" s="480"/>
      <c r="Y20" s="552"/>
      <c r="Z20" s="1837"/>
      <c r="AA20" s="1838"/>
      <c r="AB20" s="1839"/>
    </row>
    <row r="21" spans="1:29">
      <c r="A21" s="299"/>
      <c r="B21" s="684"/>
      <c r="C21" s="486"/>
      <c r="D21" s="485"/>
      <c r="E21" s="485"/>
      <c r="F21" s="485"/>
      <c r="G21" s="487"/>
      <c r="H21" s="699"/>
      <c r="I21" s="681"/>
      <c r="J21" s="681"/>
      <c r="K21" s="681"/>
      <c r="L21" s="700"/>
      <c r="M21" s="699"/>
      <c r="N21" s="681"/>
      <c r="O21" s="681"/>
      <c r="P21" s="681"/>
      <c r="Q21" s="700"/>
      <c r="U21" s="489"/>
      <c r="V21" s="490"/>
      <c r="W21" s="490"/>
      <c r="X21" s="490"/>
      <c r="Y21" s="491"/>
      <c r="Z21" s="1840"/>
      <c r="AA21" s="1841"/>
      <c r="AB21" s="1842"/>
    </row>
    <row r="22" spans="1:29">
      <c r="A22" s="299"/>
      <c r="B22" s="684"/>
      <c r="C22" s="486"/>
      <c r="D22" s="485"/>
      <c r="E22" s="485"/>
      <c r="F22" s="485"/>
      <c r="G22" s="487"/>
      <c r="H22" s="699"/>
      <c r="I22" s="681"/>
      <c r="J22" s="681"/>
      <c r="K22" s="681"/>
      <c r="L22" s="700"/>
      <c r="M22" s="699"/>
      <c r="N22" s="681"/>
      <c r="O22" s="681"/>
      <c r="P22" s="681"/>
      <c r="Q22" s="700"/>
      <c r="U22" s="489"/>
      <c r="V22" s="490"/>
      <c r="W22" s="490"/>
      <c r="X22" s="490"/>
      <c r="Y22" s="491"/>
      <c r="Z22" s="1840"/>
      <c r="AA22" s="1841"/>
      <c r="AB22" s="1842"/>
    </row>
    <row r="23" spans="1:29">
      <c r="A23" s="299"/>
      <c r="B23" s="684"/>
      <c r="C23" s="486"/>
      <c r="D23" s="485"/>
      <c r="E23" s="485"/>
      <c r="F23" s="485"/>
      <c r="G23" s="487"/>
      <c r="H23" s="699"/>
      <c r="I23" s="681"/>
      <c r="J23" s="681"/>
      <c r="K23" s="681"/>
      <c r="L23" s="700"/>
      <c r="M23" s="699"/>
      <c r="N23" s="681"/>
      <c r="O23" s="681"/>
      <c r="P23" s="681"/>
      <c r="Q23" s="700"/>
      <c r="U23" s="489"/>
      <c r="V23" s="490"/>
      <c r="W23" s="490"/>
      <c r="X23" s="490"/>
      <c r="Y23" s="491"/>
      <c r="Z23" s="1840"/>
      <c r="AA23" s="1841"/>
      <c r="AB23" s="1842"/>
    </row>
    <row r="24" spans="1:29">
      <c r="A24" s="299"/>
      <c r="B24" s="684"/>
      <c r="C24" s="486"/>
      <c r="D24" s="485"/>
      <c r="E24" s="485"/>
      <c r="F24" s="485"/>
      <c r="G24" s="487"/>
      <c r="H24" s="699"/>
      <c r="I24" s="681"/>
      <c r="J24" s="681"/>
      <c r="K24" s="681"/>
      <c r="L24" s="700"/>
      <c r="M24" s="699"/>
      <c r="N24" s="681"/>
      <c r="O24" s="681"/>
      <c r="P24" s="681"/>
      <c r="Q24" s="700"/>
      <c r="U24" s="489"/>
      <c r="V24" s="490"/>
      <c r="W24" s="490"/>
      <c r="X24" s="490"/>
      <c r="Y24" s="491"/>
      <c r="Z24" s="1840"/>
      <c r="AA24" s="1841"/>
      <c r="AB24" s="1842"/>
    </row>
    <row r="25" spans="1:29">
      <c r="A25" s="299"/>
      <c r="B25" s="684"/>
      <c r="C25" s="486"/>
      <c r="D25" s="485"/>
      <c r="E25" s="485"/>
      <c r="F25" s="485"/>
      <c r="G25" s="487"/>
      <c r="H25" s="699"/>
      <c r="I25" s="681"/>
      <c r="J25" s="681"/>
      <c r="K25" s="681"/>
      <c r="L25" s="700"/>
      <c r="M25" s="699"/>
      <c r="N25" s="681"/>
      <c r="O25" s="681"/>
      <c r="P25" s="681"/>
      <c r="Q25" s="700"/>
      <c r="U25" s="489"/>
      <c r="V25" s="490"/>
      <c r="W25" s="490"/>
      <c r="X25" s="490"/>
      <c r="Y25" s="491"/>
      <c r="Z25" s="1840"/>
      <c r="AA25" s="1841"/>
      <c r="AB25" s="1842"/>
    </row>
    <row r="26" spans="1:29" ht="13.5" thickBot="1">
      <c r="A26" s="299"/>
      <c r="B26" s="689"/>
      <c r="C26" s="690"/>
      <c r="D26" s="691"/>
      <c r="E26" s="691"/>
      <c r="F26" s="691"/>
      <c r="G26" s="696"/>
      <c r="H26" s="701"/>
      <c r="I26" s="692"/>
      <c r="J26" s="692"/>
      <c r="K26" s="692"/>
      <c r="L26" s="702"/>
      <c r="M26" s="701"/>
      <c r="N26" s="692"/>
      <c r="O26" s="692"/>
      <c r="P26" s="692"/>
      <c r="Q26" s="702"/>
      <c r="U26" s="1843"/>
      <c r="V26" s="1844"/>
      <c r="W26" s="1844"/>
      <c r="X26" s="1844"/>
      <c r="Y26" s="1845"/>
      <c r="Z26" s="1846"/>
      <c r="AA26" s="1847"/>
      <c r="AB26" s="1848"/>
    </row>
    <row r="27" spans="1:29" s="501" customFormat="1" ht="24.75" customHeight="1" thickBot="1">
      <c r="A27" s="299"/>
      <c r="B27" s="682" t="s">
        <v>650</v>
      </c>
      <c r="C27" s="685"/>
      <c r="D27" s="686"/>
      <c r="E27" s="686"/>
      <c r="F27" s="686"/>
      <c r="G27" s="695"/>
      <c r="H27" s="685"/>
      <c r="I27" s="686"/>
      <c r="J27" s="686"/>
      <c r="K27" s="686"/>
      <c r="L27" s="695"/>
      <c r="M27" s="685"/>
      <c r="N27" s="686"/>
      <c r="O27" s="686"/>
      <c r="P27" s="686"/>
      <c r="Q27" s="695"/>
      <c r="R27"/>
      <c r="S27"/>
      <c r="T27"/>
      <c r="U27" s="1849"/>
      <c r="V27" s="1850"/>
      <c r="W27" s="1850"/>
      <c r="X27" s="1850"/>
      <c r="Y27" s="1851"/>
      <c r="Z27" s="1849"/>
      <c r="AA27" s="1850"/>
      <c r="AB27" s="1851"/>
      <c r="AC27"/>
    </row>
    <row r="28" spans="1:29">
      <c r="A28" s="299"/>
      <c r="B28" s="693" t="s">
        <v>1495</v>
      </c>
      <c r="C28" s="443">
        <v>766340.34799999965</v>
      </c>
      <c r="D28" s="519">
        <v>502947.74500000005</v>
      </c>
      <c r="E28" s="519">
        <v>485650.03299999988</v>
      </c>
      <c r="F28" s="519">
        <v>448463.86900000001</v>
      </c>
      <c r="G28" s="531">
        <v>863222.26272727305</v>
      </c>
      <c r="H28" s="443">
        <v>285033.17</v>
      </c>
      <c r="I28" s="519">
        <v>1092066.2499999995</v>
      </c>
      <c r="J28" s="519">
        <v>1047133.6800000004</v>
      </c>
      <c r="K28" s="519">
        <f>'[5]2.4 Capex overheads'!C25*1000</f>
        <v>1791510.2400000005</v>
      </c>
      <c r="L28" s="531">
        <f ca="1">'6. Mains replacement'!P97</f>
        <v>2556000</v>
      </c>
      <c r="M28" s="443">
        <v>3236524.4522984284</v>
      </c>
      <c r="N28" s="519">
        <v>2910539.7088847458</v>
      </c>
      <c r="O28" s="519">
        <v>2997406.3425573111</v>
      </c>
      <c r="P28" s="519">
        <v>3198866.3554869271</v>
      </c>
      <c r="Q28" s="531">
        <v>2764016.7493546903</v>
      </c>
      <c r="U28" s="1825"/>
      <c r="V28" s="1826"/>
      <c r="W28" s="1826"/>
      <c r="X28" s="1826"/>
      <c r="Y28" s="1827"/>
      <c r="Z28" s="1852"/>
      <c r="AA28" s="1853"/>
      <c r="AB28" s="1854"/>
    </row>
    <row r="29" spans="1:29" s="501" customFormat="1">
      <c r="A29" s="299"/>
      <c r="B29" s="693" t="s">
        <v>1496</v>
      </c>
      <c r="C29" s="443">
        <v>1745669.301</v>
      </c>
      <c r="D29" s="519">
        <v>-487838.00699999969</v>
      </c>
      <c r="E29" s="519">
        <v>1315045.2790000008</v>
      </c>
      <c r="F29" s="519">
        <v>1498291.3820000004</v>
      </c>
      <c r="G29" s="487">
        <v>1405813.524645403</v>
      </c>
      <c r="H29" s="486">
        <v>791197.82</v>
      </c>
      <c r="I29" s="485">
        <v>822019.60999999987</v>
      </c>
      <c r="J29" s="485">
        <v>985918.14852418157</v>
      </c>
      <c r="K29" s="519">
        <f>'[5]2.4 Capex overheads'!C26*1000</f>
        <v>1078884.77</v>
      </c>
      <c r="L29" s="531">
        <f>'4. Connections market expansion'!L133</f>
        <v>1048800.0000000005</v>
      </c>
      <c r="M29" s="443">
        <v>1126149.8268847463</v>
      </c>
      <c r="N29" s="519">
        <v>1067265.9477218185</v>
      </c>
      <c r="O29" s="519">
        <v>1015033.401935485</v>
      </c>
      <c r="P29" s="519">
        <v>1037105.2225224667</v>
      </c>
      <c r="Q29" s="531">
        <v>1074385.0898884702</v>
      </c>
      <c r="R29" s="1266"/>
      <c r="S29" s="1266"/>
      <c r="T29" s="1266"/>
      <c r="U29" s="1825"/>
      <c r="V29" s="1826"/>
      <c r="W29" s="1826"/>
      <c r="X29" s="1826"/>
      <c r="Y29" s="1827"/>
      <c r="Z29" s="1852"/>
      <c r="AA29" s="1853"/>
      <c r="AB29" s="1854"/>
      <c r="AC29" s="1266"/>
    </row>
    <row r="30" spans="1:29" s="501" customFormat="1">
      <c r="A30" s="299"/>
      <c r="B30" s="693" t="s">
        <v>1497</v>
      </c>
      <c r="C30" s="443">
        <v>154846.21400000001</v>
      </c>
      <c r="D30" s="519">
        <v>290373.91000000003</v>
      </c>
      <c r="E30" s="519">
        <v>197404.264</v>
      </c>
      <c r="F30" s="519">
        <v>273033.51854833838</v>
      </c>
      <c r="G30" s="487">
        <v>212419.99414529046</v>
      </c>
      <c r="H30" s="486">
        <v>73796.36</v>
      </c>
      <c r="I30" s="485">
        <v>404206.83</v>
      </c>
      <c r="J30" s="485">
        <v>220274.80102222221</v>
      </c>
      <c r="K30" s="519">
        <f>'[5]2.4 Capex overheads'!C27*1000</f>
        <v>259108.2</v>
      </c>
      <c r="L30" s="531">
        <f>'4. Connections market expansion'!L191+'4. Connections market expansion'!L220</f>
        <v>199800.00000000003</v>
      </c>
      <c r="M30" s="443">
        <v>238862.38203702396</v>
      </c>
      <c r="N30" s="519">
        <v>237891.29080639349</v>
      </c>
      <c r="O30" s="519">
        <v>244762.25311422013</v>
      </c>
      <c r="P30" s="519">
        <v>251748.77529631704</v>
      </c>
      <c r="Q30" s="531">
        <v>248428.77260962722</v>
      </c>
      <c r="R30" s="1266"/>
      <c r="S30" s="1266"/>
      <c r="T30" s="1266"/>
      <c r="U30" s="1825"/>
      <c r="V30" s="1826"/>
      <c r="W30" s="1826"/>
      <c r="X30" s="1826"/>
      <c r="Y30" s="1827"/>
      <c r="Z30" s="1852"/>
      <c r="AA30" s="1853"/>
      <c r="AB30" s="1854"/>
      <c r="AC30" s="1266"/>
    </row>
    <row r="31" spans="1:29" s="501" customFormat="1">
      <c r="A31" s="299"/>
      <c r="B31" s="693" t="s">
        <v>1498</v>
      </c>
      <c r="C31" s="443">
        <v>170679.95498887822</v>
      </c>
      <c r="D31" s="519">
        <v>196515.76024585616</v>
      </c>
      <c r="E31" s="519">
        <v>254166.90146064485</v>
      </c>
      <c r="F31" s="519">
        <v>148484.02300000002</v>
      </c>
      <c r="G31" s="487">
        <v>149722.505</v>
      </c>
      <c r="H31" s="486">
        <v>173990.28614266848</v>
      </c>
      <c r="I31" s="485">
        <v>80806.709999999992</v>
      </c>
      <c r="J31" s="485">
        <v>53380.551475818436</v>
      </c>
      <c r="K31" s="519">
        <f>'[5]2.4 Capex overheads'!C28*1000</f>
        <v>81061.349999999991</v>
      </c>
      <c r="L31" s="531">
        <f>'8. Meter replacement'!M56-L32</f>
        <v>163618.14058956917</v>
      </c>
      <c r="M31" s="443">
        <v>218889.51242844996</v>
      </c>
      <c r="N31" s="519">
        <v>82206.255813854572</v>
      </c>
      <c r="O31" s="519">
        <v>160450.04074537565</v>
      </c>
      <c r="P31" s="519">
        <v>75857.630411508813</v>
      </c>
      <c r="Q31" s="531">
        <v>63737.362408213812</v>
      </c>
      <c r="R31" s="1266"/>
      <c r="S31" s="1266"/>
      <c r="T31" s="1266"/>
      <c r="U31" s="1825"/>
      <c r="V31" s="1826"/>
      <c r="W31" s="1826"/>
      <c r="X31" s="1826"/>
      <c r="Y31" s="1827"/>
      <c r="Z31" s="1852"/>
      <c r="AA31" s="1853"/>
      <c r="AB31" s="1854"/>
      <c r="AC31" s="1266"/>
    </row>
    <row r="32" spans="1:29" s="501" customFormat="1">
      <c r="A32" s="299"/>
      <c r="B32" s="693" t="s">
        <v>1499</v>
      </c>
      <c r="C32" s="443">
        <v>7375.2580111218003</v>
      </c>
      <c r="D32" s="519">
        <v>8680.9047541438376</v>
      </c>
      <c r="E32" s="519">
        <v>6463.8885393551764</v>
      </c>
      <c r="F32" s="519">
        <v>42585.771451661632</v>
      </c>
      <c r="G32" s="487">
        <v>41992.912984822942</v>
      </c>
      <c r="H32" s="486">
        <v>61987.093857331492</v>
      </c>
      <c r="I32" s="485">
        <v>43325.159999999996</v>
      </c>
      <c r="J32" s="485">
        <v>36327.268977777778</v>
      </c>
      <c r="K32" s="519">
        <f>'[5]2.4 Capex overheads'!C29*1000</f>
        <v>63632.25</v>
      </c>
      <c r="L32" s="531">
        <f>'8. Meter replacement'!M29/'8. Meter replacement'!L29*'8. Meter replacement'!M56</f>
        <v>40981.859410430843</v>
      </c>
      <c r="M32" s="443">
        <v>0</v>
      </c>
      <c r="N32" s="519">
        <v>0</v>
      </c>
      <c r="O32" s="519">
        <v>0</v>
      </c>
      <c r="P32" s="519">
        <v>0</v>
      </c>
      <c r="Q32" s="531">
        <v>0</v>
      </c>
      <c r="R32" s="1266"/>
      <c r="S32" s="1266"/>
      <c r="T32" s="1266"/>
      <c r="U32" s="1825"/>
      <c r="V32" s="1826"/>
      <c r="W32" s="1826"/>
      <c r="X32" s="1826"/>
      <c r="Y32" s="1827"/>
      <c r="Z32" s="1852"/>
      <c r="AA32" s="1853"/>
      <c r="AB32" s="1854"/>
      <c r="AC32" s="1266"/>
    </row>
    <row r="33" spans="1:29" s="501" customFormat="1">
      <c r="A33" s="299"/>
      <c r="B33" s="693" t="s">
        <v>1500</v>
      </c>
      <c r="C33" s="443">
        <v>593102.32200000004</v>
      </c>
      <c r="D33" s="519">
        <v>671721.08499999996</v>
      </c>
      <c r="E33" s="519">
        <v>821789.97400000005</v>
      </c>
      <c r="F33" s="519">
        <v>1287669.2730000005</v>
      </c>
      <c r="G33" s="487">
        <v>1730131.6080000007</v>
      </c>
      <c r="H33" s="486">
        <v>52600.25</v>
      </c>
      <c r="I33" s="485">
        <v>6649.76</v>
      </c>
      <c r="J33" s="485">
        <v>22422.01</v>
      </c>
      <c r="K33" s="519">
        <f>'[5]2.4 Capex overheads'!C30*1000</f>
        <v>77960.48000000001</v>
      </c>
      <c r="L33" s="531">
        <f>'5. Mains augmentation'!P58</f>
        <v>97200</v>
      </c>
      <c r="M33" s="443">
        <v>246874.69804469129</v>
      </c>
      <c r="N33" s="519">
        <v>347051.69579802442</v>
      </c>
      <c r="O33" s="519">
        <v>211714.77771463242</v>
      </c>
      <c r="P33" s="519">
        <v>99923.654393222474</v>
      </c>
      <c r="Q33" s="531">
        <v>73519.189571892406</v>
      </c>
      <c r="R33" s="1266"/>
      <c r="S33" s="1266"/>
      <c r="T33" s="1266"/>
      <c r="U33" s="1825"/>
      <c r="V33" s="1826"/>
      <c r="W33" s="1826"/>
      <c r="X33" s="1826"/>
      <c r="Y33" s="1827"/>
      <c r="Z33" s="1852"/>
      <c r="AA33" s="1853"/>
      <c r="AB33" s="1854"/>
      <c r="AC33" s="1266"/>
    </row>
    <row r="34" spans="1:29" s="501" customFormat="1">
      <c r="A34" s="299"/>
      <c r="B34" s="693" t="s">
        <v>1501</v>
      </c>
      <c r="C34" s="443">
        <v>71177.818181818235</v>
      </c>
      <c r="D34" s="519">
        <v>106372.81818181835</v>
      </c>
      <c r="E34" s="519">
        <v>549154.54545454588</v>
      </c>
      <c r="F34" s="519">
        <v>2135572.5300000012</v>
      </c>
      <c r="G34" s="487">
        <v>2725544.2727272734</v>
      </c>
      <c r="H34" s="486">
        <v>981226.45</v>
      </c>
      <c r="I34" s="485">
        <v>391510.0799999999</v>
      </c>
      <c r="J34" s="485">
        <v>621952.4600000002</v>
      </c>
      <c r="K34" s="519">
        <f>'[5]2.4 Capex overheads'!C31*1000</f>
        <v>820478.59000000008</v>
      </c>
      <c r="L34" s="531">
        <f>'12. IT'!P102</f>
        <v>265199.99999999994</v>
      </c>
      <c r="M34" s="443">
        <v>628326.5094339624</v>
      </c>
      <c r="N34" s="519">
        <v>338416.35849056579</v>
      </c>
      <c r="O34" s="519">
        <v>569450.88679245301</v>
      </c>
      <c r="P34" s="519">
        <v>640877.54716981202</v>
      </c>
      <c r="Q34" s="531">
        <v>587173.92452830076</v>
      </c>
      <c r="R34" s="1266"/>
      <c r="S34" s="1266"/>
      <c r="T34" s="1266"/>
      <c r="U34" s="1825"/>
      <c r="V34" s="1826"/>
      <c r="W34" s="1826"/>
      <c r="X34" s="1826"/>
      <c r="Y34" s="1827"/>
      <c r="Z34" s="1852"/>
      <c r="AA34" s="1853"/>
      <c r="AB34" s="1854"/>
      <c r="AC34" s="1266"/>
    </row>
    <row r="35" spans="1:29" s="501" customFormat="1">
      <c r="A35" s="299"/>
      <c r="B35" s="693" t="s">
        <v>1358</v>
      </c>
      <c r="C35" s="443">
        <v>9942.9940000000006</v>
      </c>
      <c r="D35" s="519">
        <v>8013.7899999999981</v>
      </c>
      <c r="E35" s="519">
        <v>399.68800000000005</v>
      </c>
      <c r="F35" s="519">
        <v>6925.7390000000005</v>
      </c>
      <c r="G35" s="487">
        <v>7581.4753211009247</v>
      </c>
      <c r="H35" s="486">
        <v>4087.01</v>
      </c>
      <c r="I35" s="485">
        <v>1341.4299999999998</v>
      </c>
      <c r="J35" s="485">
        <v>5487.3099999999995</v>
      </c>
      <c r="K35" s="519">
        <f>'[5]2.4 Capex overheads'!C32*1000</f>
        <v>852.65000000000009</v>
      </c>
      <c r="L35" s="531">
        <f ca="1">'7. Telemetry'!P63</f>
        <v>3600</v>
      </c>
      <c r="M35" s="443">
        <v>108827.5609847999</v>
      </c>
      <c r="N35" s="519">
        <v>95600.151624599908</v>
      </c>
      <c r="O35" s="519">
        <v>67907.78272319994</v>
      </c>
      <c r="P35" s="519">
        <v>66740.663655000157</v>
      </c>
      <c r="Q35" s="531">
        <v>62647.291752000005</v>
      </c>
      <c r="R35" s="1266"/>
      <c r="S35" s="1266"/>
      <c r="T35" s="1266"/>
      <c r="U35" s="1825"/>
      <c r="V35" s="1826"/>
      <c r="W35" s="1826"/>
      <c r="X35" s="1826"/>
      <c r="Y35" s="1827"/>
      <c r="Z35" s="1852"/>
      <c r="AA35" s="1853"/>
      <c r="AB35" s="1854"/>
      <c r="AC35" s="1266"/>
    </row>
    <row r="36" spans="1:29" s="501" customFormat="1">
      <c r="A36" s="299"/>
      <c r="B36" s="693" t="s">
        <v>64</v>
      </c>
      <c r="C36" s="443">
        <v>119256.4</v>
      </c>
      <c r="D36" s="519">
        <v>138552.39299999998</v>
      </c>
      <c r="E36" s="519">
        <v>143472.05600000004</v>
      </c>
      <c r="F36" s="519">
        <v>162343.62100000001</v>
      </c>
      <c r="G36" s="487">
        <v>36185.432903703768</v>
      </c>
      <c r="H36" s="486">
        <v>207025.65</v>
      </c>
      <c r="I36" s="485">
        <v>33918.720000000001</v>
      </c>
      <c r="J36" s="485">
        <v>562894.37</v>
      </c>
      <c r="K36" s="519">
        <f>'[5]2.4 Capex overheads'!C33*1000</f>
        <v>587809.68000000017</v>
      </c>
      <c r="L36" s="531">
        <f>'9. Other capex'!P122-L37</f>
        <v>761382.66</v>
      </c>
      <c r="M36" s="443">
        <v>598101.39722513792</v>
      </c>
      <c r="N36" s="519">
        <v>513324.63072892401</v>
      </c>
      <c r="O36" s="519">
        <v>559147.25377881492</v>
      </c>
      <c r="P36" s="519">
        <v>475732.46647229488</v>
      </c>
      <c r="Q36" s="531">
        <v>560336.73506525392</v>
      </c>
      <c r="R36" s="1266"/>
      <c r="S36" s="1266"/>
      <c r="T36" s="1266"/>
      <c r="U36" s="1825"/>
      <c r="V36" s="1826"/>
      <c r="W36" s="1826"/>
      <c r="X36" s="1826"/>
      <c r="Y36" s="1827"/>
      <c r="Z36" s="1852"/>
      <c r="AA36" s="1853"/>
      <c r="AB36" s="1854"/>
      <c r="AC36" s="1266"/>
    </row>
    <row r="37" spans="1:29" s="501" customFormat="1">
      <c r="A37" s="299"/>
      <c r="B37" s="693" t="s">
        <v>1502</v>
      </c>
      <c r="C37" s="443">
        <v>0</v>
      </c>
      <c r="D37" s="519">
        <v>0</v>
      </c>
      <c r="E37" s="519">
        <v>0</v>
      </c>
      <c r="F37" s="519">
        <v>0</v>
      </c>
      <c r="G37" s="487">
        <v>0</v>
      </c>
      <c r="H37" s="699">
        <v>0</v>
      </c>
      <c r="I37" s="681">
        <v>0</v>
      </c>
      <c r="J37" s="485">
        <v>0</v>
      </c>
      <c r="K37" s="519">
        <f>'[5]2.4 Capex overheads'!C34*1000</f>
        <v>244317.37</v>
      </c>
      <c r="L37" s="531">
        <f>'9. Other capex'!P116</f>
        <v>55800</v>
      </c>
      <c r="M37" s="703">
        <v>0</v>
      </c>
      <c r="N37" s="694">
        <v>0</v>
      </c>
      <c r="O37" s="694">
        <v>0</v>
      </c>
      <c r="P37" s="694">
        <v>0</v>
      </c>
      <c r="Q37" s="704">
        <v>0</v>
      </c>
      <c r="R37" s="1266"/>
      <c r="S37" s="1266"/>
      <c r="T37" s="1266"/>
      <c r="U37" s="1825"/>
      <c r="V37" s="1826"/>
      <c r="W37" s="1826"/>
      <c r="X37" s="1826"/>
      <c r="Y37" s="1827"/>
      <c r="Z37" s="1852"/>
      <c r="AA37" s="1853"/>
      <c r="AB37" s="1854"/>
      <c r="AC37" s="1266"/>
    </row>
    <row r="38" spans="1:29" s="501" customFormat="1">
      <c r="A38" s="299"/>
      <c r="B38" s="693" t="s">
        <v>1503</v>
      </c>
      <c r="C38" s="443">
        <v>0</v>
      </c>
      <c r="D38" s="519">
        <v>0</v>
      </c>
      <c r="E38" s="519">
        <v>0</v>
      </c>
      <c r="F38" s="519">
        <v>0</v>
      </c>
      <c r="G38" s="487">
        <v>0</v>
      </c>
      <c r="H38" s="699">
        <v>0</v>
      </c>
      <c r="I38" s="681">
        <v>0</v>
      </c>
      <c r="J38" s="485">
        <v>0</v>
      </c>
      <c r="K38" s="519">
        <f>'[5]2.4 Capex overheads'!C35*1000</f>
        <v>0</v>
      </c>
      <c r="L38" s="704"/>
      <c r="M38" s="703">
        <v>0</v>
      </c>
      <c r="N38" s="694">
        <v>0</v>
      </c>
      <c r="O38" s="694">
        <v>0</v>
      </c>
      <c r="P38" s="694">
        <v>0</v>
      </c>
      <c r="Q38" s="704">
        <v>0</v>
      </c>
      <c r="R38" s="1266"/>
      <c r="S38" s="1266"/>
      <c r="T38" s="1266"/>
      <c r="U38" s="1825"/>
      <c r="V38" s="1826"/>
      <c r="W38" s="1826"/>
      <c r="X38" s="1826"/>
      <c r="Y38" s="1827"/>
      <c r="Z38" s="1852"/>
      <c r="AA38" s="1853"/>
      <c r="AB38" s="1854"/>
      <c r="AC38" s="1266"/>
    </row>
    <row r="39" spans="1:29" s="501" customFormat="1">
      <c r="A39" s="299"/>
      <c r="B39" s="693"/>
      <c r="C39" s="443"/>
      <c r="D39" s="519"/>
      <c r="E39" s="519"/>
      <c r="F39" s="519"/>
      <c r="G39" s="531"/>
      <c r="H39" s="703"/>
      <c r="I39" s="694"/>
      <c r="J39" s="694"/>
      <c r="K39" s="694"/>
      <c r="L39" s="704"/>
      <c r="M39" s="703"/>
      <c r="N39" s="694"/>
      <c r="O39" s="694"/>
      <c r="P39" s="694"/>
      <c r="Q39" s="704"/>
      <c r="R39" s="1266"/>
      <c r="S39" s="1266"/>
      <c r="T39" s="1266"/>
      <c r="U39" s="1825"/>
      <c r="V39" s="1826"/>
      <c r="W39" s="1826"/>
      <c r="X39" s="1826"/>
      <c r="Y39" s="1827"/>
      <c r="Z39" s="1852"/>
      <c r="AA39" s="1853"/>
      <c r="AB39" s="1854"/>
      <c r="AC39" s="1266"/>
    </row>
    <row r="40" spans="1:29" s="501" customFormat="1">
      <c r="A40" s="299"/>
      <c r="B40" s="693"/>
      <c r="C40" s="443"/>
      <c r="D40" s="519"/>
      <c r="E40" s="519"/>
      <c r="F40" s="519"/>
      <c r="G40" s="531"/>
      <c r="H40" s="703"/>
      <c r="I40" s="694"/>
      <c r="J40" s="694"/>
      <c r="K40" s="694"/>
      <c r="L40" s="704"/>
      <c r="M40" s="703"/>
      <c r="N40" s="694"/>
      <c r="O40" s="694"/>
      <c r="P40" s="694"/>
      <c r="Q40" s="704"/>
      <c r="R40" s="1266"/>
      <c r="S40" s="1266"/>
      <c r="T40" s="1266"/>
      <c r="U40" s="1825"/>
      <c r="V40" s="1826"/>
      <c r="W40" s="1826"/>
      <c r="X40" s="1826"/>
      <c r="Y40" s="1827"/>
      <c r="Z40" s="1852"/>
      <c r="AA40" s="1853"/>
      <c r="AB40" s="1854"/>
      <c r="AC40" s="1266"/>
    </row>
    <row r="41" spans="1:29">
      <c r="A41" s="299"/>
      <c r="B41" s="684"/>
      <c r="C41" s="486"/>
      <c r="D41" s="485"/>
      <c r="E41" s="485"/>
      <c r="F41" s="485"/>
      <c r="G41" s="487"/>
      <c r="H41" s="699"/>
      <c r="I41" s="681"/>
      <c r="J41" s="681"/>
      <c r="K41" s="681"/>
      <c r="L41" s="700"/>
      <c r="M41" s="699"/>
      <c r="N41" s="681"/>
      <c r="O41" s="681"/>
      <c r="P41" s="681"/>
      <c r="Q41" s="700"/>
      <c r="U41" s="489"/>
      <c r="V41" s="490"/>
      <c r="W41" s="490"/>
      <c r="X41" s="490"/>
      <c r="Y41" s="491"/>
      <c r="Z41" s="1840"/>
      <c r="AA41" s="1841"/>
      <c r="AB41" s="1842"/>
    </row>
    <row r="42" spans="1:29">
      <c r="A42" s="299"/>
      <c r="B42" s="684"/>
      <c r="C42" s="486"/>
      <c r="D42" s="485"/>
      <c r="E42" s="485"/>
      <c r="F42" s="485"/>
      <c r="G42" s="487"/>
      <c r="H42" s="699"/>
      <c r="I42" s="681"/>
      <c r="J42" s="681"/>
      <c r="K42" s="681"/>
      <c r="L42" s="700"/>
      <c r="M42" s="699"/>
      <c r="N42" s="681"/>
      <c r="O42" s="681"/>
      <c r="P42" s="681"/>
      <c r="Q42" s="700"/>
      <c r="U42" s="489"/>
      <c r="V42" s="490"/>
      <c r="W42" s="490"/>
      <c r="X42" s="490"/>
      <c r="Y42" s="491"/>
      <c r="Z42" s="1840"/>
      <c r="AA42" s="1841"/>
      <c r="AB42" s="1842"/>
    </row>
    <row r="43" spans="1:29">
      <c r="A43" s="299"/>
      <c r="B43" s="684"/>
      <c r="C43" s="486"/>
      <c r="D43" s="485"/>
      <c r="E43" s="485"/>
      <c r="F43" s="485"/>
      <c r="G43" s="487"/>
      <c r="H43" s="699"/>
      <c r="I43" s="681"/>
      <c r="J43" s="681"/>
      <c r="K43" s="681"/>
      <c r="L43" s="700"/>
      <c r="M43" s="699"/>
      <c r="N43" s="681"/>
      <c r="O43" s="681"/>
      <c r="P43" s="681"/>
      <c r="Q43" s="700"/>
      <c r="U43" s="489"/>
      <c r="V43" s="490"/>
      <c r="W43" s="490"/>
      <c r="X43" s="490"/>
      <c r="Y43" s="491"/>
      <c r="Z43" s="1840"/>
      <c r="AA43" s="1841"/>
      <c r="AB43" s="1842"/>
    </row>
    <row r="44" spans="1:29">
      <c r="A44" s="299"/>
      <c r="B44" s="684"/>
      <c r="C44" s="486"/>
      <c r="D44" s="485"/>
      <c r="E44" s="485"/>
      <c r="F44" s="485"/>
      <c r="G44" s="487"/>
      <c r="H44" s="699"/>
      <c r="I44" s="681"/>
      <c r="J44" s="681"/>
      <c r="K44" s="681"/>
      <c r="L44" s="700"/>
      <c r="M44" s="699"/>
      <c r="N44" s="681"/>
      <c r="O44" s="681"/>
      <c r="P44" s="681"/>
      <c r="Q44" s="700"/>
      <c r="U44" s="489"/>
      <c r="V44" s="490"/>
      <c r="W44" s="490"/>
      <c r="X44" s="490"/>
      <c r="Y44" s="491"/>
      <c r="Z44" s="1840"/>
      <c r="AA44" s="1841"/>
      <c r="AB44" s="1842"/>
    </row>
    <row r="45" spans="1:29">
      <c r="A45" s="299"/>
      <c r="B45" s="684"/>
      <c r="C45" s="486"/>
      <c r="D45" s="485"/>
      <c r="E45" s="485"/>
      <c r="F45" s="485"/>
      <c r="G45" s="487"/>
      <c r="H45" s="699"/>
      <c r="I45" s="681"/>
      <c r="J45" s="681"/>
      <c r="K45" s="681"/>
      <c r="L45" s="700"/>
      <c r="M45" s="699"/>
      <c r="N45" s="681"/>
      <c r="O45" s="681"/>
      <c r="P45" s="681"/>
      <c r="Q45" s="700"/>
      <c r="U45" s="489"/>
      <c r="V45" s="490"/>
      <c r="W45" s="490"/>
      <c r="X45" s="490"/>
      <c r="Y45" s="491"/>
      <c r="Z45" s="1840"/>
      <c r="AA45" s="1841"/>
      <c r="AB45" s="1842"/>
    </row>
    <row r="46" spans="1:29" s="883" customFormat="1" ht="13.5" thickBot="1">
      <c r="A46" s="882"/>
      <c r="B46" s="688" t="s">
        <v>609</v>
      </c>
      <c r="C46" s="1243">
        <f t="shared" ref="C46:P46" si="0">SUM(C20:C45)</f>
        <v>3638390.6101818183</v>
      </c>
      <c r="D46" s="1244">
        <f t="shared" si="0"/>
        <v>1435340.3991818186</v>
      </c>
      <c r="E46" s="1244">
        <f t="shared" si="0"/>
        <v>3773546.6294545466</v>
      </c>
      <c r="F46" s="1244">
        <f t="shared" si="0"/>
        <v>6003369.7270000027</v>
      </c>
      <c r="G46" s="1245">
        <f t="shared" si="0"/>
        <v>7172613.988454869</v>
      </c>
      <c r="H46" s="1243">
        <f t="shared" si="0"/>
        <v>2630944.0899999994</v>
      </c>
      <c r="I46" s="1244">
        <f t="shared" si="0"/>
        <v>2875844.55</v>
      </c>
      <c r="J46" s="1244">
        <f t="shared" si="0"/>
        <v>3555790.6</v>
      </c>
      <c r="K46" s="1244">
        <f t="shared" si="0"/>
        <v>5005615.580000001</v>
      </c>
      <c r="L46" s="1245">
        <f t="shared" ca="1" si="0"/>
        <v>5192382.66</v>
      </c>
      <c r="M46" s="1243">
        <f t="shared" si="0"/>
        <v>6402556.33933724</v>
      </c>
      <c r="N46" s="1244">
        <f t="shared" si="0"/>
        <v>5592296.0398689257</v>
      </c>
      <c r="O46" s="1244">
        <f t="shared" si="0"/>
        <v>5825872.739361492</v>
      </c>
      <c r="P46" s="1244">
        <f t="shared" si="0"/>
        <v>5846852.315407549</v>
      </c>
      <c r="Q46" s="1245">
        <f t="shared" ref="Q46" si="1">SUM(Q20:Q45)</f>
        <v>5434245.1151784491</v>
      </c>
      <c r="U46" s="1535">
        <f t="shared" ref="U46:AB46" si="2">SUM(U20:U45)</f>
        <v>0</v>
      </c>
      <c r="V46" s="1244">
        <f t="shared" si="2"/>
        <v>0</v>
      </c>
      <c r="W46" s="1244">
        <f t="shared" si="2"/>
        <v>0</v>
      </c>
      <c r="X46" s="1244">
        <f t="shared" si="2"/>
        <v>0</v>
      </c>
      <c r="Y46" s="1245">
        <f t="shared" si="2"/>
        <v>0</v>
      </c>
      <c r="Z46" s="1535">
        <f t="shared" si="2"/>
        <v>0</v>
      </c>
      <c r="AA46" s="1244">
        <f t="shared" si="2"/>
        <v>0</v>
      </c>
      <c r="AB46" s="1245">
        <f t="shared" si="2"/>
        <v>0</v>
      </c>
    </row>
    <row r="47" spans="1:29" s="69" customFormat="1" ht="28.5" customHeight="1" thickBot="1">
      <c r="A47" s="348"/>
      <c r="B47" s="410" t="s">
        <v>127</v>
      </c>
      <c r="C47" s="687"/>
      <c r="D47" s="301"/>
      <c r="E47" s="301"/>
      <c r="F47" s="301"/>
      <c r="G47" s="301"/>
      <c r="H47" s="301"/>
      <c r="I47" s="301"/>
      <c r="J47" s="301"/>
      <c r="K47" s="301"/>
      <c r="L47" s="301"/>
      <c r="M47" s="301"/>
      <c r="N47" s="301"/>
      <c r="O47" s="301"/>
      <c r="P47" s="301"/>
      <c r="Q47" s="436"/>
      <c r="R47"/>
      <c r="S47"/>
      <c r="T47"/>
      <c r="U47" s="1790"/>
      <c r="V47" s="1771"/>
      <c r="W47" s="1771"/>
      <c r="X47" s="1771"/>
      <c r="Y47" s="1771"/>
      <c r="Z47" s="1771"/>
      <c r="AA47" s="1771"/>
      <c r="AB47" s="1774"/>
      <c r="AC47"/>
    </row>
    <row r="48" spans="1:29" s="136" customFormat="1">
      <c r="A48" s="974"/>
      <c r="B48" s="669"/>
      <c r="C48" s="669"/>
      <c r="D48" s="669"/>
      <c r="E48" s="669"/>
      <c r="F48" s="669"/>
      <c r="G48" s="669"/>
      <c r="H48" s="669"/>
      <c r="I48" s="669"/>
      <c r="J48" s="3315"/>
      <c r="K48" s="3317"/>
      <c r="L48" s="3317"/>
      <c r="M48" s="3317"/>
      <c r="N48" s="3317"/>
      <c r="O48" s="3317"/>
      <c r="P48" s="3317"/>
      <c r="Q48" s="3317"/>
      <c r="R48" s="1266"/>
      <c r="S48" s="1266"/>
      <c r="T48" s="1266"/>
      <c r="U48" s="669"/>
      <c r="V48" s="669"/>
      <c r="W48" s="669"/>
      <c r="X48" s="669"/>
      <c r="Y48" s="669"/>
      <c r="Z48" s="669"/>
      <c r="AA48" s="669"/>
      <c r="AB48" s="669"/>
      <c r="AC48" s="1266"/>
    </row>
    <row r="49" spans="1:35" s="78" customFormat="1" ht="21" thickBot="1">
      <c r="A49" s="299"/>
      <c r="B49" s="299"/>
      <c r="C49" s="516"/>
      <c r="D49" s="516"/>
      <c r="E49" s="516"/>
      <c r="F49" s="516"/>
      <c r="G49" s="516"/>
      <c r="H49" s="516"/>
      <c r="I49" s="516"/>
      <c r="J49" s="516"/>
      <c r="K49" s="516"/>
      <c r="L49" s="516"/>
      <c r="M49" s="516"/>
      <c r="N49" s="299"/>
      <c r="O49" s="299"/>
      <c r="P49" s="299"/>
      <c r="Q49" s="299"/>
      <c r="R49"/>
      <c r="S49"/>
      <c r="T49"/>
      <c r="U49" s="516"/>
      <c r="V49" s="516"/>
      <c r="W49" s="516"/>
      <c r="X49" s="516"/>
      <c r="Y49" s="516"/>
      <c r="Z49" s="516"/>
      <c r="AA49" s="516"/>
      <c r="AB49" s="516"/>
      <c r="AC49"/>
    </row>
    <row r="50" spans="1:35" s="223" customFormat="1" ht="24.75" customHeight="1" thickBot="1">
      <c r="A50" s="299"/>
      <c r="B50" s="1372" t="s">
        <v>1463</v>
      </c>
      <c r="C50" s="1373"/>
      <c r="D50" s="1373"/>
      <c r="E50" s="1373"/>
      <c r="F50" s="1373"/>
      <c r="G50" s="1373"/>
      <c r="H50" s="1373"/>
      <c r="I50" s="1373"/>
      <c r="J50" s="1373"/>
      <c r="K50" s="1373"/>
      <c r="L50" s="1373"/>
      <c r="M50" s="1373"/>
      <c r="N50" s="1373"/>
      <c r="O50" s="1373"/>
      <c r="P50" s="1373"/>
      <c r="Q50" s="1374"/>
      <c r="R50" s="1266"/>
      <c r="S50" s="1266"/>
      <c r="T50" s="1266"/>
      <c r="U50" s="1372"/>
      <c r="V50" s="1373"/>
      <c r="W50" s="1373"/>
      <c r="X50" s="1373"/>
      <c r="Y50" s="1373"/>
      <c r="Z50" s="1373"/>
      <c r="AA50" s="1373"/>
      <c r="AB50" s="1374"/>
      <c r="AC50" s="1266"/>
    </row>
    <row r="51" spans="1:35" s="501" customFormat="1" ht="15.75" customHeight="1">
      <c r="A51" s="299"/>
      <c r="B51" s="286"/>
      <c r="C51" s="4436" t="s">
        <v>36</v>
      </c>
      <c r="D51" s="4437"/>
      <c r="E51" s="4437"/>
      <c r="F51" s="4437"/>
      <c r="G51" s="4437"/>
      <c r="H51" s="4438" t="s">
        <v>37</v>
      </c>
      <c r="I51" s="4439"/>
      <c r="J51" s="4439"/>
      <c r="K51" s="4439"/>
      <c r="L51" s="4439"/>
      <c r="M51" s="4474" t="s">
        <v>75</v>
      </c>
      <c r="N51" s="4474"/>
      <c r="O51" s="4474"/>
      <c r="P51" s="4474"/>
      <c r="Q51" s="4488"/>
      <c r="R51"/>
      <c r="S51"/>
      <c r="T51"/>
      <c r="U51" s="4436" t="s">
        <v>36</v>
      </c>
      <c r="V51" s="4437"/>
      <c r="W51" s="4437"/>
      <c r="X51" s="4437"/>
      <c r="Y51" s="4437"/>
      <c r="Z51" s="4438" t="s">
        <v>37</v>
      </c>
      <c r="AA51" s="4439"/>
      <c r="AB51" s="4440"/>
      <c r="AC51"/>
    </row>
    <row r="52" spans="1:35" s="501" customFormat="1" ht="12.75" customHeight="1">
      <c r="A52" s="299"/>
      <c r="B52" s="286"/>
      <c r="C52" s="4125" t="s">
        <v>569</v>
      </c>
      <c r="D52" s="4126"/>
      <c r="E52" s="4126"/>
      <c r="F52" s="4126"/>
      <c r="G52" s="4126"/>
      <c r="H52" s="4126"/>
      <c r="I52" s="4126"/>
      <c r="J52" s="4127"/>
      <c r="K52" s="4128" t="str">
        <f>CONCATENATE("$0's, real ",dms_DollarReal)</f>
        <v>$0's, real December 2017</v>
      </c>
      <c r="L52" s="4129"/>
      <c r="M52" s="4129"/>
      <c r="N52" s="4129"/>
      <c r="O52" s="4129"/>
      <c r="P52" s="4129"/>
      <c r="Q52" s="4475"/>
      <c r="R52"/>
      <c r="S52"/>
      <c r="T52"/>
      <c r="U52" s="4217" t="str">
        <f>CONCATENATE("$0's, real ",dms_DollarReal)</f>
        <v>$0's, real December 2017</v>
      </c>
      <c r="V52" s="4129"/>
      <c r="W52" s="4129"/>
      <c r="X52" s="4129"/>
      <c r="Y52" s="4129"/>
      <c r="Z52" s="4129"/>
      <c r="AA52" s="4129"/>
      <c r="AB52" s="4130"/>
      <c r="AC52"/>
    </row>
    <row r="53" spans="1:35" s="501" customFormat="1" ht="15" customHeight="1">
      <c r="A53" s="299"/>
      <c r="B53" s="286"/>
      <c r="C53" s="4125" t="s">
        <v>56</v>
      </c>
      <c r="D53" s="4126"/>
      <c r="E53" s="4126"/>
      <c r="F53" s="4126"/>
      <c r="G53" s="4126"/>
      <c r="H53" s="4126"/>
      <c r="I53" s="4126"/>
      <c r="J53" s="4127"/>
      <c r="K53" s="4128" t="s">
        <v>57</v>
      </c>
      <c r="L53" s="4129"/>
      <c r="M53" s="4129"/>
      <c r="N53" s="4129"/>
      <c r="O53" s="4129"/>
      <c r="P53" s="4129"/>
      <c r="Q53" s="4475"/>
      <c r="R53"/>
      <c r="S53"/>
      <c r="T53"/>
      <c r="U53" s="4125" t="s">
        <v>56</v>
      </c>
      <c r="V53" s="4126"/>
      <c r="W53" s="4126"/>
      <c r="X53" s="4126"/>
      <c r="Y53" s="4126"/>
      <c r="Z53" s="4126"/>
      <c r="AA53" s="4126"/>
      <c r="AB53" s="4169"/>
      <c r="AC53"/>
    </row>
    <row r="54" spans="1:35" s="501" customFormat="1" ht="15" customHeight="1" thickBot="1">
      <c r="A54" s="299"/>
      <c r="B54" s="286"/>
      <c r="C54" s="377">
        <f t="array" ref="C54:G54">PRCP</f>
        <v>2008</v>
      </c>
      <c r="D54" s="378">
        <v>2009</v>
      </c>
      <c r="E54" s="378">
        <v>2010</v>
      </c>
      <c r="F54" s="378">
        <v>2011</v>
      </c>
      <c r="G54" s="378">
        <v>2012</v>
      </c>
      <c r="H54" s="379">
        <f>CRCP_y1</f>
        <v>2013</v>
      </c>
      <c r="I54" s="379">
        <f>CRCP_y2</f>
        <v>2014</v>
      </c>
      <c r="J54" s="379">
        <f>CRCP_y3</f>
        <v>2015</v>
      </c>
      <c r="K54" s="379">
        <f>CRCP_y4</f>
        <v>2016</v>
      </c>
      <c r="L54" s="379">
        <f>CRCP_y5</f>
        <v>2017</v>
      </c>
      <c r="M54" s="378" t="str">
        <f t="array" ref="M54:Q54">FRCP</f>
        <v>2018</v>
      </c>
      <c r="N54" s="378">
        <v>2019</v>
      </c>
      <c r="O54" s="378">
        <v>2020</v>
      </c>
      <c r="P54" s="378">
        <v>2021</v>
      </c>
      <c r="Q54" s="578">
        <v>2022</v>
      </c>
      <c r="R54"/>
      <c r="S54"/>
      <c r="T54"/>
      <c r="U54" s="1313">
        <f t="array" ref="U54:Y54">PRCP</f>
        <v>2008</v>
      </c>
      <c r="V54" s="1314">
        <v>2009</v>
      </c>
      <c r="W54" s="1314">
        <v>2010</v>
      </c>
      <c r="X54" s="1314">
        <v>2011</v>
      </c>
      <c r="Y54" s="1314">
        <v>2012</v>
      </c>
      <c r="Z54" s="379">
        <f>CRCP_y1</f>
        <v>2013</v>
      </c>
      <c r="AA54" s="379">
        <f>CRCP_y2</f>
        <v>2014</v>
      </c>
      <c r="AB54" s="1772">
        <f>CRCP_y3</f>
        <v>2015</v>
      </c>
      <c r="AC54"/>
    </row>
    <row r="55" spans="1:35">
      <c r="A55" s="299"/>
      <c r="B55" s="1555" t="s">
        <v>173</v>
      </c>
      <c r="C55" s="439">
        <v>0</v>
      </c>
      <c r="D55" s="440">
        <v>0</v>
      </c>
      <c r="E55" s="440">
        <v>0</v>
      </c>
      <c r="F55" s="440">
        <v>0</v>
      </c>
      <c r="G55" s="1259">
        <v>0</v>
      </c>
      <c r="H55" s="697">
        <v>0</v>
      </c>
      <c r="I55" s="680">
        <v>0</v>
      </c>
      <c r="J55" s="680">
        <v>0</v>
      </c>
      <c r="K55" s="680">
        <v>0</v>
      </c>
      <c r="L55" s="698">
        <v>0</v>
      </c>
      <c r="M55" s="697">
        <v>0</v>
      </c>
      <c r="N55" s="680">
        <v>0</v>
      </c>
      <c r="O55" s="680">
        <v>0</v>
      </c>
      <c r="P55" s="680">
        <v>0</v>
      </c>
      <c r="Q55" s="698">
        <v>0</v>
      </c>
      <c r="U55" s="1595"/>
      <c r="V55" s="480"/>
      <c r="W55" s="480"/>
      <c r="X55" s="480"/>
      <c r="Y55" s="1608"/>
      <c r="Z55" s="1837"/>
      <c r="AA55" s="1838"/>
      <c r="AB55" s="1839"/>
    </row>
    <row r="56" spans="1:35">
      <c r="A56" s="299"/>
      <c r="B56" s="1556" t="s">
        <v>174</v>
      </c>
      <c r="C56" s="505">
        <f>C57-C55</f>
        <v>3638390.6101818183</v>
      </c>
      <c r="D56" s="506">
        <f t="shared" ref="D56:Q56" si="3">D57-D55</f>
        <v>1435340.3991818186</v>
      </c>
      <c r="E56" s="506">
        <f t="shared" si="3"/>
        <v>3773546.6294545466</v>
      </c>
      <c r="F56" s="506">
        <f t="shared" si="3"/>
        <v>6003369.7270000027</v>
      </c>
      <c r="G56" s="1302">
        <f t="shared" si="3"/>
        <v>7172613.988454869</v>
      </c>
      <c r="H56" s="505">
        <f t="shared" ref="H56" si="4">H57-H55</f>
        <v>2630944.0899999994</v>
      </c>
      <c r="I56" s="506">
        <f t="shared" si="3"/>
        <v>2875844.55</v>
      </c>
      <c r="J56" s="506">
        <f t="shared" si="3"/>
        <v>3555790.6</v>
      </c>
      <c r="K56" s="506">
        <f>K57-K55</f>
        <v>5005615.580000001</v>
      </c>
      <c r="L56" s="454">
        <f t="shared" ca="1" si="3"/>
        <v>5192382.66</v>
      </c>
      <c r="M56" s="506">
        <f>M57-M55</f>
        <v>6402556.33933724</v>
      </c>
      <c r="N56" s="506">
        <f t="shared" si="3"/>
        <v>5592296.0398689257</v>
      </c>
      <c r="O56" s="506">
        <f t="shared" si="3"/>
        <v>5825872.739361492</v>
      </c>
      <c r="P56" s="506">
        <f t="shared" si="3"/>
        <v>5846852.315407549</v>
      </c>
      <c r="Q56" s="454">
        <f t="shared" si="3"/>
        <v>5434245.1151784491</v>
      </c>
      <c r="U56" s="505">
        <f>U57-U55</f>
        <v>0</v>
      </c>
      <c r="V56" s="506">
        <f t="shared" ref="V56:AB56" si="5">V57-V55</f>
        <v>0</v>
      </c>
      <c r="W56" s="506">
        <f t="shared" si="5"/>
        <v>0</v>
      </c>
      <c r="X56" s="506">
        <f t="shared" si="5"/>
        <v>0</v>
      </c>
      <c r="Y56" s="1302">
        <f t="shared" si="5"/>
        <v>0</v>
      </c>
      <c r="Z56" s="505">
        <f t="shared" si="5"/>
        <v>0</v>
      </c>
      <c r="AA56" s="506">
        <f t="shared" si="5"/>
        <v>0</v>
      </c>
      <c r="AB56" s="454">
        <f t="shared" si="5"/>
        <v>0</v>
      </c>
    </row>
    <row r="57" spans="1:35" ht="13.5" thickBot="1">
      <c r="A57" s="299"/>
      <c r="B57" s="705" t="s">
        <v>175</v>
      </c>
      <c r="C57" s="1243">
        <f t="shared" ref="C57:Q57" si="6">C46</f>
        <v>3638390.6101818183</v>
      </c>
      <c r="D57" s="1244">
        <f t="shared" si="6"/>
        <v>1435340.3991818186</v>
      </c>
      <c r="E57" s="1244">
        <f t="shared" si="6"/>
        <v>3773546.6294545466</v>
      </c>
      <c r="F57" s="1244">
        <f t="shared" si="6"/>
        <v>6003369.7270000027</v>
      </c>
      <c r="G57" s="1248">
        <f t="shared" si="6"/>
        <v>7172613.988454869</v>
      </c>
      <c r="H57" s="1243">
        <f t="shared" si="6"/>
        <v>2630944.0899999994</v>
      </c>
      <c r="I57" s="1244">
        <f t="shared" si="6"/>
        <v>2875844.55</v>
      </c>
      <c r="J57" s="1244">
        <f t="shared" si="6"/>
        <v>3555790.6</v>
      </c>
      <c r="K57" s="1244">
        <f t="shared" si="6"/>
        <v>5005615.580000001</v>
      </c>
      <c r="L57" s="1244">
        <f t="shared" ca="1" si="6"/>
        <v>5192382.66</v>
      </c>
      <c r="M57" s="1243">
        <f t="shared" si="6"/>
        <v>6402556.33933724</v>
      </c>
      <c r="N57" s="1244">
        <f t="shared" si="6"/>
        <v>5592296.0398689257</v>
      </c>
      <c r="O57" s="1244">
        <f t="shared" si="6"/>
        <v>5825872.739361492</v>
      </c>
      <c r="P57" s="1244">
        <f t="shared" si="6"/>
        <v>5846852.315407549</v>
      </c>
      <c r="Q57" s="1244">
        <f t="shared" si="6"/>
        <v>5434245.1151784491</v>
      </c>
      <c r="U57" s="1535">
        <f t="shared" ref="U57:Z57" si="7">U46</f>
        <v>0</v>
      </c>
      <c r="V57" s="1244">
        <f t="shared" si="7"/>
        <v>0</v>
      </c>
      <c r="W57" s="1244">
        <f t="shared" si="7"/>
        <v>0</v>
      </c>
      <c r="X57" s="1244">
        <f t="shared" si="7"/>
        <v>0</v>
      </c>
      <c r="Y57" s="1248">
        <f t="shared" si="7"/>
        <v>0</v>
      </c>
      <c r="Z57" s="1535">
        <f t="shared" si="7"/>
        <v>0</v>
      </c>
      <c r="AA57" s="1244">
        <f>Z46</f>
        <v>0</v>
      </c>
      <c r="AB57" s="1245">
        <f>AA46</f>
        <v>0</v>
      </c>
    </row>
    <row r="58" spans="1:35" s="69" customFormat="1" ht="28.5" customHeight="1" thickBot="1">
      <c r="A58" s="348"/>
      <c r="B58" s="1470" t="s">
        <v>127</v>
      </c>
      <c r="C58" s="687"/>
      <c r="D58" s="301"/>
      <c r="E58" s="301"/>
      <c r="F58" s="301"/>
      <c r="G58" s="301"/>
      <c r="H58" s="301"/>
      <c r="I58" s="301"/>
      <c r="J58" s="301"/>
      <c r="K58" s="301"/>
      <c r="L58" s="301"/>
      <c r="M58" s="301"/>
      <c r="N58" s="301"/>
      <c r="O58" s="301"/>
      <c r="P58" s="301"/>
      <c r="Q58" s="436"/>
      <c r="R58"/>
      <c r="S58"/>
      <c r="T58"/>
      <c r="U58" s="1790"/>
      <c r="V58" s="1771"/>
      <c r="W58" s="1771"/>
      <c r="X58" s="1771"/>
      <c r="Y58" s="1771"/>
      <c r="Z58" s="1771"/>
      <c r="AA58" s="1771"/>
      <c r="AB58" s="1774"/>
      <c r="AC58"/>
    </row>
    <row r="59" spans="1:35" s="78" customFormat="1" ht="45.75" customHeight="1" thickBot="1">
      <c r="A59" s="299"/>
      <c r="C59" s="80"/>
      <c r="D59" s="80"/>
      <c r="E59" s="80"/>
      <c r="F59" s="80"/>
      <c r="G59" s="80"/>
      <c r="H59" s="80"/>
      <c r="I59" s="80"/>
      <c r="J59" s="80"/>
      <c r="K59" s="80"/>
      <c r="L59" s="80"/>
      <c r="M59" s="80"/>
      <c r="R59"/>
      <c r="S59"/>
      <c r="T59"/>
      <c r="U59" s="225"/>
      <c r="V59" s="225"/>
      <c r="W59" s="225"/>
      <c r="X59" s="225"/>
      <c r="Y59" s="225"/>
      <c r="Z59" s="225"/>
      <c r="AA59" s="225"/>
      <c r="AB59" s="225"/>
      <c r="AC59"/>
    </row>
    <row r="60" spans="1:35" s="299" customFormat="1" ht="24.75" customHeight="1" thickBot="1">
      <c r="B60" s="3322" t="s">
        <v>1464</v>
      </c>
      <c r="C60" s="3323"/>
      <c r="D60" s="3323"/>
      <c r="E60" s="3323"/>
      <c r="F60" s="3323"/>
      <c r="G60" s="3323"/>
      <c r="H60" s="3323"/>
      <c r="I60" s="3323"/>
      <c r="J60" s="3323"/>
      <c r="K60" s="3323"/>
      <c r="L60" s="3323"/>
      <c r="M60" s="3323"/>
      <c r="N60" s="3323"/>
      <c r="O60" s="3323"/>
      <c r="P60" s="3323"/>
      <c r="Q60" s="3324"/>
      <c r="R60" s="1268"/>
      <c r="S60" s="1268"/>
      <c r="T60" s="1268"/>
      <c r="U60" s="3322"/>
      <c r="V60" s="3323"/>
      <c r="W60" s="3323"/>
      <c r="X60" s="3323"/>
      <c r="Y60" s="3323"/>
      <c r="Z60" s="3323"/>
      <c r="AA60" s="3323"/>
      <c r="AB60" s="3324"/>
      <c r="AC60" s="1268"/>
    </row>
    <row r="61" spans="1:35" s="299" customFormat="1" ht="15.75" customHeight="1">
      <c r="B61" s="706"/>
      <c r="C61" s="4496" t="s">
        <v>36</v>
      </c>
      <c r="D61" s="4495"/>
      <c r="E61" s="4495"/>
      <c r="F61" s="4495"/>
      <c r="G61" s="4495"/>
      <c r="H61" s="4494" t="s">
        <v>37</v>
      </c>
      <c r="I61" s="4495"/>
      <c r="J61" s="4495"/>
      <c r="K61" s="4495"/>
      <c r="L61" s="4495"/>
      <c r="M61" s="4494" t="s">
        <v>75</v>
      </c>
      <c r="N61" s="4494"/>
      <c r="O61" s="4494"/>
      <c r="P61" s="4494"/>
      <c r="Q61" s="4497"/>
      <c r="R61" s="1268"/>
      <c r="S61" s="1268"/>
      <c r="T61" s="1268"/>
      <c r="U61" s="4513" t="s">
        <v>36</v>
      </c>
      <c r="V61" s="4495"/>
      <c r="W61" s="4495"/>
      <c r="X61" s="4495"/>
      <c r="Y61" s="4495"/>
      <c r="Z61" s="4494" t="s">
        <v>37</v>
      </c>
      <c r="AA61" s="4495"/>
      <c r="AB61" s="4509"/>
      <c r="AC61" s="1268"/>
    </row>
    <row r="62" spans="1:35" s="299" customFormat="1" ht="15" customHeight="1">
      <c r="B62" s="550"/>
      <c r="C62" s="4489" t="s">
        <v>118</v>
      </c>
      <c r="D62" s="4490" t="s">
        <v>118</v>
      </c>
      <c r="E62" s="4490" t="s">
        <v>118</v>
      </c>
      <c r="F62" s="4490" t="s">
        <v>118</v>
      </c>
      <c r="G62" s="4490" t="s">
        <v>118</v>
      </c>
      <c r="H62" s="4490" t="s">
        <v>118</v>
      </c>
      <c r="I62" s="4490" t="s">
        <v>118</v>
      </c>
      <c r="J62" s="4490" t="s">
        <v>118</v>
      </c>
      <c r="K62" s="4490" t="s">
        <v>118</v>
      </c>
      <c r="L62" s="4490" t="s">
        <v>118</v>
      </c>
      <c r="M62" s="4490" t="s">
        <v>118</v>
      </c>
      <c r="N62" s="4490" t="s">
        <v>118</v>
      </c>
      <c r="O62" s="4490" t="s">
        <v>118</v>
      </c>
      <c r="P62" s="4490" t="s">
        <v>118</v>
      </c>
      <c r="Q62" s="4493" t="s">
        <v>118</v>
      </c>
      <c r="R62" s="1268"/>
      <c r="S62" s="1268"/>
      <c r="T62" s="1268"/>
      <c r="U62" s="4489" t="s">
        <v>118</v>
      </c>
      <c r="V62" s="4490"/>
      <c r="W62" s="4490"/>
      <c r="X62" s="4490"/>
      <c r="Y62" s="4490"/>
      <c r="Z62" s="4490"/>
      <c r="AA62" s="4490"/>
      <c r="AB62" s="4493"/>
      <c r="AC62" s="1268"/>
      <c r="AD62" s="1268"/>
      <c r="AE62" s="1268"/>
      <c r="AF62" s="1268"/>
      <c r="AG62" s="1268"/>
      <c r="AH62" s="1268"/>
      <c r="AI62" s="1268"/>
    </row>
    <row r="63" spans="1:35" s="299" customFormat="1" ht="15">
      <c r="B63" s="550"/>
      <c r="C63" s="4489" t="s">
        <v>56</v>
      </c>
      <c r="D63" s="4490"/>
      <c r="E63" s="4490"/>
      <c r="F63" s="4490"/>
      <c r="G63" s="4490"/>
      <c r="H63" s="4490"/>
      <c r="I63" s="4490"/>
      <c r="J63" s="4491"/>
      <c r="K63" s="4492" t="s">
        <v>57</v>
      </c>
      <c r="L63" s="4490"/>
      <c r="M63" s="4490"/>
      <c r="N63" s="4490"/>
      <c r="O63" s="4490"/>
      <c r="P63" s="4490"/>
      <c r="Q63" s="4493"/>
      <c r="R63" s="1268"/>
      <c r="S63" s="1268"/>
      <c r="T63" s="1268"/>
      <c r="U63" s="4489" t="s">
        <v>56</v>
      </c>
      <c r="V63" s="4490"/>
      <c r="W63" s="4490"/>
      <c r="X63" s="4490"/>
      <c r="Y63" s="4490"/>
      <c r="Z63" s="4490"/>
      <c r="AA63" s="4490"/>
      <c r="AB63" s="4493"/>
      <c r="AC63" s="1268"/>
    </row>
    <row r="64" spans="1:35" s="299" customFormat="1" ht="12.75" customHeight="1" thickBot="1">
      <c r="B64" s="551"/>
      <c r="C64" s="3877">
        <f t="array" ref="C64:G64">PRCP</f>
        <v>2008</v>
      </c>
      <c r="D64" s="3878">
        <v>2009</v>
      </c>
      <c r="E64" s="3878">
        <v>2010</v>
      </c>
      <c r="F64" s="3878">
        <v>2011</v>
      </c>
      <c r="G64" s="3878">
        <v>2012</v>
      </c>
      <c r="H64" s="3878">
        <f>CRCP_y1</f>
        <v>2013</v>
      </c>
      <c r="I64" s="3878">
        <f>CRCP_y2</f>
        <v>2014</v>
      </c>
      <c r="J64" s="3878">
        <f>CRCP_y3</f>
        <v>2015</v>
      </c>
      <c r="K64" s="3878">
        <f>CRCP_y4</f>
        <v>2016</v>
      </c>
      <c r="L64" s="3878">
        <f>CRCP_y5</f>
        <v>2017</v>
      </c>
      <c r="M64" s="3878" t="str">
        <f t="array" ref="M64:Q64">FRCP</f>
        <v>2018</v>
      </c>
      <c r="N64" s="3878">
        <v>2019</v>
      </c>
      <c r="O64" s="3878">
        <v>2020</v>
      </c>
      <c r="P64" s="3878">
        <v>2021</v>
      </c>
      <c r="Q64" s="3879">
        <v>2022</v>
      </c>
      <c r="R64" s="1268"/>
      <c r="S64" s="1268"/>
      <c r="T64" s="1268"/>
      <c r="U64" s="3880">
        <f t="array" ref="U64:Y64">PRCP</f>
        <v>2008</v>
      </c>
      <c r="V64" s="3878">
        <v>2009</v>
      </c>
      <c r="W64" s="3878">
        <v>2010</v>
      </c>
      <c r="X64" s="3878">
        <v>2011</v>
      </c>
      <c r="Y64" s="3878">
        <v>2012</v>
      </c>
      <c r="Z64" s="3878">
        <f>CRCP_y1</f>
        <v>2013</v>
      </c>
      <c r="AA64" s="3878">
        <f>CRCP_y2</f>
        <v>2014</v>
      </c>
      <c r="AB64" s="3879">
        <f>CRCP_y3</f>
        <v>2015</v>
      </c>
      <c r="AC64" s="1268"/>
    </row>
    <row r="65" spans="1:29" s="299" customFormat="1" ht="27" customHeight="1" thickBot="1">
      <c r="B65" s="3881" t="s">
        <v>163</v>
      </c>
      <c r="C65" s="3882"/>
      <c r="D65" s="3883"/>
      <c r="E65" s="3883"/>
      <c r="F65" s="3883"/>
      <c r="G65" s="3884"/>
      <c r="H65" s="3885"/>
      <c r="I65" s="3886"/>
      <c r="J65" s="3886"/>
      <c r="K65" s="3886"/>
      <c r="L65" s="3886"/>
      <c r="M65" s="3885"/>
      <c r="N65" s="3886"/>
      <c r="O65" s="3886"/>
      <c r="P65" s="3886"/>
      <c r="Q65" s="3887"/>
      <c r="R65" s="1268"/>
      <c r="S65" s="1268"/>
      <c r="T65" s="1268"/>
      <c r="U65" s="3882"/>
      <c r="V65" s="3883"/>
      <c r="W65" s="3883"/>
      <c r="X65" s="3883"/>
      <c r="Y65" s="3884"/>
      <c r="Z65" s="3885"/>
      <c r="AA65" s="3886"/>
      <c r="AB65" s="3887"/>
      <c r="AC65" s="1268"/>
    </row>
    <row r="66" spans="1:29" s="299" customFormat="1" ht="15.75" customHeight="1" thickBot="1">
      <c r="B66" s="3888" t="s">
        <v>253</v>
      </c>
      <c r="C66" s="4507" t="s">
        <v>569</v>
      </c>
      <c r="D66" s="4505"/>
      <c r="E66" s="4505"/>
      <c r="F66" s="4505"/>
      <c r="G66" s="4505"/>
      <c r="H66" s="4505"/>
      <c r="I66" s="4505"/>
      <c r="J66" s="4508"/>
      <c r="K66" s="4504" t="str">
        <f>CONCATENATE("$0's, real ",dms_DollarReal)</f>
        <v>$0's, real December 2017</v>
      </c>
      <c r="L66" s="4505"/>
      <c r="M66" s="4505"/>
      <c r="N66" s="4505"/>
      <c r="O66" s="4505"/>
      <c r="P66" s="4505"/>
      <c r="Q66" s="4506"/>
      <c r="R66" s="1268"/>
      <c r="S66" s="1268"/>
      <c r="T66" s="1268"/>
      <c r="U66" s="4507" t="str">
        <f>CONCATENATE("$0's, real ",dms_DollarReal)</f>
        <v>$0's, real December 2017</v>
      </c>
      <c r="V66" s="4505"/>
      <c r="W66" s="4505"/>
      <c r="X66" s="4505"/>
      <c r="Y66" s="4505"/>
      <c r="Z66" s="4505"/>
      <c r="AA66" s="4505"/>
      <c r="AB66" s="4506"/>
      <c r="AC66" s="1268"/>
    </row>
    <row r="67" spans="1:29" s="299" customFormat="1">
      <c r="B67" s="763"/>
      <c r="C67" s="3889"/>
      <c r="D67" s="3890"/>
      <c r="E67" s="3890"/>
      <c r="F67" s="3890"/>
      <c r="G67" s="3891"/>
      <c r="H67" s="3975"/>
      <c r="I67" s="3981"/>
      <c r="J67" s="3981"/>
      <c r="K67" s="3981"/>
      <c r="L67" s="3981"/>
      <c r="M67" s="3974"/>
      <c r="N67" s="3978"/>
      <c r="O67" s="3978"/>
      <c r="P67" s="3978"/>
      <c r="Q67" s="3986"/>
      <c r="R67" s="1268"/>
      <c r="S67" s="1268"/>
      <c r="T67" s="1268"/>
      <c r="U67" s="3892"/>
      <c r="V67" s="3890"/>
      <c r="W67" s="3890"/>
      <c r="X67" s="3890"/>
      <c r="Y67" s="3891"/>
      <c r="Z67" s="3892"/>
      <c r="AA67" s="3890"/>
      <c r="AB67" s="3891"/>
      <c r="AC67" s="1268"/>
    </row>
    <row r="68" spans="1:29" s="299" customFormat="1">
      <c r="B68" s="763"/>
      <c r="C68" s="3893"/>
      <c r="D68" s="3894"/>
      <c r="E68" s="3894"/>
      <c r="F68" s="3894"/>
      <c r="G68" s="3895"/>
      <c r="H68" s="3977"/>
      <c r="I68" s="3982"/>
      <c r="J68" s="3982"/>
      <c r="K68" s="3982"/>
      <c r="L68" s="3982"/>
      <c r="M68" s="3976"/>
      <c r="N68" s="3979"/>
      <c r="O68" s="3979"/>
      <c r="P68" s="3979"/>
      <c r="Q68" s="3988"/>
      <c r="R68" s="1268"/>
      <c r="S68" s="1268"/>
      <c r="T68" s="1268"/>
      <c r="U68" s="3893"/>
      <c r="V68" s="3894"/>
      <c r="W68" s="3894"/>
      <c r="X68" s="3894"/>
      <c r="Y68" s="3895"/>
      <c r="Z68" s="3893"/>
      <c r="AA68" s="3894"/>
      <c r="AB68" s="3895"/>
      <c r="AC68" s="1268"/>
    </row>
    <row r="69" spans="1:29" s="299" customFormat="1">
      <c r="B69" s="763"/>
      <c r="C69" s="3893"/>
      <c r="D69" s="3894"/>
      <c r="E69" s="3894"/>
      <c r="F69" s="3894"/>
      <c r="G69" s="3895"/>
      <c r="H69" s="3977"/>
      <c r="I69" s="3982"/>
      <c r="J69" s="3982"/>
      <c r="K69" s="3982"/>
      <c r="L69" s="3982"/>
      <c r="M69" s="3893"/>
      <c r="N69" s="3894"/>
      <c r="O69" s="3894"/>
      <c r="P69" s="3894"/>
      <c r="Q69" s="3895"/>
      <c r="R69" s="1268"/>
      <c r="S69" s="1268"/>
      <c r="T69" s="1268"/>
      <c r="U69" s="3893"/>
      <c r="V69" s="3894"/>
      <c r="W69" s="3894"/>
      <c r="X69" s="3894"/>
      <c r="Y69" s="3895"/>
      <c r="Z69" s="3893"/>
      <c r="AA69" s="3894"/>
      <c r="AB69" s="3895"/>
      <c r="AC69" s="1268"/>
    </row>
    <row r="70" spans="1:29" s="299" customFormat="1" ht="13.5" thickBot="1">
      <c r="B70" s="3897" t="s">
        <v>175</v>
      </c>
      <c r="C70" s="3994">
        <f>C57/SUM('17. Gross Capex '!C21:C31)</f>
        <v>9.9810965178108751E-2</v>
      </c>
      <c r="D70" s="3992">
        <f>D57/SUM('17. Gross Capex '!D21:D31)</f>
        <v>3.9519611613285294E-2</v>
      </c>
      <c r="E70" s="3992">
        <f>E57/SUM('17. Gross Capex '!E21:E31)</f>
        <v>9.8534224283634411E-2</v>
      </c>
      <c r="F70" s="3992">
        <f>F57/SUM('17. Gross Capex '!F21:F31)</f>
        <v>9.6414273683022897E-2</v>
      </c>
      <c r="G70" s="3993">
        <f>G57/SUM('17. Gross Capex '!G21:G31)</f>
        <v>9.1798834839652968E-2</v>
      </c>
      <c r="H70" s="3994">
        <f>H57/SUM('17. Gross Capex '!H21:H31)</f>
        <v>4.2638751645180314E-2</v>
      </c>
      <c r="I70" s="3992">
        <f>I57/SUM('17. Gross Capex '!I21:I31)</f>
        <v>4.9764160424827161E-2</v>
      </c>
      <c r="J70" s="3992">
        <f>J57/SUM('17. Gross Capex '!J21:J31)</f>
        <v>5.4085075611084645E-2</v>
      </c>
      <c r="K70" s="3992">
        <f>K57/SUM('17. Gross Capex '!K21:K31)</f>
        <v>5.799005774106545E-2</v>
      </c>
      <c r="L70" s="3992">
        <f ca="1">L57/SUM('17. Gross Capex '!L21:L31)</f>
        <v>5.8853152865265469E-2</v>
      </c>
      <c r="M70" s="3994">
        <f>M57/SUM('17. Gross Capex '!M21:M31)</f>
        <v>5.6424134386621159E-2</v>
      </c>
      <c r="N70" s="3992">
        <f>N57/SUM('17. Gross Capex '!N21:N31)</f>
        <v>5.6528780733723819E-2</v>
      </c>
      <c r="O70" s="3992">
        <f>O57/SUM('17. Gross Capex '!O21:O31)</f>
        <v>5.6531783597921673E-2</v>
      </c>
      <c r="P70" s="3992">
        <f>P57/SUM('17. Gross Capex '!P21:P31)</f>
        <v>5.653204158381727E-2</v>
      </c>
      <c r="Q70" s="3993">
        <f>Q57/SUM('17. Gross Capex '!Q21:Q31)</f>
        <v>5.6526602596777407E-2</v>
      </c>
      <c r="R70" s="1268"/>
      <c r="S70" s="1268"/>
      <c r="T70" s="1268"/>
      <c r="U70" s="3898"/>
      <c r="V70" s="3899"/>
      <c r="W70" s="3899"/>
      <c r="X70" s="3899"/>
      <c r="Y70" s="3900"/>
      <c r="Z70" s="3898"/>
      <c r="AA70" s="3899"/>
      <c r="AB70" s="3900"/>
      <c r="AC70" s="1268"/>
    </row>
    <row r="71" spans="1:29" s="1268" customFormat="1" ht="28.5" customHeight="1" thickBot="1">
      <c r="A71" s="974"/>
      <c r="B71" s="1470" t="s">
        <v>127</v>
      </c>
      <c r="C71" s="3901"/>
      <c r="D71" s="3902"/>
      <c r="E71" s="3902"/>
      <c r="F71" s="3902"/>
      <c r="G71" s="3902"/>
      <c r="H71" s="3902"/>
      <c r="I71" s="3902"/>
      <c r="J71" s="3902"/>
      <c r="K71" s="3902"/>
      <c r="L71" s="3902"/>
      <c r="M71" s="3902"/>
      <c r="N71" s="3902"/>
      <c r="O71" s="3902"/>
      <c r="P71" s="3902"/>
      <c r="Q71" s="3903"/>
      <c r="U71" s="3901"/>
      <c r="V71" s="3902"/>
      <c r="W71" s="3902"/>
      <c r="X71" s="3902"/>
      <c r="Y71" s="3902"/>
      <c r="Z71" s="3902"/>
      <c r="AA71" s="3902"/>
      <c r="AB71" s="3903"/>
    </row>
    <row r="72" spans="1:29" s="1268" customFormat="1" ht="51.75" customHeight="1" thickBot="1">
      <c r="A72" s="974"/>
      <c r="B72" s="669"/>
      <c r="C72" s="669"/>
      <c r="D72" s="669"/>
      <c r="E72" s="669"/>
      <c r="F72" s="669"/>
      <c r="G72" s="669"/>
      <c r="H72" s="669"/>
      <c r="I72" s="669"/>
      <c r="J72" s="669"/>
      <c r="K72" s="669"/>
      <c r="L72" s="669"/>
      <c r="M72" s="669"/>
      <c r="N72" s="669"/>
      <c r="O72" s="669"/>
      <c r="P72" s="669"/>
      <c r="Q72" s="669"/>
      <c r="U72" s="669"/>
      <c r="V72" s="669"/>
      <c r="W72" s="669"/>
      <c r="X72" s="669"/>
      <c r="Y72" s="669"/>
      <c r="Z72" s="669"/>
      <c r="AA72" s="669"/>
      <c r="AB72" s="669"/>
    </row>
    <row r="73" spans="1:29" s="299" customFormat="1" ht="24.75" customHeight="1" thickBot="1">
      <c r="B73" s="3322" t="s">
        <v>1465</v>
      </c>
      <c r="C73" s="3323"/>
      <c r="D73" s="3323"/>
      <c r="E73" s="3323"/>
      <c r="F73" s="3323"/>
      <c r="G73" s="3323"/>
      <c r="H73" s="3323"/>
      <c r="I73" s="3323"/>
      <c r="J73" s="3323"/>
      <c r="K73" s="3323"/>
      <c r="L73" s="3324"/>
      <c r="M73" s="1268"/>
      <c r="N73" s="1268"/>
      <c r="O73" s="1268"/>
      <c r="P73" s="1268"/>
      <c r="Q73" s="1268"/>
      <c r="R73" s="1268"/>
      <c r="S73" s="1268"/>
      <c r="T73" s="1268"/>
      <c r="U73" s="1268"/>
      <c r="V73" s="1268"/>
      <c r="W73" s="1268"/>
      <c r="X73" s="1268"/>
      <c r="Y73" s="1268"/>
      <c r="Z73" s="1268"/>
      <c r="AA73" s="1268"/>
      <c r="AB73" s="1268"/>
    </row>
    <row r="74" spans="1:29" s="299" customFormat="1" ht="15.75" customHeight="1">
      <c r="B74" s="284"/>
      <c r="C74" s="4496" t="s">
        <v>36</v>
      </c>
      <c r="D74" s="4495"/>
      <c r="E74" s="4495"/>
      <c r="F74" s="4495"/>
      <c r="G74" s="4495"/>
      <c r="H74" s="4494" t="s">
        <v>37</v>
      </c>
      <c r="I74" s="4495"/>
      <c r="J74" s="4495"/>
      <c r="K74" s="4495"/>
      <c r="L74" s="4509"/>
      <c r="R74" s="1268"/>
      <c r="S74" s="1268"/>
      <c r="T74" s="1268"/>
      <c r="U74" s="1268"/>
      <c r="V74" s="1268"/>
      <c r="W74" s="1268"/>
      <c r="X74" s="1268"/>
      <c r="Y74" s="1268"/>
      <c r="Z74" s="1268"/>
      <c r="AA74" s="1268"/>
      <c r="AB74" s="1268"/>
      <c r="AC74" s="1268"/>
    </row>
    <row r="75" spans="1:29" s="299" customFormat="1" ht="12.75" customHeight="1">
      <c r="B75" s="1273"/>
      <c r="C75" s="4501" t="s">
        <v>118</v>
      </c>
      <c r="D75" s="4502"/>
      <c r="E75" s="4502"/>
      <c r="F75" s="4502"/>
      <c r="G75" s="4502"/>
      <c r="H75" s="4502"/>
      <c r="I75" s="4502"/>
      <c r="J75" s="4502"/>
      <c r="K75" s="4502"/>
      <c r="L75" s="4503"/>
      <c r="R75" s="1268"/>
      <c r="S75" s="1268"/>
      <c r="T75" s="1268"/>
      <c r="U75" s="1268"/>
      <c r="V75" s="1268"/>
      <c r="W75" s="1268"/>
      <c r="X75" s="1268"/>
      <c r="Y75" s="1268"/>
      <c r="Z75" s="1268"/>
      <c r="AA75" s="1268"/>
      <c r="AB75" s="1268"/>
      <c r="AC75" s="1268"/>
    </row>
    <row r="76" spans="1:29" s="299" customFormat="1" ht="15" customHeight="1">
      <c r="B76" s="1273"/>
      <c r="C76" s="4501" t="s">
        <v>76</v>
      </c>
      <c r="D76" s="4502"/>
      <c r="E76" s="4502"/>
      <c r="F76" s="4502"/>
      <c r="G76" s="4502"/>
      <c r="H76" s="4502"/>
      <c r="I76" s="4502"/>
      <c r="J76" s="4502"/>
      <c r="K76" s="4502"/>
      <c r="L76" s="4503"/>
      <c r="R76" s="1268"/>
      <c r="S76" s="1268"/>
      <c r="T76" s="1268"/>
      <c r="U76" s="1268"/>
      <c r="V76" s="1268"/>
      <c r="W76" s="1268"/>
      <c r="X76" s="1268"/>
      <c r="Y76" s="1268"/>
      <c r="Z76" s="1268"/>
      <c r="AA76" s="1268"/>
      <c r="AB76" s="1268"/>
      <c r="AC76" s="1268"/>
    </row>
    <row r="77" spans="1:29" s="299" customFormat="1" ht="12.75" customHeight="1" thickBot="1">
      <c r="B77" s="548"/>
      <c r="C77" s="3877">
        <f t="array" ref="C77:G77">PRCP</f>
        <v>2008</v>
      </c>
      <c r="D77" s="3878">
        <v>2009</v>
      </c>
      <c r="E77" s="3878">
        <v>2010</v>
      </c>
      <c r="F77" s="3878">
        <v>2011</v>
      </c>
      <c r="G77" s="3878">
        <v>2012</v>
      </c>
      <c r="H77" s="3878">
        <f>CRCP_y1</f>
        <v>2013</v>
      </c>
      <c r="I77" s="3878">
        <f>CRCP_y2</f>
        <v>2014</v>
      </c>
      <c r="J77" s="3878">
        <f>CRCP_y3</f>
        <v>2015</v>
      </c>
      <c r="K77" s="3878">
        <f>CRCP_y4</f>
        <v>2016</v>
      </c>
      <c r="L77" s="3879">
        <f>CRCP_y5</f>
        <v>2017</v>
      </c>
      <c r="R77" s="1268"/>
      <c r="S77" s="1268"/>
      <c r="T77" s="1268"/>
      <c r="U77" s="1268"/>
      <c r="V77" s="1268"/>
      <c r="W77" s="1268"/>
      <c r="X77" s="1268"/>
      <c r="Y77" s="1268"/>
      <c r="Z77" s="1268"/>
      <c r="AA77" s="1268"/>
      <c r="AB77" s="1268"/>
      <c r="AC77" s="1268"/>
    </row>
    <row r="78" spans="1:29" s="1260" customFormat="1" ht="21.75" customHeight="1" thickBot="1">
      <c r="B78" s="3904" t="s">
        <v>163</v>
      </c>
      <c r="C78" s="3905"/>
      <c r="D78" s="3906"/>
      <c r="E78" s="3906"/>
      <c r="F78" s="3906"/>
      <c r="G78" s="3907"/>
      <c r="H78" s="3908"/>
      <c r="I78" s="3909"/>
      <c r="J78" s="3909"/>
      <c r="K78" s="3909"/>
      <c r="L78" s="3910"/>
      <c r="R78" s="1268"/>
      <c r="S78" s="1268"/>
      <c r="T78" s="1268"/>
      <c r="U78" s="1268"/>
      <c r="V78" s="1268"/>
      <c r="W78" s="1268"/>
      <c r="X78" s="1268"/>
      <c r="Y78" s="1268"/>
      <c r="Z78" s="1268"/>
      <c r="AA78" s="1268"/>
      <c r="AB78" s="1268"/>
      <c r="AC78" s="1268"/>
    </row>
    <row r="79" spans="1:29" s="299" customFormat="1" ht="22.5" customHeight="1">
      <c r="B79" s="4498" t="s">
        <v>253</v>
      </c>
      <c r="C79" s="4510" t="str">
        <f>CONCATENATE("$0's, real ",dms_DollarReal)</f>
        <v>$0's, real December 2017</v>
      </c>
      <c r="D79" s="4511"/>
      <c r="E79" s="4511"/>
      <c r="F79" s="4511"/>
      <c r="G79" s="4511"/>
      <c r="H79" s="4511"/>
      <c r="I79" s="4511"/>
      <c r="J79" s="4511"/>
      <c r="K79" s="4511"/>
      <c r="L79" s="4512"/>
      <c r="M79" s="1268"/>
      <c r="N79" s="1268"/>
      <c r="O79" s="1268"/>
      <c r="P79" s="1268"/>
      <c r="Q79" s="1268"/>
      <c r="R79" s="1268"/>
      <c r="S79" s="1268"/>
      <c r="T79" s="1268"/>
      <c r="U79" s="1268"/>
      <c r="V79" s="1268"/>
      <c r="W79" s="1268"/>
      <c r="X79" s="1268"/>
      <c r="Y79" s="1268"/>
      <c r="Z79" s="1268"/>
      <c r="AA79" s="1268"/>
      <c r="AB79" s="1268"/>
      <c r="AC79" s="1268"/>
    </row>
    <row r="80" spans="1:29" s="299" customFormat="1" ht="15" customHeight="1">
      <c r="B80" s="4499"/>
      <c r="C80" s="4501" t="s">
        <v>76</v>
      </c>
      <c r="D80" s="4502"/>
      <c r="E80" s="4502"/>
      <c r="F80" s="4502"/>
      <c r="G80" s="4502"/>
      <c r="H80" s="4502"/>
      <c r="I80" s="4502"/>
      <c r="J80" s="4502"/>
      <c r="K80" s="4502"/>
      <c r="L80" s="4503"/>
      <c r="R80" s="1268"/>
      <c r="S80" s="1268"/>
      <c r="T80" s="1268"/>
      <c r="U80" s="1268"/>
      <c r="V80" s="1268"/>
      <c r="W80" s="1268"/>
      <c r="X80" s="1268"/>
      <c r="Y80" s="1268"/>
      <c r="Z80" s="1268"/>
      <c r="AA80" s="1268"/>
      <c r="AB80" s="1268"/>
      <c r="AC80" s="1268"/>
    </row>
    <row r="81" spans="1:29" s="299" customFormat="1" ht="12.75" customHeight="1" thickBot="1">
      <c r="B81" s="4500"/>
      <c r="C81" s="3877">
        <f t="array" ref="C81:G81">PRCP</f>
        <v>2008</v>
      </c>
      <c r="D81" s="3878">
        <v>2009</v>
      </c>
      <c r="E81" s="3878">
        <v>2010</v>
      </c>
      <c r="F81" s="3878">
        <v>2011</v>
      </c>
      <c r="G81" s="3878">
        <v>2012</v>
      </c>
      <c r="H81" s="3878">
        <f>CRCP_y1</f>
        <v>2013</v>
      </c>
      <c r="I81" s="3878">
        <f>CRCP_y2</f>
        <v>2014</v>
      </c>
      <c r="J81" s="3878">
        <f>CRCP_y3</f>
        <v>2015</v>
      </c>
      <c r="K81" s="3878">
        <f>CRCP_y4</f>
        <v>2016</v>
      </c>
      <c r="L81" s="3879">
        <f>CRCP_y5</f>
        <v>2017</v>
      </c>
      <c r="R81" s="1268"/>
      <c r="S81" s="1268"/>
      <c r="T81" s="1268"/>
      <c r="U81" s="1268"/>
      <c r="V81" s="1268"/>
      <c r="W81" s="1268"/>
      <c r="X81" s="1268"/>
      <c r="Y81" s="1268"/>
      <c r="Z81" s="1268"/>
      <c r="AA81" s="1268"/>
      <c r="AB81" s="1268"/>
      <c r="AC81" s="1268"/>
    </row>
    <row r="82" spans="1:29" s="299" customFormat="1">
      <c r="B82" s="1966" t="s">
        <v>405</v>
      </c>
      <c r="C82" s="3983">
        <v>0.1</v>
      </c>
      <c r="D82" s="3984">
        <v>0.1</v>
      </c>
      <c r="E82" s="3984">
        <v>0.1</v>
      </c>
      <c r="F82" s="3984">
        <v>0.1</v>
      </c>
      <c r="G82" s="3985">
        <v>0.1</v>
      </c>
      <c r="H82" s="3974">
        <v>0.1</v>
      </c>
      <c r="I82" s="3978">
        <v>0.1</v>
      </c>
      <c r="J82" s="3978">
        <v>0.1</v>
      </c>
      <c r="K82" s="3978">
        <v>0.1</v>
      </c>
      <c r="L82" s="3986">
        <v>0.1</v>
      </c>
      <c r="R82" s="1268"/>
      <c r="S82" s="1268"/>
      <c r="T82" s="1268"/>
      <c r="U82" s="1268"/>
      <c r="V82" s="1268"/>
      <c r="W82" s="1268"/>
      <c r="X82" s="1268"/>
      <c r="Y82" s="1268"/>
      <c r="Z82" s="1268"/>
      <c r="AA82" s="1268"/>
      <c r="AB82" s="1268"/>
      <c r="AC82" s="1268"/>
    </row>
    <row r="83" spans="1:29" s="299" customFormat="1">
      <c r="B83" s="1966" t="s">
        <v>367</v>
      </c>
      <c r="C83" s="3976">
        <v>0.1</v>
      </c>
      <c r="D83" s="3979">
        <v>0.1</v>
      </c>
      <c r="E83" s="3979">
        <v>0.1</v>
      </c>
      <c r="F83" s="3979">
        <v>0.1</v>
      </c>
      <c r="G83" s="3987">
        <v>0.1</v>
      </c>
      <c r="H83" s="3976">
        <v>0.1</v>
      </c>
      <c r="I83" s="3979">
        <v>0.1</v>
      </c>
      <c r="J83" s="3979">
        <v>0.1</v>
      </c>
      <c r="K83" s="3979">
        <v>0.1</v>
      </c>
      <c r="L83" s="3988">
        <v>0.1</v>
      </c>
      <c r="R83" s="1268"/>
      <c r="S83" s="1268"/>
      <c r="T83" s="1268"/>
      <c r="U83" s="1268"/>
      <c r="V83" s="1268"/>
      <c r="W83" s="1268"/>
      <c r="X83" s="1268"/>
      <c r="Y83" s="1268"/>
      <c r="Z83" s="1268"/>
      <c r="AA83" s="1268"/>
      <c r="AB83" s="1268"/>
      <c r="AC83" s="1268"/>
    </row>
    <row r="84" spans="1:29" s="299" customFormat="1">
      <c r="B84" s="1966" t="s">
        <v>164</v>
      </c>
      <c r="C84" s="3976">
        <v>0.1</v>
      </c>
      <c r="D84" s="3979">
        <v>0.1</v>
      </c>
      <c r="E84" s="3979">
        <v>0.1</v>
      </c>
      <c r="F84" s="3979">
        <v>0.1</v>
      </c>
      <c r="G84" s="3987">
        <v>0.1</v>
      </c>
      <c r="H84" s="3976">
        <v>0.1</v>
      </c>
      <c r="I84" s="3979">
        <v>0.1</v>
      </c>
      <c r="J84" s="3979">
        <v>0.1</v>
      </c>
      <c r="K84" s="3979">
        <v>0.1</v>
      </c>
      <c r="L84" s="3988">
        <v>0.1</v>
      </c>
      <c r="R84" s="1268"/>
      <c r="S84" s="1268"/>
      <c r="T84" s="1268"/>
      <c r="U84" s="1268"/>
      <c r="V84" s="1268"/>
      <c r="W84" s="1268"/>
      <c r="X84" s="1268"/>
      <c r="Y84" s="1268"/>
      <c r="Z84" s="1268"/>
      <c r="AA84" s="1268"/>
      <c r="AB84" s="1268"/>
      <c r="AC84" s="1268"/>
    </row>
    <row r="85" spans="1:29" s="299" customFormat="1">
      <c r="B85" s="1966" t="s">
        <v>165</v>
      </c>
      <c r="C85" s="3976">
        <v>0.1</v>
      </c>
      <c r="D85" s="3979">
        <v>0.1</v>
      </c>
      <c r="E85" s="3979">
        <v>0.1</v>
      </c>
      <c r="F85" s="3979">
        <v>0.1</v>
      </c>
      <c r="G85" s="3987">
        <v>0.1</v>
      </c>
      <c r="H85" s="3976">
        <v>0.1</v>
      </c>
      <c r="I85" s="3979">
        <v>0.1</v>
      </c>
      <c r="J85" s="3979">
        <v>0.1</v>
      </c>
      <c r="K85" s="3979">
        <v>0.1</v>
      </c>
      <c r="L85" s="3988">
        <v>0.1</v>
      </c>
      <c r="R85" s="1268"/>
      <c r="S85" s="1268"/>
      <c r="T85" s="1268"/>
      <c r="U85" s="1268"/>
      <c r="V85" s="1268"/>
      <c r="W85" s="1268"/>
      <c r="X85" s="1268"/>
      <c r="Y85" s="1268"/>
      <c r="Z85" s="1268"/>
      <c r="AA85" s="1268"/>
      <c r="AB85" s="1268"/>
      <c r="AC85" s="1268"/>
    </row>
    <row r="86" spans="1:29" s="299" customFormat="1">
      <c r="B86" s="1966" t="s">
        <v>158</v>
      </c>
      <c r="C86" s="3976">
        <v>0.1</v>
      </c>
      <c r="D86" s="3979">
        <v>0.1</v>
      </c>
      <c r="E86" s="3979">
        <v>0.1</v>
      </c>
      <c r="F86" s="3979">
        <v>0.1</v>
      </c>
      <c r="G86" s="3987">
        <v>0.1</v>
      </c>
      <c r="H86" s="3976">
        <v>0.1</v>
      </c>
      <c r="I86" s="3979">
        <v>0.1</v>
      </c>
      <c r="J86" s="3979">
        <v>0.1</v>
      </c>
      <c r="K86" s="3979">
        <v>0.1</v>
      </c>
      <c r="L86" s="3988">
        <v>0.1</v>
      </c>
      <c r="R86" s="1268"/>
      <c r="S86" s="1268"/>
      <c r="T86" s="1268"/>
      <c r="U86" s="1268"/>
      <c r="V86" s="1268"/>
      <c r="W86" s="1268"/>
      <c r="X86" s="1268"/>
      <c r="Y86" s="1268"/>
      <c r="Z86" s="1268"/>
      <c r="AA86" s="1268"/>
      <c r="AB86" s="1268"/>
      <c r="AC86" s="1268"/>
    </row>
    <row r="87" spans="1:29" s="299" customFormat="1">
      <c r="B87" s="1966" t="s">
        <v>166</v>
      </c>
      <c r="C87" s="3976">
        <v>0.1</v>
      </c>
      <c r="D87" s="3979">
        <v>0.1</v>
      </c>
      <c r="E87" s="3979">
        <v>0.1</v>
      </c>
      <c r="F87" s="3979">
        <v>0.1</v>
      </c>
      <c r="G87" s="3987">
        <v>0.1</v>
      </c>
      <c r="H87" s="3976">
        <v>0.1</v>
      </c>
      <c r="I87" s="3979">
        <v>0.1</v>
      </c>
      <c r="J87" s="3979">
        <v>0.1</v>
      </c>
      <c r="K87" s="3979">
        <v>0.1</v>
      </c>
      <c r="L87" s="3988">
        <v>0.1</v>
      </c>
      <c r="R87" s="1268"/>
      <c r="S87" s="1268"/>
      <c r="T87" s="1268"/>
      <c r="U87" s="1268"/>
      <c r="V87" s="1268"/>
      <c r="W87" s="1268"/>
      <c r="X87" s="1268"/>
      <c r="Y87" s="1268"/>
      <c r="Z87" s="1268"/>
      <c r="AA87" s="1268"/>
      <c r="AB87" s="1268"/>
      <c r="AC87" s="1268"/>
    </row>
    <row r="88" spans="1:29" s="299" customFormat="1">
      <c r="B88" s="1966" t="s">
        <v>64</v>
      </c>
      <c r="C88" s="3976">
        <v>0.1</v>
      </c>
      <c r="D88" s="3979">
        <v>0.1</v>
      </c>
      <c r="E88" s="3979">
        <v>0.1</v>
      </c>
      <c r="F88" s="3979">
        <v>0.1</v>
      </c>
      <c r="G88" s="3987">
        <v>0.1</v>
      </c>
      <c r="H88" s="3976">
        <v>0.1</v>
      </c>
      <c r="I88" s="3979">
        <v>0.1</v>
      </c>
      <c r="J88" s="3979">
        <v>0.1</v>
      </c>
      <c r="K88" s="3979">
        <v>0.1</v>
      </c>
      <c r="L88" s="3988">
        <v>0.1</v>
      </c>
      <c r="R88" s="1268"/>
      <c r="S88" s="1268"/>
      <c r="T88" s="1268"/>
      <c r="U88" s="1268"/>
      <c r="V88" s="1268"/>
      <c r="W88" s="1268"/>
      <c r="X88" s="1268"/>
      <c r="Y88" s="1268"/>
      <c r="Z88" s="1268"/>
      <c r="AA88" s="1268"/>
      <c r="AB88" s="1268"/>
      <c r="AC88" s="1268"/>
    </row>
    <row r="89" spans="1:29" s="299" customFormat="1">
      <c r="B89" s="3896" t="s">
        <v>651</v>
      </c>
      <c r="C89" s="3989">
        <v>0.1</v>
      </c>
      <c r="D89" s="3980">
        <v>0.1</v>
      </c>
      <c r="E89" s="3980">
        <v>0.1</v>
      </c>
      <c r="F89" s="3980">
        <v>0.1</v>
      </c>
      <c r="G89" s="3990">
        <v>0.1</v>
      </c>
      <c r="H89" s="3989">
        <v>0.1</v>
      </c>
      <c r="I89" s="3980">
        <v>0.1</v>
      </c>
      <c r="J89" s="3980">
        <v>0.1</v>
      </c>
      <c r="K89" s="3980">
        <v>0.1</v>
      </c>
      <c r="L89" s="3991">
        <v>0.1</v>
      </c>
      <c r="R89" s="1268"/>
      <c r="S89" s="1268"/>
      <c r="T89" s="1268"/>
      <c r="U89" s="1268"/>
      <c r="V89" s="1268"/>
      <c r="W89" s="1268"/>
      <c r="X89" s="1268"/>
      <c r="Y89" s="1268"/>
      <c r="Z89" s="1268"/>
      <c r="AA89" s="1268"/>
      <c r="AB89" s="1268"/>
      <c r="AC89" s="1268"/>
    </row>
    <row r="90" spans="1:29" s="299" customFormat="1" ht="13.5" thickBot="1">
      <c r="B90" s="3897" t="s">
        <v>175</v>
      </c>
      <c r="C90" s="3911">
        <f>SUM(C82:C89)</f>
        <v>0.79999999999999993</v>
      </c>
      <c r="D90" s="3912">
        <f t="shared" ref="D90:L90" si="8">SUM(D82:D89)</f>
        <v>0.79999999999999993</v>
      </c>
      <c r="E90" s="3912">
        <f t="shared" si="8"/>
        <v>0.79999999999999993</v>
      </c>
      <c r="F90" s="3912">
        <f t="shared" si="8"/>
        <v>0.79999999999999993</v>
      </c>
      <c r="G90" s="3913">
        <f t="shared" si="8"/>
        <v>0.79999999999999993</v>
      </c>
      <c r="H90" s="3911">
        <f t="shared" si="8"/>
        <v>0.79999999999999993</v>
      </c>
      <c r="I90" s="3912">
        <f t="shared" si="8"/>
        <v>0.79999999999999993</v>
      </c>
      <c r="J90" s="3912">
        <f t="shared" si="8"/>
        <v>0.79999999999999993</v>
      </c>
      <c r="K90" s="3912">
        <f t="shared" si="8"/>
        <v>0.79999999999999993</v>
      </c>
      <c r="L90" s="3914">
        <f t="shared" si="8"/>
        <v>0.79999999999999993</v>
      </c>
      <c r="R90" s="1268"/>
      <c r="S90" s="1268"/>
      <c r="T90" s="1268"/>
      <c r="U90" s="1268"/>
      <c r="V90" s="1268"/>
      <c r="W90" s="1268"/>
      <c r="X90" s="1268"/>
      <c r="Y90" s="1268"/>
      <c r="Z90" s="1268"/>
      <c r="AA90" s="1268"/>
      <c r="AB90" s="1268"/>
      <c r="AC90" s="1268"/>
    </row>
    <row r="91" spans="1:29" s="1268" customFormat="1" ht="28.5" customHeight="1" thickBot="1">
      <c r="A91" s="974"/>
      <c r="B91" s="1470" t="s">
        <v>127</v>
      </c>
      <c r="C91" s="3901"/>
      <c r="D91" s="3902"/>
      <c r="E91" s="3902"/>
      <c r="F91" s="3902"/>
      <c r="G91" s="3902"/>
      <c r="H91" s="3902"/>
      <c r="I91" s="3902"/>
      <c r="J91" s="3902"/>
      <c r="K91" s="3902"/>
      <c r="L91" s="3903"/>
    </row>
    <row r="92" spans="1:29">
      <c r="A92" s="299"/>
      <c r="U92"/>
      <c r="V92"/>
      <c r="W92"/>
      <c r="X92"/>
      <c r="Y92"/>
      <c r="Z92"/>
      <c r="AA92"/>
      <c r="AB92"/>
    </row>
    <row r="93" spans="1:29">
      <c r="A93" s="299"/>
    </row>
    <row r="95" spans="1:29">
      <c r="C95" s="3108"/>
      <c r="D95" s="3108"/>
      <c r="E95" s="3108"/>
      <c r="F95" s="3108"/>
      <c r="G95" s="3108"/>
      <c r="H95" s="3108"/>
      <c r="I95" s="3108"/>
      <c r="J95" s="3108"/>
      <c r="K95" s="3108"/>
      <c r="L95" s="3108"/>
      <c r="M95" s="3108"/>
      <c r="N95" s="3108"/>
      <c r="O95" s="3108"/>
      <c r="P95" s="3108"/>
      <c r="Q95" s="3108"/>
    </row>
    <row r="96" spans="1:29">
      <c r="C96" s="3108"/>
      <c r="D96" s="3108"/>
      <c r="E96" s="3108"/>
      <c r="F96" s="3108"/>
      <c r="G96" s="3108"/>
      <c r="H96" s="3108"/>
      <c r="I96" s="3108"/>
      <c r="J96" s="3108"/>
      <c r="K96" s="3108"/>
      <c r="L96" s="3108"/>
      <c r="M96" s="3108"/>
      <c r="N96" s="3108"/>
      <c r="O96" s="3108"/>
      <c r="P96" s="3108"/>
      <c r="Q96" s="3108"/>
    </row>
    <row r="97" spans="3:17">
      <c r="C97" s="3108"/>
      <c r="D97" s="3108"/>
      <c r="E97" s="3108"/>
      <c r="F97" s="3108"/>
      <c r="G97" s="3108"/>
      <c r="H97" s="3108"/>
      <c r="I97" s="3108"/>
      <c r="J97" s="3108"/>
      <c r="K97" s="3108"/>
      <c r="L97" s="3108"/>
      <c r="M97" s="3108"/>
      <c r="N97" s="3108"/>
      <c r="O97" s="3108"/>
      <c r="P97" s="3108"/>
      <c r="Q97" s="3108"/>
    </row>
    <row r="98" spans="3:17">
      <c r="C98" s="3108"/>
      <c r="D98" s="3108"/>
      <c r="E98" s="3108"/>
      <c r="F98" s="3108"/>
      <c r="G98" s="3108"/>
      <c r="H98" s="3108"/>
      <c r="I98" s="3108"/>
      <c r="J98" s="3108"/>
      <c r="K98" s="3108"/>
      <c r="L98" s="3108"/>
      <c r="M98" s="3108"/>
      <c r="N98" s="3108"/>
      <c r="O98" s="3108"/>
      <c r="P98" s="3108"/>
      <c r="Q98" s="3108"/>
    </row>
    <row r="99" spans="3:17">
      <c r="C99" s="3108"/>
      <c r="D99" s="3108"/>
      <c r="E99" s="3108"/>
      <c r="F99" s="3108"/>
      <c r="G99" s="3108"/>
      <c r="H99" s="3108"/>
      <c r="I99" s="3108"/>
      <c r="J99" s="3108"/>
      <c r="K99" s="3108"/>
      <c r="L99" s="3108"/>
      <c r="M99" s="3108"/>
      <c r="N99" s="3108"/>
      <c r="O99" s="3108"/>
      <c r="P99" s="3108"/>
      <c r="Q99" s="3108"/>
    </row>
    <row r="100" spans="3:17">
      <c r="C100" s="3108"/>
      <c r="D100" s="3108"/>
      <c r="E100" s="3108"/>
      <c r="F100" s="3108"/>
      <c r="G100" s="3108"/>
      <c r="H100" s="3108"/>
      <c r="I100" s="3108"/>
      <c r="J100" s="3108"/>
      <c r="K100" s="3108"/>
      <c r="L100" s="3108"/>
      <c r="M100" s="3108"/>
      <c r="N100" s="3108"/>
      <c r="O100" s="3108"/>
      <c r="P100" s="3108"/>
      <c r="Q100" s="3108"/>
    </row>
    <row r="101" spans="3:17">
      <c r="C101" s="3108"/>
      <c r="D101" s="3108"/>
      <c r="E101" s="3108"/>
      <c r="F101" s="3108"/>
      <c r="G101" s="3108"/>
      <c r="H101" s="3108"/>
      <c r="I101" s="3108"/>
      <c r="J101" s="3108"/>
      <c r="K101" s="3108"/>
      <c r="L101" s="3108"/>
      <c r="M101" s="3108"/>
      <c r="N101" s="3108"/>
      <c r="O101" s="3108"/>
      <c r="P101" s="3108"/>
      <c r="Q101" s="3108"/>
    </row>
    <row r="102" spans="3:17">
      <c r="C102" s="3108"/>
      <c r="D102" s="3108"/>
      <c r="E102" s="3108"/>
      <c r="F102" s="3108"/>
      <c r="G102" s="3108"/>
      <c r="H102" s="3108"/>
      <c r="I102" s="3108"/>
      <c r="J102" s="3108"/>
      <c r="K102" s="3108"/>
      <c r="L102" s="3108"/>
      <c r="M102" s="3108"/>
      <c r="N102" s="3108"/>
      <c r="O102" s="3108"/>
      <c r="P102" s="3108"/>
      <c r="Q102" s="3108"/>
    </row>
    <row r="103" spans="3:17">
      <c r="C103" s="3108"/>
      <c r="D103" s="3108"/>
      <c r="E103" s="3108"/>
      <c r="F103" s="3108"/>
      <c r="G103" s="3108"/>
      <c r="H103" s="3108"/>
      <c r="I103" s="3108"/>
      <c r="J103" s="3108"/>
      <c r="K103" s="3108"/>
      <c r="L103" s="3108"/>
      <c r="M103" s="3108"/>
      <c r="N103" s="3108"/>
      <c r="O103" s="3108"/>
      <c r="P103" s="3108"/>
      <c r="Q103" s="3108"/>
    </row>
    <row r="104" spans="3:17">
      <c r="C104" s="3108"/>
      <c r="D104" s="3108"/>
      <c r="E104" s="3108"/>
      <c r="F104" s="3108"/>
      <c r="G104" s="3108"/>
      <c r="H104" s="3108"/>
      <c r="I104" s="3108"/>
      <c r="J104" s="3108"/>
      <c r="K104" s="3108"/>
      <c r="L104" s="3108"/>
      <c r="M104" s="3108"/>
      <c r="N104" s="3108"/>
      <c r="O104" s="3108"/>
      <c r="P104" s="3108"/>
      <c r="Q104" s="3108"/>
    </row>
    <row r="105" spans="3:17">
      <c r="C105" s="3108"/>
      <c r="D105" s="3108"/>
      <c r="E105" s="3108"/>
      <c r="F105" s="3108"/>
      <c r="G105" s="3108"/>
      <c r="H105" s="3108"/>
      <c r="I105" s="3108"/>
      <c r="J105" s="3108"/>
      <c r="K105" s="3108"/>
      <c r="L105" s="3108"/>
      <c r="M105" s="3108"/>
      <c r="N105" s="3108"/>
      <c r="O105" s="3108"/>
      <c r="P105" s="3108"/>
      <c r="Q105" s="3108"/>
    </row>
    <row r="106" spans="3:17">
      <c r="C106" s="3108"/>
      <c r="D106" s="3108"/>
      <c r="E106" s="3108"/>
      <c r="F106" s="3108"/>
      <c r="G106" s="3108"/>
      <c r="H106" s="3108"/>
      <c r="I106" s="3108"/>
      <c r="J106" s="3108"/>
      <c r="K106" s="3108"/>
      <c r="L106" s="3108"/>
      <c r="M106" s="3108"/>
      <c r="N106" s="3108"/>
      <c r="O106" s="3108"/>
      <c r="P106" s="3108"/>
      <c r="Q106" s="3108"/>
    </row>
  </sheetData>
  <mergeCells count="44">
    <mergeCell ref="U15:Y15"/>
    <mergeCell ref="Z15:AB15"/>
    <mergeCell ref="U16:AB16"/>
    <mergeCell ref="U17:AB17"/>
    <mergeCell ref="U66:AB66"/>
    <mergeCell ref="U51:Y51"/>
    <mergeCell ref="Z51:AB51"/>
    <mergeCell ref="U52:AB52"/>
    <mergeCell ref="U62:AB62"/>
    <mergeCell ref="U53:AB53"/>
    <mergeCell ref="U61:Y61"/>
    <mergeCell ref="Z61:AB61"/>
    <mergeCell ref="U63:AB63"/>
    <mergeCell ref="B79:B81"/>
    <mergeCell ref="C75:L75"/>
    <mergeCell ref="K66:Q66"/>
    <mergeCell ref="C66:J66"/>
    <mergeCell ref="C74:G74"/>
    <mergeCell ref="H74:L74"/>
    <mergeCell ref="C76:L76"/>
    <mergeCell ref="C79:L79"/>
    <mergeCell ref="C80:L80"/>
    <mergeCell ref="C63:J63"/>
    <mergeCell ref="K63:Q63"/>
    <mergeCell ref="C53:J53"/>
    <mergeCell ref="K53:Q53"/>
    <mergeCell ref="H61:L61"/>
    <mergeCell ref="C61:G61"/>
    <mergeCell ref="C62:Q62"/>
    <mergeCell ref="M61:Q61"/>
    <mergeCell ref="B8:D8"/>
    <mergeCell ref="B9:D9"/>
    <mergeCell ref="C16:J16"/>
    <mergeCell ref="K16:Q16"/>
    <mergeCell ref="C17:J17"/>
    <mergeCell ref="K17:Q17"/>
    <mergeCell ref="C15:G15"/>
    <mergeCell ref="H15:L15"/>
    <mergeCell ref="M15:Q15"/>
    <mergeCell ref="C52:J52"/>
    <mergeCell ref="K52:Q52"/>
    <mergeCell ref="H51:L51"/>
    <mergeCell ref="C51:G51"/>
    <mergeCell ref="M51:Q51"/>
  </mergeCells>
  <pageMargins left="0.74803149606299213" right="0.74803149606299213" top="0.98425196850393704" bottom="0.98425196850393704" header="0.51181102362204722" footer="0.51181102362204722"/>
  <pageSetup paperSize="9" scale="55" orientation="portrait" r:id="rId1"/>
  <headerFooter alignWithMargins="0"/>
  <colBreaks count="2" manualBreakCount="2">
    <brk id="1" max="131" man="1"/>
    <brk id="9" max="1048575" man="1"/>
  </colBreaks>
  <customProperties>
    <customPr name="layoutContexts" r:id="rId2"/>
    <customPr name="SaveUndoMode" r:id="rId3"/>
  </customProperties>
  <drawing r:id="rId4"/>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92D050"/>
    <pageSetUpPr autoPageBreaks="0"/>
  </sheetPr>
  <dimension ref="A1:AN139"/>
  <sheetViews>
    <sheetView showGridLines="0" zoomScale="55" zoomScaleNormal="55" workbookViewId="0">
      <selection activeCell="I128" sqref="I128:R138"/>
    </sheetView>
  </sheetViews>
  <sheetFormatPr defaultColWidth="9.140625" defaultRowHeight="12.75"/>
  <cols>
    <col min="1" max="1" width="11.85546875" style="124" customWidth="1"/>
    <col min="2" max="2" width="26.28515625" style="124" customWidth="1"/>
    <col min="3" max="3" width="19.5703125" style="124" customWidth="1"/>
    <col min="4" max="4" width="19.28515625" style="124" customWidth="1"/>
    <col min="5" max="5" width="24.85546875" style="124" customWidth="1"/>
    <col min="6" max="6" width="42.85546875" style="124" customWidth="1"/>
    <col min="7" max="7" width="35.140625" style="124" customWidth="1"/>
    <col min="8" max="8" width="32" style="125" customWidth="1"/>
    <col min="9" max="9" width="17.5703125" style="124" bestFit="1" customWidth="1"/>
    <col min="10" max="10" width="14.42578125" style="124" bestFit="1" customWidth="1"/>
    <col min="11" max="11" width="17.85546875" style="124" bestFit="1" customWidth="1"/>
    <col min="12" max="12" width="17.28515625" style="124" bestFit="1" customWidth="1"/>
    <col min="13" max="13" width="17.5703125" style="124" bestFit="1" customWidth="1"/>
    <col min="14" max="14" width="17.85546875" style="124" bestFit="1" customWidth="1"/>
    <col min="15" max="16" width="14.28515625" style="124" bestFit="1" customWidth="1"/>
    <col min="17" max="17" width="14.42578125" style="124" bestFit="1" customWidth="1"/>
    <col min="18" max="18" width="15" style="124" bestFit="1" customWidth="1"/>
    <col min="19" max="19" width="14.42578125" style="124" bestFit="1" customWidth="1"/>
    <col min="20" max="20" width="14.28515625" style="124" bestFit="1" customWidth="1"/>
    <col min="21" max="21" width="15" style="124" bestFit="1" customWidth="1"/>
    <col min="22" max="23" width="14.42578125" style="124" bestFit="1" customWidth="1"/>
    <col min="24" max="26" width="8.7109375"/>
    <col min="27" max="31" width="15.7109375" style="124" customWidth="1"/>
    <col min="32" max="32" width="15.7109375" style="125" customWidth="1"/>
    <col min="33" max="34" width="15.7109375" style="124" customWidth="1"/>
    <col min="35" max="16384" width="9.140625" style="124"/>
  </cols>
  <sheetData>
    <row r="1" spans="1:34" s="159" customFormat="1" ht="24" customHeight="1">
      <c r="B1" s="2272" t="str">
        <f>IF(dms_DataQuality="backcast",INDEX(dms_Worksheet_List,MATCH(dms_Model,dms_Model_List))&amp;" BACKCAST",INDEX(dms_Worksheet_List,MATCH(dms_Model,dms_Model_List)))</f>
        <v>REGULATORY REPORTING STATEMENT</v>
      </c>
      <c r="C1" s="160"/>
      <c r="D1" s="160"/>
      <c r="E1" s="160"/>
      <c r="F1" s="160"/>
      <c r="G1" s="160"/>
      <c r="H1" s="157"/>
      <c r="I1" s="157"/>
      <c r="J1" s="157"/>
      <c r="K1" s="157"/>
      <c r="L1" s="157"/>
      <c r="M1" s="157"/>
      <c r="N1" s="157"/>
      <c r="O1" s="157"/>
      <c r="P1" s="157"/>
      <c r="Q1" s="157"/>
      <c r="R1" s="157"/>
      <c r="S1" s="157"/>
      <c r="T1" s="157"/>
      <c r="U1" s="157"/>
      <c r="V1" s="157"/>
      <c r="W1" s="157"/>
      <c r="X1" s="219"/>
      <c r="Y1" s="219"/>
      <c r="Z1" s="219"/>
      <c r="AA1" s="1267"/>
      <c r="AB1" s="1267"/>
      <c r="AC1" s="1267"/>
      <c r="AD1" s="1267"/>
      <c r="AE1" s="1267"/>
      <c r="AF1" s="219"/>
      <c r="AG1" s="219"/>
      <c r="AH1" s="219"/>
    </row>
    <row r="2" spans="1:34" s="159" customFormat="1" ht="24" customHeight="1">
      <c r="B2" s="2277" t="str">
        <f>INDEX(dms_TradingNameFull_List,MATCH(dms_TradingName,dms_TradingName_List))</f>
        <v>Multinet Gas (DB No.1) Pty Ltd (ACN 086 026 986), Multinet Gas (DB No.2) Pty Ltd (ACN 086 230 122)</v>
      </c>
      <c r="C2" s="160"/>
      <c r="D2" s="160"/>
      <c r="E2" s="160"/>
      <c r="F2" s="160"/>
      <c r="G2" s="160"/>
      <c r="H2" s="157"/>
      <c r="I2" s="157"/>
      <c r="J2" s="157"/>
      <c r="K2" s="157"/>
      <c r="L2" s="157"/>
      <c r="M2" s="157"/>
      <c r="N2" s="157"/>
      <c r="O2" s="157"/>
      <c r="P2" s="157"/>
      <c r="Q2" s="157"/>
      <c r="R2" s="157"/>
      <c r="S2" s="157"/>
      <c r="T2" s="157"/>
      <c r="U2" s="157"/>
      <c r="V2" s="157"/>
      <c r="W2" s="157"/>
      <c r="X2" s="219"/>
      <c r="Y2" s="219"/>
      <c r="Z2" s="219"/>
      <c r="AA2" s="1267"/>
      <c r="AB2" s="1267"/>
      <c r="AC2" s="1267"/>
      <c r="AD2" s="1267"/>
      <c r="AE2" s="1267"/>
      <c r="AF2" s="219"/>
      <c r="AG2" s="219"/>
      <c r="AH2" s="219"/>
    </row>
    <row r="3" spans="1:34" s="159" customFormat="1" ht="24" customHeight="1">
      <c r="B3" s="2277" t="str">
        <f ca="1">IF(SUM(dms_SingleYear_Model)&gt;0,CRY,CONCATENATE(FRCP_y1," to ",dms_MultiYear_FinalYear_Result))</f>
        <v>2018 to 2022</v>
      </c>
      <c r="C3" s="161"/>
      <c r="D3" s="161"/>
      <c r="E3" s="161"/>
      <c r="F3" s="161"/>
      <c r="G3" s="161"/>
      <c r="H3" s="162"/>
      <c r="I3" s="162" t="str">
        <f>CONCATENATE(LEFT(FRCP_y1,4),"-",LEFT(FRCP_y5,2),RIGHT(FRCP_y5,2))</f>
        <v>2018-2022</v>
      </c>
      <c r="J3" s="161"/>
      <c r="K3" s="161"/>
      <c r="L3" s="161"/>
      <c r="M3" s="161"/>
      <c r="N3" s="161"/>
      <c r="O3" s="161"/>
      <c r="P3" s="161"/>
      <c r="Q3" s="161"/>
      <c r="R3" s="161"/>
      <c r="S3" s="161"/>
      <c r="T3" s="161"/>
      <c r="U3" s="161"/>
      <c r="V3" s="161"/>
      <c r="W3" s="161"/>
      <c r="X3" s="1265"/>
      <c r="Y3" s="1265"/>
      <c r="Z3" s="1265"/>
      <c r="AA3" s="1265"/>
      <c r="AB3" s="1265"/>
      <c r="AC3" s="1265"/>
      <c r="AD3" s="1265"/>
      <c r="AE3" s="1265"/>
      <c r="AF3" s="222"/>
      <c r="AG3" s="222" t="str">
        <f>CONCATENATE(LEFT(FRCP_y1,4),"-",LEFT(FRCP_y5,2),RIGHT(FRCP_y5,2))</f>
        <v>2018-2022</v>
      </c>
      <c r="AH3" s="1265"/>
    </row>
    <row r="4" spans="1:34" s="159" customFormat="1" ht="24" customHeight="1">
      <c r="B4" s="10" t="s">
        <v>519</v>
      </c>
      <c r="C4" s="12"/>
      <c r="D4" s="12"/>
      <c r="E4" s="12"/>
      <c r="F4" s="12"/>
      <c r="G4" s="12"/>
      <c r="H4" s="12"/>
      <c r="I4" s="12"/>
      <c r="J4" s="12"/>
      <c r="K4" s="12"/>
      <c r="L4" s="12"/>
      <c r="M4" s="12"/>
      <c r="N4" s="12"/>
      <c r="O4" s="12"/>
      <c r="P4" s="12"/>
      <c r="Q4" s="12"/>
      <c r="R4" s="12"/>
      <c r="S4" s="12"/>
      <c r="T4" s="12"/>
      <c r="U4" s="12"/>
      <c r="V4" s="12"/>
      <c r="W4" s="12"/>
      <c r="X4" s="12"/>
      <c r="Y4" s="12"/>
      <c r="Z4" s="12"/>
      <c r="AA4" s="12"/>
      <c r="AB4" s="12"/>
      <c r="AC4" s="12"/>
      <c r="AD4" s="12"/>
      <c r="AE4" s="12"/>
      <c r="AF4" s="12"/>
      <c r="AG4" s="12"/>
      <c r="AH4" s="12"/>
    </row>
    <row r="5" spans="1:34">
      <c r="A5" s="391"/>
      <c r="B5" s="709"/>
      <c r="C5" s="709"/>
      <c r="D5" s="709"/>
      <c r="E5" s="709"/>
      <c r="F5" s="709"/>
      <c r="G5" s="709"/>
      <c r="H5" s="712"/>
      <c r="I5" s="709"/>
      <c r="J5" s="709"/>
      <c r="K5" s="709"/>
      <c r="L5" s="709"/>
      <c r="M5" s="709"/>
      <c r="N5" s="709"/>
      <c r="O5" s="709"/>
      <c r="P5" s="709"/>
      <c r="Q5" s="709"/>
      <c r="R5" s="709"/>
      <c r="S5" s="709"/>
      <c r="T5" s="709"/>
      <c r="U5" s="709"/>
      <c r="V5" s="709"/>
      <c r="W5" s="709"/>
      <c r="AA5"/>
      <c r="AB5"/>
      <c r="AC5"/>
      <c r="AD5"/>
      <c r="AE5"/>
      <c r="AF5" s="712"/>
      <c r="AG5" s="709"/>
      <c r="AH5" s="709"/>
    </row>
    <row r="6" spans="1:34">
      <c r="A6" s="391"/>
      <c r="B6" s="709"/>
      <c r="C6" s="709"/>
      <c r="D6" s="709"/>
      <c r="E6" s="709"/>
      <c r="F6" s="709"/>
      <c r="G6" s="709"/>
      <c r="H6" s="712"/>
      <c r="I6" s="709"/>
      <c r="J6" s="709"/>
      <c r="K6" s="709"/>
      <c r="L6" s="709"/>
      <c r="M6" s="709"/>
      <c r="N6" s="709"/>
      <c r="O6" s="709"/>
      <c r="P6" s="709"/>
      <c r="Q6" s="709"/>
      <c r="R6" s="709"/>
      <c r="S6" s="709"/>
      <c r="T6" s="709"/>
      <c r="U6" s="709"/>
      <c r="V6" s="709"/>
      <c r="W6" s="709"/>
      <c r="AA6"/>
      <c r="AB6"/>
      <c r="AC6"/>
      <c r="AD6"/>
      <c r="AE6"/>
      <c r="AF6" s="712"/>
      <c r="AG6" s="709"/>
      <c r="AH6" s="709"/>
    </row>
    <row r="7" spans="1:34" ht="12.75" customHeight="1">
      <c r="A7" s="709"/>
      <c r="B7" s="103" t="s">
        <v>61</v>
      </c>
      <c r="C7" s="104"/>
      <c r="D7" s="104"/>
      <c r="E7" s="104"/>
      <c r="F7" s="126"/>
      <c r="G7" s="709"/>
      <c r="H7" s="712"/>
      <c r="I7" s="709"/>
      <c r="J7" s="709"/>
      <c r="K7" s="709"/>
      <c r="L7" s="709"/>
      <c r="M7" s="709"/>
      <c r="N7" s="709"/>
      <c r="O7" s="709"/>
      <c r="P7" s="709"/>
      <c r="Q7" s="709"/>
      <c r="R7" s="709"/>
      <c r="S7" s="709"/>
      <c r="T7" s="709"/>
      <c r="U7" s="709"/>
      <c r="V7" s="709"/>
      <c r="W7" s="709"/>
      <c r="AA7"/>
      <c r="AB7"/>
      <c r="AC7"/>
      <c r="AD7"/>
      <c r="AE7"/>
      <c r="AF7" s="712"/>
      <c r="AG7" s="709"/>
      <c r="AH7" s="709"/>
    </row>
    <row r="8" spans="1:34" ht="18.75" customHeight="1">
      <c r="A8" s="709"/>
      <c r="B8" s="127" t="s">
        <v>648</v>
      </c>
      <c r="C8" s="128"/>
      <c r="D8" s="128"/>
      <c r="E8" s="128"/>
      <c r="F8" s="128"/>
      <c r="G8" s="709"/>
      <c r="H8" s="712"/>
      <c r="I8" s="709"/>
      <c r="J8" s="709"/>
      <c r="K8" s="709"/>
      <c r="L8" s="709"/>
      <c r="M8" s="709"/>
      <c r="N8" s="709"/>
      <c r="O8" s="709"/>
      <c r="P8" s="709"/>
      <c r="Q8" s="709"/>
      <c r="R8" s="709"/>
      <c r="S8" s="709"/>
      <c r="T8" s="709"/>
      <c r="U8" s="709"/>
      <c r="V8" s="709"/>
      <c r="W8" s="709"/>
      <c r="AA8"/>
      <c r="AB8"/>
      <c r="AC8"/>
      <c r="AD8"/>
      <c r="AE8"/>
      <c r="AF8" s="712"/>
      <c r="AG8" s="709"/>
      <c r="AH8" s="709"/>
    </row>
    <row r="9" spans="1:34" ht="18.75" customHeight="1">
      <c r="A9" s="709"/>
      <c r="B9" s="127" t="s">
        <v>520</v>
      </c>
      <c r="C9" s="127"/>
      <c r="D9" s="127"/>
      <c r="E9" s="127"/>
      <c r="F9" s="1318"/>
      <c r="G9" s="709"/>
      <c r="H9" s="712"/>
      <c r="I9" s="709"/>
      <c r="J9" s="709"/>
      <c r="K9" s="709"/>
      <c r="L9" s="709"/>
      <c r="M9" s="709"/>
      <c r="N9" s="709"/>
      <c r="O9" s="709"/>
      <c r="P9" s="709"/>
      <c r="Q9" s="709"/>
      <c r="R9" s="709"/>
      <c r="S9" s="709"/>
      <c r="T9" s="709"/>
      <c r="U9" s="709"/>
      <c r="V9" s="709"/>
      <c r="W9" s="709"/>
      <c r="AA9"/>
      <c r="AB9"/>
      <c r="AC9"/>
      <c r="AD9"/>
      <c r="AE9"/>
      <c r="AF9" s="712"/>
      <c r="AG9" s="709"/>
      <c r="AH9" s="709"/>
    </row>
    <row r="10" spans="1:34" ht="27" customHeight="1" thickBot="1">
      <c r="A10" s="709"/>
      <c r="D10" s="709"/>
      <c r="E10" s="709"/>
      <c r="F10" s="709"/>
      <c r="G10" s="709"/>
      <c r="H10" s="712"/>
      <c r="I10" s="709"/>
      <c r="J10" s="709"/>
      <c r="K10" s="709"/>
      <c r="L10" s="709"/>
      <c r="M10" s="709"/>
      <c r="N10" s="709"/>
      <c r="O10" s="709"/>
      <c r="P10" s="709"/>
      <c r="Q10" s="709"/>
      <c r="R10" s="709"/>
      <c r="S10" s="709"/>
      <c r="T10" s="709"/>
      <c r="U10" s="709"/>
      <c r="V10" s="709"/>
      <c r="W10" s="709"/>
      <c r="AA10"/>
      <c r="AB10"/>
      <c r="AC10"/>
      <c r="AD10"/>
      <c r="AE10"/>
      <c r="AF10" s="712"/>
      <c r="AG10" s="709"/>
      <c r="AH10" s="709"/>
    </row>
    <row r="11" spans="1:34" s="223" customFormat="1" ht="24.75" customHeight="1" thickBot="1">
      <c r="A11" s="299"/>
      <c r="B11" s="769" t="s">
        <v>525</v>
      </c>
      <c r="C11" s="769"/>
      <c r="D11" s="769"/>
      <c r="E11" s="769"/>
      <c r="F11" s="769"/>
      <c r="G11" s="769"/>
      <c r="H11" s="769"/>
      <c r="I11" s="769"/>
      <c r="J11" s="769"/>
      <c r="K11" s="769"/>
      <c r="L11" s="769"/>
      <c r="M11" s="769"/>
      <c r="N11" s="769"/>
      <c r="O11" s="769"/>
      <c r="P11" s="769"/>
      <c r="Q11" s="769"/>
      <c r="R11" s="769"/>
      <c r="S11" s="769"/>
      <c r="T11" s="769"/>
      <c r="U11" s="769"/>
      <c r="V11" s="769"/>
      <c r="W11" s="769"/>
      <c r="X11" s="1266"/>
      <c r="Y11" s="1266"/>
      <c r="Z11" s="1266"/>
      <c r="AA11" s="769" t="s">
        <v>674</v>
      </c>
      <c r="AB11" s="769"/>
      <c r="AC11" s="769"/>
      <c r="AD11" s="769"/>
      <c r="AE11" s="769"/>
      <c r="AF11" s="769"/>
      <c r="AG11" s="769"/>
      <c r="AH11" s="1303"/>
    </row>
    <row r="12" spans="1:34" s="78" customFormat="1" ht="24.75" customHeight="1" thickBot="1">
      <c r="A12" s="299"/>
      <c r="B12" s="1372" t="str">
        <f>CONCATENATE("Table 15.1 - Payments made by ",dms_TradingName," to Related Party greater than $1,000,000")</f>
        <v>Table 15.1 - Payments made by Multinet Gas to Related Party greater than $1,000,000</v>
      </c>
      <c r="C12" s="1373"/>
      <c r="D12" s="1373"/>
      <c r="E12" s="1373"/>
      <c r="F12" s="1373"/>
      <c r="G12" s="1373"/>
      <c r="H12" s="1373"/>
      <c r="I12" s="1373"/>
      <c r="J12" s="1373"/>
      <c r="K12" s="1373"/>
      <c r="L12" s="1373"/>
      <c r="M12" s="1373"/>
      <c r="N12" s="1373"/>
      <c r="O12" s="1373"/>
      <c r="P12" s="1373"/>
      <c r="Q12" s="1373"/>
      <c r="R12" s="1373"/>
      <c r="S12" s="1373"/>
      <c r="T12" s="1373"/>
      <c r="U12" s="1373"/>
      <c r="V12" s="1373"/>
      <c r="W12" s="1374"/>
      <c r="X12"/>
      <c r="Y12"/>
      <c r="Z12"/>
      <c r="AA12" s="1372"/>
      <c r="AB12" s="1373"/>
      <c r="AC12" s="1373"/>
      <c r="AD12" s="1373"/>
      <c r="AE12" s="1373"/>
      <c r="AF12" s="1373"/>
      <c r="AG12" s="1373"/>
      <c r="AH12" s="1374"/>
    </row>
    <row r="13" spans="1:34" ht="20.25" customHeight="1">
      <c r="A13" s="709"/>
      <c r="B13" s="4566" t="s">
        <v>25</v>
      </c>
      <c r="C13" s="4554" t="s">
        <v>286</v>
      </c>
      <c r="D13" s="4554" t="s">
        <v>10</v>
      </c>
      <c r="E13" s="4554" t="s">
        <v>26</v>
      </c>
      <c r="F13" s="4554" t="s">
        <v>27</v>
      </c>
      <c r="G13" s="4557" t="s">
        <v>652</v>
      </c>
      <c r="H13" s="758"/>
      <c r="I13" s="4186" t="s">
        <v>36</v>
      </c>
      <c r="J13" s="4137"/>
      <c r="K13" s="4137"/>
      <c r="L13" s="4137"/>
      <c r="M13" s="4137"/>
      <c r="N13" s="4187" t="s">
        <v>37</v>
      </c>
      <c r="O13" s="4188"/>
      <c r="P13" s="4188"/>
      <c r="Q13" s="4188"/>
      <c r="R13" s="4188"/>
      <c r="S13" s="4105" t="s">
        <v>75</v>
      </c>
      <c r="T13" s="4105"/>
      <c r="U13" s="4105"/>
      <c r="V13" s="4105"/>
      <c r="W13" s="4229"/>
      <c r="AA13" s="4436" t="s">
        <v>36</v>
      </c>
      <c r="AB13" s="4437"/>
      <c r="AC13" s="4437"/>
      <c r="AD13" s="4437"/>
      <c r="AE13" s="4437"/>
      <c r="AF13" s="4438" t="s">
        <v>37</v>
      </c>
      <c r="AG13" s="4439"/>
      <c r="AH13" s="4440"/>
    </row>
    <row r="14" spans="1:34" ht="20.25" customHeight="1">
      <c r="A14" s="709"/>
      <c r="B14" s="4552"/>
      <c r="C14" s="4555"/>
      <c r="D14" s="4555"/>
      <c r="E14" s="4555"/>
      <c r="F14" s="4555"/>
      <c r="G14" s="4558"/>
      <c r="H14" s="759"/>
      <c r="I14" s="4125" t="s">
        <v>569</v>
      </c>
      <c r="J14" s="4126"/>
      <c r="K14" s="4126"/>
      <c r="L14" s="4126"/>
      <c r="M14" s="4126"/>
      <c r="N14" s="4126"/>
      <c r="O14" s="4126"/>
      <c r="P14" s="4127"/>
      <c r="Q14" s="4128" t="str">
        <f>CONCATENATE("$0's, real ",dms_DollarReal)</f>
        <v>$0's, real December 2017</v>
      </c>
      <c r="R14" s="4129"/>
      <c r="S14" s="4129"/>
      <c r="T14" s="4129"/>
      <c r="U14" s="4129"/>
      <c r="V14" s="4129"/>
      <c r="W14" s="4130"/>
      <c r="AA14" s="4125" t="str">
        <f>CONCATENATE("$0's, real ",dms_DollarReal)</f>
        <v>$0's, real December 2017</v>
      </c>
      <c r="AB14" s="4126"/>
      <c r="AC14" s="4126"/>
      <c r="AD14" s="4126"/>
      <c r="AE14" s="4126"/>
      <c r="AF14" s="4126"/>
      <c r="AG14" s="4126"/>
      <c r="AH14" s="4169"/>
    </row>
    <row r="15" spans="1:34" ht="20.25">
      <c r="A15" s="709"/>
      <c r="B15" s="4552"/>
      <c r="C15" s="4555"/>
      <c r="D15" s="4555"/>
      <c r="E15" s="4555"/>
      <c r="F15" s="4555"/>
      <c r="G15" s="4558"/>
      <c r="H15" s="759"/>
      <c r="I15" s="4125" t="s">
        <v>56</v>
      </c>
      <c r="J15" s="4126"/>
      <c r="K15" s="4126"/>
      <c r="L15" s="4126"/>
      <c r="M15" s="4126"/>
      <c r="N15" s="4126"/>
      <c r="O15" s="4126"/>
      <c r="P15" s="4127"/>
      <c r="Q15" s="4128" t="s">
        <v>57</v>
      </c>
      <c r="R15" s="4129"/>
      <c r="S15" s="4129"/>
      <c r="T15" s="4129"/>
      <c r="U15" s="4129"/>
      <c r="V15" s="4129"/>
      <c r="W15" s="4130"/>
      <c r="AA15" s="4125" t="s">
        <v>56</v>
      </c>
      <c r="AB15" s="4126"/>
      <c r="AC15" s="4126"/>
      <c r="AD15" s="4126"/>
      <c r="AE15" s="4126"/>
      <c r="AF15" s="4126"/>
      <c r="AG15" s="4126"/>
      <c r="AH15" s="4169"/>
    </row>
    <row r="16" spans="1:34" ht="40.5" customHeight="1" thickBot="1">
      <c r="A16" s="709"/>
      <c r="B16" s="4567"/>
      <c r="C16" s="4556"/>
      <c r="D16" s="4556"/>
      <c r="E16" s="4556"/>
      <c r="F16" s="4556"/>
      <c r="G16" s="4559"/>
      <c r="H16" s="711"/>
      <c r="I16" s="1521">
        <f t="array" ref="I16:M16">PRCP</f>
        <v>2008</v>
      </c>
      <c r="J16" s="374">
        <v>2009</v>
      </c>
      <c r="K16" s="374">
        <v>2010</v>
      </c>
      <c r="L16" s="374">
        <v>2011</v>
      </c>
      <c r="M16" s="374">
        <v>2012</v>
      </c>
      <c r="N16" s="376">
        <f>CRCP_y1</f>
        <v>2013</v>
      </c>
      <c r="O16" s="376">
        <f>CRCP_y2</f>
        <v>2014</v>
      </c>
      <c r="P16" s="376">
        <f>CRCP_y3</f>
        <v>2015</v>
      </c>
      <c r="Q16" s="376">
        <f>CRCP_y4</f>
        <v>2016</v>
      </c>
      <c r="R16" s="376">
        <f>CRCP_y5</f>
        <v>2017</v>
      </c>
      <c r="S16" s="374" t="str">
        <f t="array" ref="S16:W16">FRCP</f>
        <v>2018</v>
      </c>
      <c r="T16" s="374">
        <v>2019</v>
      </c>
      <c r="U16" s="374">
        <v>2020</v>
      </c>
      <c r="V16" s="374">
        <v>2021</v>
      </c>
      <c r="W16" s="470">
        <v>2022</v>
      </c>
      <c r="AA16" s="1521">
        <f t="array" ref="AA16:AE16">PRCP</f>
        <v>2008</v>
      </c>
      <c r="AB16" s="374">
        <v>2009</v>
      </c>
      <c r="AC16" s="374">
        <v>2010</v>
      </c>
      <c r="AD16" s="374">
        <v>2011</v>
      </c>
      <c r="AE16" s="374">
        <v>2012</v>
      </c>
      <c r="AF16" s="376">
        <f>CRCP_y1</f>
        <v>2013</v>
      </c>
      <c r="AG16" s="376">
        <f>CRCP_y2</f>
        <v>2014</v>
      </c>
      <c r="AH16" s="568">
        <f>CRCP_y3</f>
        <v>2015</v>
      </c>
    </row>
    <row r="17" spans="1:34">
      <c r="A17" s="709"/>
      <c r="B17" s="1040"/>
      <c r="C17" s="1041"/>
      <c r="D17" s="1041"/>
      <c r="E17" s="1041"/>
      <c r="F17" s="1041"/>
      <c r="G17" s="1041"/>
      <c r="H17" s="785" t="s">
        <v>86</v>
      </c>
      <c r="I17" s="439"/>
      <c r="J17" s="440"/>
      <c r="K17" s="440"/>
      <c r="L17" s="440"/>
      <c r="M17" s="530"/>
      <c r="N17" s="439"/>
      <c r="O17" s="440"/>
      <c r="P17" s="440"/>
      <c r="Q17" s="440"/>
      <c r="R17" s="440"/>
      <c r="S17" s="439"/>
      <c r="T17" s="440"/>
      <c r="U17" s="440"/>
      <c r="V17" s="440"/>
      <c r="W17" s="530"/>
      <c r="AA17" s="1855"/>
      <c r="AB17" s="1856"/>
      <c r="AC17" s="1856"/>
      <c r="AD17" s="1856"/>
      <c r="AE17" s="1857"/>
      <c r="AF17" s="1855"/>
      <c r="AG17" s="1856"/>
      <c r="AH17" s="1857"/>
    </row>
    <row r="18" spans="1:34" ht="99.75">
      <c r="A18" s="709"/>
      <c r="B18" s="2996" t="s">
        <v>1479</v>
      </c>
      <c r="C18" s="2997">
        <f t="shared" ref="C18" si="0">C17</f>
        <v>0</v>
      </c>
      <c r="D18" s="2997" t="s">
        <v>1484</v>
      </c>
      <c r="E18" s="2997" t="s">
        <v>1485</v>
      </c>
      <c r="F18" s="2997" t="s">
        <v>1506</v>
      </c>
      <c r="G18" s="2997" t="s">
        <v>1486</v>
      </c>
      <c r="H18" s="2998" t="s">
        <v>82</v>
      </c>
      <c r="I18" s="3004">
        <v>74182000</v>
      </c>
      <c r="J18" s="3003">
        <v>80174000</v>
      </c>
      <c r="K18" s="3003">
        <v>77293000</v>
      </c>
      <c r="L18" s="3003">
        <v>98044000</v>
      </c>
      <c r="M18" s="3003">
        <v>105298000</v>
      </c>
      <c r="N18" s="3004" t="s">
        <v>1692</v>
      </c>
      <c r="O18" s="3003">
        <v>0</v>
      </c>
      <c r="P18" s="3003">
        <v>0</v>
      </c>
      <c r="Q18" s="3003">
        <v>0</v>
      </c>
      <c r="R18" s="485">
        <v>0</v>
      </c>
      <c r="S18" s="486">
        <v>0</v>
      </c>
      <c r="T18" s="485">
        <v>0</v>
      </c>
      <c r="U18" s="485">
        <v>0</v>
      </c>
      <c r="V18" s="485">
        <v>0</v>
      </c>
      <c r="W18" s="487">
        <v>0</v>
      </c>
      <c r="AA18" s="1858"/>
      <c r="AB18" s="1859"/>
      <c r="AC18" s="1859"/>
      <c r="AD18" s="1859"/>
      <c r="AE18" s="1860"/>
      <c r="AF18" s="1858"/>
      <c r="AG18" s="1859"/>
      <c r="AH18" s="1860"/>
    </row>
    <row r="19" spans="1:34" ht="15">
      <c r="A19" s="709"/>
      <c r="B19" s="2999"/>
      <c r="C19" s="3000"/>
      <c r="D19" s="3000"/>
      <c r="E19" s="3000"/>
      <c r="F19" s="3000"/>
      <c r="G19" s="3000"/>
      <c r="H19" s="2998" t="s">
        <v>86</v>
      </c>
      <c r="I19" s="3004">
        <v>73356000</v>
      </c>
      <c r="J19" s="3003">
        <v>77341000</v>
      </c>
      <c r="K19" s="3003">
        <v>79274000</v>
      </c>
      <c r="L19" s="3003">
        <v>96938000</v>
      </c>
      <c r="M19" s="3038">
        <v>104840000</v>
      </c>
      <c r="N19" s="3004">
        <v>46450000</v>
      </c>
      <c r="O19" s="3003">
        <v>0</v>
      </c>
      <c r="P19" s="3003">
        <v>0</v>
      </c>
      <c r="Q19" s="3003">
        <v>0</v>
      </c>
      <c r="R19" s="485">
        <v>0</v>
      </c>
      <c r="S19" s="486">
        <v>0</v>
      </c>
      <c r="T19" s="485">
        <v>0</v>
      </c>
      <c r="U19" s="485">
        <v>0</v>
      </c>
      <c r="V19" s="485">
        <v>0</v>
      </c>
      <c r="W19" s="487">
        <v>0</v>
      </c>
      <c r="AA19" s="1858"/>
      <c r="AB19" s="1859"/>
      <c r="AC19" s="1859"/>
      <c r="AD19" s="1859"/>
      <c r="AE19" s="1860"/>
      <c r="AF19" s="1858"/>
      <c r="AG19" s="1859"/>
      <c r="AH19" s="1860"/>
    </row>
    <row r="20" spans="1:34" ht="156.75">
      <c r="A20" s="709"/>
      <c r="B20" s="2996" t="s">
        <v>1480</v>
      </c>
      <c r="C20" s="3001">
        <v>1</v>
      </c>
      <c r="D20" s="2997" t="s">
        <v>1487</v>
      </c>
      <c r="E20" s="2997" t="s">
        <v>1488</v>
      </c>
      <c r="F20" s="3002" t="s">
        <v>1489</v>
      </c>
      <c r="G20" s="2997" t="s">
        <v>1490</v>
      </c>
      <c r="H20" s="2998" t="s">
        <v>82</v>
      </c>
      <c r="I20" s="3004">
        <v>4612411.1500000004</v>
      </c>
      <c r="J20" s="3003">
        <v>4842159.2463745298</v>
      </c>
      <c r="K20" s="3003">
        <v>4977142.3333137901</v>
      </c>
      <c r="L20" s="3003">
        <v>5395000</v>
      </c>
      <c r="M20" s="3003">
        <v>4493000</v>
      </c>
      <c r="N20" s="3004">
        <v>2905000</v>
      </c>
      <c r="O20" s="3003">
        <v>2905182</v>
      </c>
      <c r="P20" s="3003">
        <v>4306000</v>
      </c>
      <c r="Q20" s="3003">
        <v>4518468.5904944381</v>
      </c>
      <c r="R20" s="3003">
        <f>Q20*(1+'[9]Calc|Opex Forecast'!$K$22)*(1+'[9]Calc|Opex Forecast'!$K$23)</f>
        <v>4606591.6065846262</v>
      </c>
      <c r="S20" s="3760">
        <f>R20*(1+'[9]Calc|Opex Forecast'!M32)</f>
        <v>4663855.4323934624</v>
      </c>
      <c r="T20" s="485">
        <f>S20*(1+'[9]Calc|Opex Forecast'!N32)</f>
        <v>4719133.3978472725</v>
      </c>
      <c r="U20" s="485">
        <f>T20*(1+'[9]Calc|Opex Forecast'!O32)</f>
        <v>4785362.9481990626</v>
      </c>
      <c r="V20" s="485">
        <f>U20*(1+'[9]Calc|Opex Forecast'!P32)</f>
        <v>4868170.7388405483</v>
      </c>
      <c r="W20" s="487">
        <f>V20*(1+'[9]Calc|Opex Forecast'!Q32)</f>
        <v>4960212.1435880074</v>
      </c>
      <c r="AA20" s="1858"/>
      <c r="AB20" s="1859"/>
      <c r="AC20" s="1859"/>
      <c r="AD20" s="1859"/>
      <c r="AE20" s="1860"/>
      <c r="AF20" s="1858"/>
      <c r="AG20" s="1859"/>
      <c r="AH20" s="1860"/>
    </row>
    <row r="21" spans="1:34" ht="15">
      <c r="A21" s="709"/>
      <c r="B21" s="2999"/>
      <c r="C21" s="3000"/>
      <c r="D21" s="3000"/>
      <c r="E21" s="3000"/>
      <c r="F21" s="3000"/>
      <c r="G21" s="3000"/>
      <c r="H21" s="2998" t="s">
        <v>86</v>
      </c>
      <c r="I21" s="3004">
        <v>4612411.1500000004</v>
      </c>
      <c r="J21" s="3003">
        <v>4842159.2463745298</v>
      </c>
      <c r="K21" s="3003">
        <v>4977142.3333137901</v>
      </c>
      <c r="L21" s="3003">
        <v>5395000</v>
      </c>
      <c r="M21" s="3038">
        <v>4493000</v>
      </c>
      <c r="N21" s="3004">
        <v>2905000</v>
      </c>
      <c r="O21" s="3003">
        <v>2905182</v>
      </c>
      <c r="P21" s="3003">
        <v>4306000</v>
      </c>
      <c r="Q21" s="3003">
        <v>4518468.5904944381</v>
      </c>
      <c r="R21" s="485">
        <f>R20</f>
        <v>4606591.6065846262</v>
      </c>
      <c r="S21" s="486">
        <f>S20</f>
        <v>4663855.4323934624</v>
      </c>
      <c r="T21" s="485">
        <f t="shared" ref="T21:W21" si="1">T20</f>
        <v>4719133.3978472725</v>
      </c>
      <c r="U21" s="485">
        <f t="shared" si="1"/>
        <v>4785362.9481990626</v>
      </c>
      <c r="V21" s="485">
        <f t="shared" si="1"/>
        <v>4868170.7388405483</v>
      </c>
      <c r="W21" s="487">
        <f t="shared" si="1"/>
        <v>4960212.1435880074</v>
      </c>
      <c r="AA21" s="1858"/>
      <c r="AB21" s="1859"/>
      <c r="AC21" s="1859"/>
      <c r="AD21" s="1859"/>
      <c r="AE21" s="1860"/>
      <c r="AF21" s="1858"/>
      <c r="AG21" s="1859"/>
      <c r="AH21" s="1860"/>
    </row>
    <row r="22" spans="1:34" ht="114">
      <c r="A22" s="709"/>
      <c r="B22" s="2996" t="s">
        <v>1481</v>
      </c>
      <c r="C22" s="2997">
        <f t="shared" ref="C22:E22" si="2">C21</f>
        <v>0</v>
      </c>
      <c r="D22" s="2997" t="s">
        <v>1484</v>
      </c>
      <c r="E22" s="2997">
        <f t="shared" si="2"/>
        <v>0</v>
      </c>
      <c r="F22" s="3002" t="s">
        <v>1491</v>
      </c>
      <c r="G22" s="2997" t="s">
        <v>1486</v>
      </c>
      <c r="H22" s="2998" t="s">
        <v>82</v>
      </c>
      <c r="I22" s="3004"/>
      <c r="J22" s="3003"/>
      <c r="K22" s="3003"/>
      <c r="L22" s="3003"/>
      <c r="M22" s="3038"/>
      <c r="N22" s="3004"/>
      <c r="O22" s="3003"/>
      <c r="P22" s="3003"/>
      <c r="Q22" s="3003"/>
      <c r="R22" s="485"/>
      <c r="S22" s="486"/>
      <c r="T22" s="485"/>
      <c r="U22" s="485"/>
      <c r="V22" s="485"/>
      <c r="W22" s="487"/>
      <c r="AA22" s="1858"/>
      <c r="AB22" s="1859"/>
      <c r="AC22" s="1859"/>
      <c r="AD22" s="1859"/>
      <c r="AE22" s="1860"/>
      <c r="AF22" s="1858"/>
      <c r="AG22" s="1859"/>
      <c r="AH22" s="1860"/>
    </row>
    <row r="23" spans="1:34" ht="15">
      <c r="A23" s="709"/>
      <c r="B23" s="2999"/>
      <c r="C23" s="3000"/>
      <c r="D23" s="3000"/>
      <c r="E23" s="3000"/>
      <c r="F23" s="3000"/>
      <c r="G23" s="3000"/>
      <c r="H23" s="2998" t="s">
        <v>86</v>
      </c>
      <c r="I23" s="3004"/>
      <c r="J23" s="3003"/>
      <c r="K23" s="3003"/>
      <c r="L23" s="3003"/>
      <c r="M23" s="3038"/>
      <c r="N23" s="3004"/>
      <c r="O23" s="3003"/>
      <c r="P23" s="3003"/>
      <c r="Q23" s="3003"/>
      <c r="R23" s="485"/>
      <c r="S23" s="486"/>
      <c r="T23" s="485"/>
      <c r="U23" s="485"/>
      <c r="V23" s="485"/>
      <c r="W23" s="487"/>
      <c r="AA23" s="1858"/>
      <c r="AB23" s="1859"/>
      <c r="AC23" s="1859"/>
      <c r="AD23" s="1859"/>
      <c r="AE23" s="1860"/>
      <c r="AF23" s="1858"/>
      <c r="AG23" s="1859"/>
      <c r="AH23" s="1860"/>
    </row>
    <row r="24" spans="1:34" ht="114">
      <c r="A24" s="709"/>
      <c r="B24" s="2996" t="s">
        <v>1482</v>
      </c>
      <c r="C24" s="2997">
        <f t="shared" ref="C24:E24" si="3">C22</f>
        <v>0</v>
      </c>
      <c r="D24" s="2997" t="s">
        <v>1484</v>
      </c>
      <c r="E24" s="2997">
        <f t="shared" si="3"/>
        <v>0</v>
      </c>
      <c r="F24" s="3002" t="s">
        <v>1491</v>
      </c>
      <c r="G24" s="2997" t="s">
        <v>1486</v>
      </c>
      <c r="H24" s="2998" t="s">
        <v>82</v>
      </c>
      <c r="I24" s="3004"/>
      <c r="J24" s="3003"/>
      <c r="K24" s="3003"/>
      <c r="L24" s="3003"/>
      <c r="M24" s="3038">
        <v>9152000</v>
      </c>
      <c r="N24" s="3004">
        <v>15553000</v>
      </c>
      <c r="O24" s="3003">
        <v>19405812.760000002</v>
      </c>
      <c r="P24" s="3003">
        <v>24712120.739999998</v>
      </c>
      <c r="Q24" s="3003">
        <v>27858546.064319998</v>
      </c>
      <c r="R24" s="485">
        <f>Q24*(1+'[9]Calc|Opex Forecast'!$K$22)*(1+'[9]Calc|Opex Forecast'!$K$23)</f>
        <v>28401867.11522647</v>
      </c>
      <c r="S24" s="486">
        <f>R24*(1+'[9]Calc|Opex Forecast'!M32)</f>
        <v>28754926.320389625</v>
      </c>
      <c r="T24" s="485">
        <f>S24*(1+'[9]Calc|Opex Forecast'!N32)</f>
        <v>29095741.735191111</v>
      </c>
      <c r="U24" s="485">
        <f>T24*(1+'[9]Calc|Opex Forecast'!O32)</f>
        <v>29504078.972098328</v>
      </c>
      <c r="V24" s="485">
        <f>U24*(1+'[9]Calc|Opex Forecast'!P32)</f>
        <v>30014629.08523256</v>
      </c>
      <c r="W24" s="487">
        <f>V24*(1+'[9]Calc|Opex Forecast'!Q32)</f>
        <v>30582108.898941129</v>
      </c>
      <c r="X24" s="1266"/>
      <c r="Y24" s="1266"/>
      <c r="Z24" s="1266"/>
      <c r="AA24" s="2993"/>
      <c r="AB24" s="2994"/>
      <c r="AC24" s="2994"/>
      <c r="AD24" s="2994"/>
      <c r="AE24" s="2995"/>
      <c r="AF24" s="2993"/>
      <c r="AG24" s="2994"/>
      <c r="AH24" s="2995"/>
    </row>
    <row r="25" spans="1:34" ht="43.5" thickBot="1">
      <c r="A25" s="709"/>
      <c r="B25" s="2996" t="s">
        <v>1483</v>
      </c>
      <c r="C25" s="3001">
        <v>0.5</v>
      </c>
      <c r="D25" s="2997" t="s">
        <v>1492</v>
      </c>
      <c r="E25" s="2997" t="s">
        <v>1493</v>
      </c>
      <c r="F25" s="3002" t="s">
        <v>1494</v>
      </c>
      <c r="G25" s="2997"/>
      <c r="H25" s="2998"/>
      <c r="I25" s="3005"/>
      <c r="J25" s="3006"/>
      <c r="K25" s="3006"/>
      <c r="L25" s="3006"/>
      <c r="M25" s="3037">
        <v>9152000</v>
      </c>
      <c r="N25" s="3005">
        <v>15553000</v>
      </c>
      <c r="O25" s="3006">
        <v>19405812.760000002</v>
      </c>
      <c r="P25" s="3006">
        <v>24712120.739999998</v>
      </c>
      <c r="Q25" s="3006">
        <v>27858546.064319998</v>
      </c>
      <c r="R25" s="3037">
        <f>R24</f>
        <v>28401867.11522647</v>
      </c>
      <c r="S25" s="3036">
        <f t="shared" ref="S25:W25" si="4">S24</f>
        <v>28754926.320389625</v>
      </c>
      <c r="T25" s="3006">
        <f t="shared" si="4"/>
        <v>29095741.735191111</v>
      </c>
      <c r="U25" s="3006">
        <f t="shared" si="4"/>
        <v>29504078.972098328</v>
      </c>
      <c r="V25" s="3006">
        <f t="shared" si="4"/>
        <v>30014629.08523256</v>
      </c>
      <c r="W25" s="3037">
        <f t="shared" si="4"/>
        <v>30582108.898941129</v>
      </c>
      <c r="AA25" s="1861"/>
      <c r="AB25" s="1862"/>
      <c r="AC25" s="1862"/>
      <c r="AD25" s="1862"/>
      <c r="AE25" s="1863"/>
      <c r="AF25" s="1861"/>
      <c r="AG25" s="1862"/>
      <c r="AH25" s="1863"/>
    </row>
    <row r="26" spans="1:34" s="69" customFormat="1" ht="28.5" customHeight="1" thickBot="1">
      <c r="A26" s="348"/>
      <c r="B26" s="1459" t="s">
        <v>127</v>
      </c>
      <c r="C26" s="687"/>
      <c r="D26" s="301"/>
      <c r="E26" s="301"/>
      <c r="F26" s="301"/>
      <c r="G26" s="301"/>
      <c r="H26" s="301"/>
      <c r="I26" s="301"/>
      <c r="J26" s="301"/>
      <c r="K26" s="301"/>
      <c r="L26" s="301"/>
      <c r="M26" s="301"/>
      <c r="N26" s="301"/>
      <c r="O26" s="301"/>
      <c r="P26" s="301"/>
      <c r="Q26" s="301"/>
      <c r="R26" s="301"/>
      <c r="S26" s="301"/>
      <c r="T26" s="301"/>
      <c r="U26" s="301"/>
      <c r="V26" s="301"/>
      <c r="W26" s="436"/>
      <c r="X26"/>
      <c r="Y26"/>
      <c r="Z26"/>
      <c r="AA26" s="1790"/>
      <c r="AB26" s="1771"/>
      <c r="AC26" s="1771"/>
      <c r="AD26" s="1771"/>
      <c r="AE26" s="1771"/>
      <c r="AF26" s="1771"/>
      <c r="AG26" s="1771"/>
      <c r="AH26" s="1774"/>
    </row>
    <row r="27" spans="1:34" s="105" customFormat="1" ht="51.75" customHeight="1" thickBot="1">
      <c r="A27" s="510"/>
      <c r="B27" s="510"/>
      <c r="C27" s="510"/>
      <c r="D27" s="510"/>
      <c r="E27" s="510"/>
      <c r="F27" s="510"/>
      <c r="G27" s="510"/>
      <c r="H27" s="714"/>
      <c r="I27" s="510"/>
      <c r="J27" s="510"/>
      <c r="K27" s="510"/>
      <c r="L27" s="510"/>
      <c r="M27" s="510"/>
      <c r="N27" s="510"/>
      <c r="O27" s="510"/>
      <c r="P27" s="510"/>
      <c r="Q27" s="510"/>
      <c r="R27" s="510"/>
      <c r="S27" s="709"/>
      <c r="T27" s="709"/>
      <c r="U27" s="709"/>
      <c r="V27" s="709"/>
      <c r="W27" s="709"/>
      <c r="X27"/>
      <c r="Y27"/>
      <c r="Z27"/>
      <c r="AA27" s="510"/>
      <c r="AB27" s="510"/>
      <c r="AC27" s="510"/>
      <c r="AD27" s="510"/>
      <c r="AE27" s="510"/>
      <c r="AF27" s="510"/>
      <c r="AG27" s="510"/>
      <c r="AH27" s="510"/>
    </row>
    <row r="28" spans="1:34" s="78" customFormat="1" ht="24.75" customHeight="1" thickBot="1">
      <c r="A28" s="299"/>
      <c r="B28" s="1372" t="str">
        <f>CONCATENATE("Table 15.2 - Payments received by ",dms_TradingName, " from Related Party greater than $1,000,000")</f>
        <v>Table 15.2 - Payments received by Multinet Gas from Related Party greater than $1,000,000</v>
      </c>
      <c r="C28" s="1373"/>
      <c r="D28" s="1373"/>
      <c r="E28" s="1373"/>
      <c r="F28" s="1373"/>
      <c r="G28" s="1373"/>
      <c r="H28" s="1373"/>
      <c r="I28" s="1373"/>
      <c r="J28" s="1373"/>
      <c r="K28" s="1373"/>
      <c r="L28" s="1373"/>
      <c r="M28" s="1373"/>
      <c r="N28" s="1373"/>
      <c r="O28" s="1373"/>
      <c r="P28" s="1373"/>
      <c r="Q28" s="1373"/>
      <c r="R28" s="1373"/>
      <c r="S28" s="1373"/>
      <c r="T28" s="1373"/>
      <c r="U28" s="1373"/>
      <c r="V28" s="1373"/>
      <c r="W28" s="1374"/>
      <c r="X28"/>
      <c r="Y28"/>
      <c r="Z28"/>
      <c r="AA28" s="1372"/>
      <c r="AB28" s="1373"/>
      <c r="AC28" s="1373"/>
      <c r="AD28" s="1373"/>
      <c r="AE28" s="1373"/>
      <c r="AF28" s="1373"/>
      <c r="AG28" s="1373"/>
      <c r="AH28" s="1374"/>
    </row>
    <row r="29" spans="1:34" s="105" customFormat="1" ht="20.25" customHeight="1">
      <c r="A29" s="510"/>
      <c r="B29" s="4551" t="s">
        <v>25</v>
      </c>
      <c r="C29" s="4554" t="s">
        <v>286</v>
      </c>
      <c r="D29" s="4554" t="s">
        <v>10</v>
      </c>
      <c r="E29" s="4554" t="s">
        <v>26</v>
      </c>
      <c r="F29" s="4554" t="s">
        <v>27</v>
      </c>
      <c r="G29" s="4557" t="s">
        <v>652</v>
      </c>
      <c r="H29" s="758"/>
      <c r="I29" s="4436" t="s">
        <v>36</v>
      </c>
      <c r="J29" s="4437"/>
      <c r="K29" s="4437"/>
      <c r="L29" s="4437"/>
      <c r="M29" s="4437"/>
      <c r="N29" s="4438" t="s">
        <v>37</v>
      </c>
      <c r="O29" s="4439"/>
      <c r="P29" s="4439"/>
      <c r="Q29" s="4439"/>
      <c r="R29" s="4439"/>
      <c r="S29" s="4474" t="s">
        <v>75</v>
      </c>
      <c r="T29" s="4474"/>
      <c r="U29" s="4474"/>
      <c r="V29" s="4474"/>
      <c r="W29" s="4488"/>
      <c r="X29"/>
      <c r="Y29"/>
      <c r="Z29"/>
      <c r="AA29" s="4436" t="s">
        <v>36</v>
      </c>
      <c r="AB29" s="4437"/>
      <c r="AC29" s="4437"/>
      <c r="AD29" s="4437"/>
      <c r="AE29" s="4437"/>
      <c r="AF29" s="4438" t="s">
        <v>37</v>
      </c>
      <c r="AG29" s="4439"/>
      <c r="AH29" s="4440"/>
    </row>
    <row r="30" spans="1:34" ht="20.25" customHeight="1">
      <c r="A30" s="709"/>
      <c r="B30" s="4552"/>
      <c r="C30" s="4555"/>
      <c r="D30" s="4555"/>
      <c r="E30" s="4555"/>
      <c r="F30" s="4555"/>
      <c r="G30" s="4558"/>
      <c r="H30" s="759"/>
      <c r="I30" s="4125" t="s">
        <v>569</v>
      </c>
      <c r="J30" s="4126"/>
      <c r="K30" s="4126"/>
      <c r="L30" s="4126"/>
      <c r="M30" s="4126"/>
      <c r="N30" s="4126"/>
      <c r="O30" s="4126"/>
      <c r="P30" s="4127"/>
      <c r="Q30" s="4128" t="str">
        <f>CONCATENATE("$0's, real ",dms_DollarReal)</f>
        <v>$0's, real December 2017</v>
      </c>
      <c r="R30" s="4129"/>
      <c r="S30" s="4129"/>
      <c r="T30" s="4129"/>
      <c r="U30" s="4129"/>
      <c r="V30" s="4129"/>
      <c r="W30" s="4475"/>
      <c r="AA30" s="4125" t="str">
        <f>CONCATENATE("$0's, real ",dms_DollarReal)</f>
        <v>$0's, real December 2017</v>
      </c>
      <c r="AB30" s="4126"/>
      <c r="AC30" s="4126"/>
      <c r="AD30" s="4126"/>
      <c r="AE30" s="4126"/>
      <c r="AF30" s="4126"/>
      <c r="AG30" s="4126"/>
      <c r="AH30" s="4169"/>
    </row>
    <row r="31" spans="1:34" ht="20.25">
      <c r="A31" s="709"/>
      <c r="B31" s="4552"/>
      <c r="C31" s="4555"/>
      <c r="D31" s="4555"/>
      <c r="E31" s="4555"/>
      <c r="F31" s="4555"/>
      <c r="G31" s="4558"/>
      <c r="H31" s="759"/>
      <c r="I31" s="4125" t="s">
        <v>56</v>
      </c>
      <c r="J31" s="4126"/>
      <c r="K31" s="4126"/>
      <c r="L31" s="4126"/>
      <c r="M31" s="4126"/>
      <c r="N31" s="4126"/>
      <c r="O31" s="4126"/>
      <c r="P31" s="4127"/>
      <c r="Q31" s="4128" t="s">
        <v>57</v>
      </c>
      <c r="R31" s="4129"/>
      <c r="S31" s="4129"/>
      <c r="T31" s="4129"/>
      <c r="U31" s="4129"/>
      <c r="V31" s="4129"/>
      <c r="W31" s="4475"/>
      <c r="AA31" s="4125" t="s">
        <v>56</v>
      </c>
      <c r="AB31" s="4126"/>
      <c r="AC31" s="4126"/>
      <c r="AD31" s="4126"/>
      <c r="AE31" s="4126"/>
      <c r="AF31" s="4126"/>
      <c r="AG31" s="4126"/>
      <c r="AH31" s="4169"/>
    </row>
    <row r="32" spans="1:34" ht="15.75" thickBot="1">
      <c r="A32" s="709"/>
      <c r="B32" s="4553"/>
      <c r="C32" s="4556"/>
      <c r="D32" s="4556"/>
      <c r="E32" s="4556"/>
      <c r="F32" s="4556"/>
      <c r="G32" s="4559"/>
      <c r="H32" s="3388"/>
      <c r="I32" s="375">
        <f t="array" ref="I32:M32">PRCP</f>
        <v>2008</v>
      </c>
      <c r="J32" s="374">
        <v>2009</v>
      </c>
      <c r="K32" s="374">
        <v>2010</v>
      </c>
      <c r="L32" s="374">
        <v>2011</v>
      </c>
      <c r="M32" s="374">
        <v>2012</v>
      </c>
      <c r="N32" s="376">
        <f>CRCP_y1</f>
        <v>2013</v>
      </c>
      <c r="O32" s="376">
        <f>CRCP_y2</f>
        <v>2014</v>
      </c>
      <c r="P32" s="376">
        <f>CRCP_y3</f>
        <v>2015</v>
      </c>
      <c r="Q32" s="376">
        <f>CRCP_y4</f>
        <v>2016</v>
      </c>
      <c r="R32" s="376">
        <f>CRCP_y5</f>
        <v>2017</v>
      </c>
      <c r="S32" s="374" t="str">
        <f t="array" ref="S32:W32">FRCP</f>
        <v>2018</v>
      </c>
      <c r="T32" s="374">
        <v>2019</v>
      </c>
      <c r="U32" s="374">
        <v>2020</v>
      </c>
      <c r="V32" s="374">
        <v>2021</v>
      </c>
      <c r="W32" s="470">
        <v>2022</v>
      </c>
      <c r="AA32" s="1521">
        <f t="array" ref="AA32:AE32">PRCP</f>
        <v>2008</v>
      </c>
      <c r="AB32" s="374">
        <v>2009</v>
      </c>
      <c r="AC32" s="374">
        <v>2010</v>
      </c>
      <c r="AD32" s="374">
        <v>2011</v>
      </c>
      <c r="AE32" s="374">
        <v>2012</v>
      </c>
      <c r="AF32" s="376">
        <f>CRCP_y1</f>
        <v>2013</v>
      </c>
      <c r="AG32" s="376">
        <f>CRCP_y2</f>
        <v>2014</v>
      </c>
      <c r="AH32" s="568">
        <f>CRCP_y3</f>
        <v>2015</v>
      </c>
    </row>
    <row r="33" spans="1:34">
      <c r="A33" s="709"/>
      <c r="B33" s="1034" t="s">
        <v>1602</v>
      </c>
      <c r="C33" s="1035"/>
      <c r="D33" s="1035"/>
      <c r="E33" s="1035"/>
      <c r="F33" s="1035"/>
      <c r="G33" s="1035"/>
      <c r="H33" s="3389" t="s">
        <v>87</v>
      </c>
      <c r="I33" s="787">
        <v>0</v>
      </c>
      <c r="J33" s="788">
        <v>0</v>
      </c>
      <c r="K33" s="788">
        <v>0</v>
      </c>
      <c r="L33" s="788">
        <v>0</v>
      </c>
      <c r="M33" s="789">
        <v>0</v>
      </c>
      <c r="N33" s="787">
        <v>0</v>
      </c>
      <c r="O33" s="788">
        <v>0</v>
      </c>
      <c r="P33" s="788">
        <v>0</v>
      </c>
      <c r="Q33" s="788">
        <v>0</v>
      </c>
      <c r="R33" s="788">
        <v>0</v>
      </c>
      <c r="S33" s="794">
        <v>0</v>
      </c>
      <c r="T33" s="788">
        <v>0</v>
      </c>
      <c r="U33" s="788">
        <v>0</v>
      </c>
      <c r="V33" s="788">
        <v>0</v>
      </c>
      <c r="W33" s="789">
        <v>0</v>
      </c>
      <c r="AA33" s="1855"/>
      <c r="AB33" s="1856"/>
      <c r="AC33" s="1856"/>
      <c r="AD33" s="1856"/>
      <c r="AE33" s="1857"/>
      <c r="AF33" s="1855"/>
      <c r="AG33" s="1856"/>
      <c r="AH33" s="1857"/>
    </row>
    <row r="34" spans="1:34">
      <c r="A34" s="709"/>
      <c r="B34" s="1036" t="str">
        <f t="shared" ref="B34:G34" si="5">B33</f>
        <v>N/A</v>
      </c>
      <c r="C34" s="1037">
        <f t="shared" si="5"/>
        <v>0</v>
      </c>
      <c r="D34" s="1037">
        <f t="shared" si="5"/>
        <v>0</v>
      </c>
      <c r="E34" s="1037">
        <f t="shared" si="5"/>
        <v>0</v>
      </c>
      <c r="F34" s="1037">
        <f t="shared" si="5"/>
        <v>0</v>
      </c>
      <c r="G34" s="1037">
        <f t="shared" si="5"/>
        <v>0</v>
      </c>
      <c r="H34" s="785" t="s">
        <v>88</v>
      </c>
      <c r="I34" s="738">
        <v>0</v>
      </c>
      <c r="J34" s="708">
        <v>0</v>
      </c>
      <c r="K34" s="708">
        <v>0</v>
      </c>
      <c r="L34" s="708">
        <v>0</v>
      </c>
      <c r="M34" s="790">
        <v>0</v>
      </c>
      <c r="N34" s="738">
        <v>0</v>
      </c>
      <c r="O34" s="708">
        <v>0</v>
      </c>
      <c r="P34" s="708">
        <v>0</v>
      </c>
      <c r="Q34" s="708">
        <v>0</v>
      </c>
      <c r="R34" s="708">
        <v>0</v>
      </c>
      <c r="S34" s="786">
        <v>0</v>
      </c>
      <c r="T34" s="708">
        <v>0</v>
      </c>
      <c r="U34" s="708">
        <v>0</v>
      </c>
      <c r="V34" s="708">
        <v>0</v>
      </c>
      <c r="W34" s="790">
        <v>0</v>
      </c>
      <c r="AA34" s="1858"/>
      <c r="AB34" s="1859"/>
      <c r="AC34" s="1859"/>
      <c r="AD34" s="1859"/>
      <c r="AE34" s="1860"/>
      <c r="AF34" s="1858"/>
      <c r="AG34" s="1859"/>
      <c r="AH34" s="1860"/>
    </row>
    <row r="35" spans="1:34">
      <c r="A35" s="709"/>
      <c r="B35" s="1038"/>
      <c r="C35" s="1039"/>
      <c r="D35" s="1039"/>
      <c r="E35" s="1039"/>
      <c r="F35" s="1039"/>
      <c r="G35" s="1039"/>
      <c r="H35" s="785" t="s">
        <v>87</v>
      </c>
      <c r="I35" s="738">
        <v>0</v>
      </c>
      <c r="J35" s="708">
        <v>0</v>
      </c>
      <c r="K35" s="708">
        <v>0</v>
      </c>
      <c r="L35" s="708">
        <v>0</v>
      </c>
      <c r="M35" s="790">
        <v>0</v>
      </c>
      <c r="N35" s="738">
        <v>0</v>
      </c>
      <c r="O35" s="708">
        <v>0</v>
      </c>
      <c r="P35" s="708">
        <v>0</v>
      </c>
      <c r="Q35" s="708">
        <v>0</v>
      </c>
      <c r="R35" s="708">
        <v>0</v>
      </c>
      <c r="S35" s="786">
        <v>0</v>
      </c>
      <c r="T35" s="708">
        <v>0</v>
      </c>
      <c r="U35" s="708">
        <v>0</v>
      </c>
      <c r="V35" s="708">
        <v>0</v>
      </c>
      <c r="W35" s="790">
        <v>0</v>
      </c>
      <c r="AA35" s="1858"/>
      <c r="AB35" s="1859"/>
      <c r="AC35" s="1859"/>
      <c r="AD35" s="1859"/>
      <c r="AE35" s="1860"/>
      <c r="AF35" s="1858"/>
      <c r="AG35" s="1859"/>
      <c r="AH35" s="1860"/>
    </row>
    <row r="36" spans="1:34">
      <c r="A36" s="709"/>
      <c r="B36" s="1036">
        <f t="shared" ref="B36:G36" si="6">B35</f>
        <v>0</v>
      </c>
      <c r="C36" s="1037">
        <f t="shared" si="6"/>
        <v>0</v>
      </c>
      <c r="D36" s="1037">
        <f t="shared" si="6"/>
        <v>0</v>
      </c>
      <c r="E36" s="1037">
        <f t="shared" si="6"/>
        <v>0</v>
      </c>
      <c r="F36" s="1037">
        <f t="shared" si="6"/>
        <v>0</v>
      </c>
      <c r="G36" s="1037">
        <f t="shared" si="6"/>
        <v>0</v>
      </c>
      <c r="H36" s="785" t="s">
        <v>88</v>
      </c>
      <c r="I36" s="738">
        <v>0</v>
      </c>
      <c r="J36" s="708">
        <v>0</v>
      </c>
      <c r="K36" s="708">
        <v>0</v>
      </c>
      <c r="L36" s="708">
        <v>0</v>
      </c>
      <c r="M36" s="790">
        <v>0</v>
      </c>
      <c r="N36" s="738">
        <v>0</v>
      </c>
      <c r="O36" s="708">
        <v>0</v>
      </c>
      <c r="P36" s="708">
        <v>0</v>
      </c>
      <c r="Q36" s="708">
        <v>0</v>
      </c>
      <c r="R36" s="708">
        <v>0</v>
      </c>
      <c r="S36" s="786">
        <v>0</v>
      </c>
      <c r="T36" s="708">
        <v>0</v>
      </c>
      <c r="U36" s="708">
        <v>0</v>
      </c>
      <c r="V36" s="708">
        <v>0</v>
      </c>
      <c r="W36" s="790">
        <v>0</v>
      </c>
      <c r="AA36" s="1858"/>
      <c r="AB36" s="1859"/>
      <c r="AC36" s="1859"/>
      <c r="AD36" s="1859"/>
      <c r="AE36" s="1860"/>
      <c r="AF36" s="1858"/>
      <c r="AG36" s="1859"/>
      <c r="AH36" s="1860"/>
    </row>
    <row r="37" spans="1:34">
      <c r="A37" s="709"/>
      <c r="B37" s="1038"/>
      <c r="C37" s="1039"/>
      <c r="D37" s="1039"/>
      <c r="E37" s="1039"/>
      <c r="F37" s="1039"/>
      <c r="G37" s="1039"/>
      <c r="H37" s="785" t="s">
        <v>87</v>
      </c>
      <c r="I37" s="738">
        <v>0</v>
      </c>
      <c r="J37" s="708">
        <v>0</v>
      </c>
      <c r="K37" s="708">
        <v>0</v>
      </c>
      <c r="L37" s="708">
        <v>0</v>
      </c>
      <c r="M37" s="790">
        <v>0</v>
      </c>
      <c r="N37" s="738">
        <v>0</v>
      </c>
      <c r="O37" s="708">
        <v>0</v>
      </c>
      <c r="P37" s="708">
        <v>0</v>
      </c>
      <c r="Q37" s="708">
        <v>0</v>
      </c>
      <c r="R37" s="708">
        <v>0</v>
      </c>
      <c r="S37" s="786">
        <v>0</v>
      </c>
      <c r="T37" s="708">
        <v>0</v>
      </c>
      <c r="U37" s="708">
        <v>0</v>
      </c>
      <c r="V37" s="708">
        <v>0</v>
      </c>
      <c r="W37" s="790">
        <v>0</v>
      </c>
      <c r="AA37" s="1858"/>
      <c r="AB37" s="1859"/>
      <c r="AC37" s="1859"/>
      <c r="AD37" s="1859"/>
      <c r="AE37" s="1860"/>
      <c r="AF37" s="1858"/>
      <c r="AG37" s="1859"/>
      <c r="AH37" s="1860"/>
    </row>
    <row r="38" spans="1:34">
      <c r="A38" s="709"/>
      <c r="B38" s="1036">
        <f t="shared" ref="B38:G38" si="7">B37</f>
        <v>0</v>
      </c>
      <c r="C38" s="1037">
        <f t="shared" si="7"/>
        <v>0</v>
      </c>
      <c r="D38" s="1037">
        <f t="shared" si="7"/>
        <v>0</v>
      </c>
      <c r="E38" s="1037">
        <f t="shared" si="7"/>
        <v>0</v>
      </c>
      <c r="F38" s="1037">
        <f t="shared" si="7"/>
        <v>0</v>
      </c>
      <c r="G38" s="1037">
        <f t="shared" si="7"/>
        <v>0</v>
      </c>
      <c r="H38" s="785" t="s">
        <v>88</v>
      </c>
      <c r="I38" s="738">
        <v>0</v>
      </c>
      <c r="J38" s="708">
        <v>0</v>
      </c>
      <c r="K38" s="708">
        <v>0</v>
      </c>
      <c r="L38" s="708">
        <v>0</v>
      </c>
      <c r="M38" s="790">
        <v>0</v>
      </c>
      <c r="N38" s="738">
        <v>0</v>
      </c>
      <c r="O38" s="708">
        <v>0</v>
      </c>
      <c r="P38" s="708">
        <v>0</v>
      </c>
      <c r="Q38" s="708">
        <v>0</v>
      </c>
      <c r="R38" s="708">
        <v>0</v>
      </c>
      <c r="S38" s="786">
        <v>0</v>
      </c>
      <c r="T38" s="708">
        <v>0</v>
      </c>
      <c r="U38" s="708">
        <v>0</v>
      </c>
      <c r="V38" s="708">
        <v>0</v>
      </c>
      <c r="W38" s="790">
        <v>0</v>
      </c>
      <c r="AA38" s="1858"/>
      <c r="AB38" s="1859"/>
      <c r="AC38" s="1859"/>
      <c r="AD38" s="1859"/>
      <c r="AE38" s="1860"/>
      <c r="AF38" s="1858"/>
      <c r="AG38" s="1859"/>
      <c r="AH38" s="1860"/>
    </row>
    <row r="39" spans="1:34">
      <c r="A39" s="709"/>
      <c r="B39" s="1038"/>
      <c r="C39" s="1039"/>
      <c r="D39" s="1039"/>
      <c r="E39" s="1039"/>
      <c r="F39" s="1039"/>
      <c r="G39" s="1039"/>
      <c r="H39" s="785" t="s">
        <v>87</v>
      </c>
      <c r="I39" s="738">
        <v>0</v>
      </c>
      <c r="J39" s="708">
        <v>0</v>
      </c>
      <c r="K39" s="708">
        <v>0</v>
      </c>
      <c r="L39" s="708">
        <v>0</v>
      </c>
      <c r="M39" s="790">
        <v>0</v>
      </c>
      <c r="N39" s="738">
        <v>0</v>
      </c>
      <c r="O39" s="708">
        <v>0</v>
      </c>
      <c r="P39" s="708">
        <v>0</v>
      </c>
      <c r="Q39" s="708">
        <v>0</v>
      </c>
      <c r="R39" s="708">
        <v>0</v>
      </c>
      <c r="S39" s="786">
        <v>0</v>
      </c>
      <c r="T39" s="708">
        <v>0</v>
      </c>
      <c r="U39" s="708">
        <v>0</v>
      </c>
      <c r="V39" s="708">
        <v>0</v>
      </c>
      <c r="W39" s="790">
        <v>0</v>
      </c>
      <c r="AA39" s="1858"/>
      <c r="AB39" s="1859"/>
      <c r="AC39" s="1859"/>
      <c r="AD39" s="1859"/>
      <c r="AE39" s="1860"/>
      <c r="AF39" s="1858"/>
      <c r="AG39" s="1859"/>
      <c r="AH39" s="1860"/>
    </row>
    <row r="40" spans="1:34" ht="13.5" thickBot="1">
      <c r="A40" s="709"/>
      <c r="B40" s="1036">
        <f t="shared" ref="B40:G40" si="8">B39</f>
        <v>0</v>
      </c>
      <c r="C40" s="1037">
        <f t="shared" si="8"/>
        <v>0</v>
      </c>
      <c r="D40" s="1037">
        <f t="shared" si="8"/>
        <v>0</v>
      </c>
      <c r="E40" s="1037">
        <f t="shared" si="8"/>
        <v>0</v>
      </c>
      <c r="F40" s="1037">
        <f t="shared" si="8"/>
        <v>0</v>
      </c>
      <c r="G40" s="1037">
        <f t="shared" si="8"/>
        <v>0</v>
      </c>
      <c r="H40" s="785" t="s">
        <v>88</v>
      </c>
      <c r="I40" s="791">
        <v>0</v>
      </c>
      <c r="J40" s="792">
        <v>0</v>
      </c>
      <c r="K40" s="792">
        <v>0</v>
      </c>
      <c r="L40" s="792">
        <v>0</v>
      </c>
      <c r="M40" s="793">
        <v>0</v>
      </c>
      <c r="N40" s="791">
        <v>0</v>
      </c>
      <c r="O40" s="792">
        <v>0</v>
      </c>
      <c r="P40" s="792">
        <v>0</v>
      </c>
      <c r="Q40" s="792">
        <v>0</v>
      </c>
      <c r="R40" s="792">
        <v>0</v>
      </c>
      <c r="S40" s="795">
        <v>0</v>
      </c>
      <c r="T40" s="792">
        <v>0</v>
      </c>
      <c r="U40" s="792">
        <v>0</v>
      </c>
      <c r="V40" s="792">
        <v>0</v>
      </c>
      <c r="W40" s="793">
        <v>0</v>
      </c>
      <c r="AA40" s="1861"/>
      <c r="AB40" s="1862"/>
      <c r="AC40" s="1862"/>
      <c r="AD40" s="1862"/>
      <c r="AE40" s="1863"/>
      <c r="AF40" s="1861"/>
      <c r="AG40" s="1862"/>
      <c r="AH40" s="1863"/>
    </row>
    <row r="41" spans="1:34" s="69" customFormat="1" ht="28.5" customHeight="1" thickBot="1">
      <c r="A41" s="348"/>
      <c r="B41" s="1459" t="s">
        <v>127</v>
      </c>
      <c r="C41" s="687"/>
      <c r="D41" s="301"/>
      <c r="E41" s="301"/>
      <c r="F41" s="301"/>
      <c r="G41" s="301"/>
      <c r="H41" s="301"/>
      <c r="I41" s="301"/>
      <c r="J41" s="301"/>
      <c r="K41" s="301"/>
      <c r="L41" s="301"/>
      <c r="M41" s="301"/>
      <c r="N41" s="301"/>
      <c r="O41" s="301"/>
      <c r="P41" s="301"/>
      <c r="Q41" s="301"/>
      <c r="R41" s="301"/>
      <c r="S41" s="301"/>
      <c r="T41" s="301"/>
      <c r="U41" s="301"/>
      <c r="V41" s="301"/>
      <c r="W41" s="436"/>
      <c r="X41"/>
      <c r="Y41"/>
      <c r="Z41"/>
      <c r="AA41" s="1790"/>
      <c r="AB41" s="1771"/>
      <c r="AC41" s="1771"/>
      <c r="AD41" s="1771"/>
      <c r="AE41" s="1771"/>
      <c r="AF41" s="1771"/>
      <c r="AG41" s="1771"/>
      <c r="AH41" s="1774"/>
    </row>
    <row r="42" spans="1:34" ht="60.75" customHeight="1" thickBot="1">
      <c r="A42" s="709"/>
      <c r="B42" s="709"/>
      <c r="C42" s="709"/>
      <c r="D42" s="709"/>
      <c r="E42" s="709"/>
      <c r="F42" s="709"/>
      <c r="G42" s="709"/>
      <c r="H42" s="712"/>
      <c r="I42" s="709"/>
      <c r="J42" s="709"/>
      <c r="K42" s="709"/>
      <c r="L42" s="709"/>
      <c r="M42" s="709"/>
      <c r="N42" s="709"/>
      <c r="O42" s="709"/>
      <c r="P42" s="709"/>
      <c r="Q42" s="709"/>
      <c r="R42" s="709"/>
      <c r="S42" s="709"/>
      <c r="T42" s="709"/>
      <c r="U42" s="709"/>
      <c r="V42" s="709"/>
      <c r="W42" s="709"/>
      <c r="AA42" s="709"/>
      <c r="AB42" s="709"/>
      <c r="AC42" s="709"/>
      <c r="AD42" s="709"/>
      <c r="AE42" s="709"/>
      <c r="AF42" s="712"/>
      <c r="AG42" s="709"/>
      <c r="AH42" s="709"/>
    </row>
    <row r="43" spans="1:34" s="78" customFormat="1" ht="24.75" customHeight="1" thickBot="1">
      <c r="A43" s="299"/>
      <c r="B43" s="2867" t="s">
        <v>574</v>
      </c>
      <c r="C43" s="1373"/>
      <c r="D43" s="1373"/>
      <c r="E43" s="1373"/>
      <c r="F43" s="1373"/>
      <c r="G43" s="1373"/>
      <c r="H43" s="1373"/>
      <c r="I43" s="1373"/>
      <c r="J43" s="1373"/>
      <c r="K43" s="1373"/>
      <c r="L43" s="1373"/>
      <c r="M43" s="1373"/>
      <c r="N43" s="1373"/>
      <c r="O43" s="1373"/>
      <c r="P43" s="1373"/>
      <c r="Q43" s="1373"/>
      <c r="R43" s="1373"/>
      <c r="S43" s="1373"/>
      <c r="T43" s="1373"/>
      <c r="U43" s="1373"/>
      <c r="V43" s="1373"/>
      <c r="W43" s="1374"/>
      <c r="X43"/>
      <c r="Y43"/>
      <c r="Z43"/>
      <c r="AA43" s="1372"/>
      <c r="AB43" s="1373"/>
      <c r="AC43" s="1373"/>
      <c r="AD43" s="1373"/>
      <c r="AE43" s="1373"/>
      <c r="AF43" s="1373"/>
      <c r="AG43" s="1373"/>
      <c r="AH43" s="1374"/>
    </row>
    <row r="44" spans="1:34" ht="17.25" customHeight="1">
      <c r="A44" s="709"/>
      <c r="B44" s="4551"/>
      <c r="C44" s="4554"/>
      <c r="D44" s="4554"/>
      <c r="E44" s="4554"/>
      <c r="F44" s="4554"/>
      <c r="G44" s="4557"/>
      <c r="H44" s="758"/>
      <c r="I44" s="4436" t="s">
        <v>36</v>
      </c>
      <c r="J44" s="4437"/>
      <c r="K44" s="4437"/>
      <c r="L44" s="4437"/>
      <c r="M44" s="4437"/>
      <c r="N44" s="4438" t="s">
        <v>37</v>
      </c>
      <c r="O44" s="4439"/>
      <c r="P44" s="4439"/>
      <c r="Q44" s="4439"/>
      <c r="R44" s="4439"/>
      <c r="S44" s="4474" t="s">
        <v>75</v>
      </c>
      <c r="T44" s="4474"/>
      <c r="U44" s="4474"/>
      <c r="V44" s="4474"/>
      <c r="W44" s="4488"/>
      <c r="X44" s="709"/>
      <c r="Y44" s="709"/>
      <c r="Z44" s="709"/>
      <c r="AA44" s="4186" t="s">
        <v>36</v>
      </c>
      <c r="AB44" s="4137"/>
      <c r="AC44" s="4137"/>
      <c r="AD44" s="4137"/>
      <c r="AE44" s="4137"/>
      <c r="AF44" s="4187" t="s">
        <v>37</v>
      </c>
      <c r="AG44" s="4188"/>
      <c r="AH44" s="4189"/>
    </row>
    <row r="45" spans="1:34" ht="17.25" customHeight="1">
      <c r="A45" s="709"/>
      <c r="B45" s="4552"/>
      <c r="C45" s="4555"/>
      <c r="D45" s="4555"/>
      <c r="E45" s="4555"/>
      <c r="F45" s="4555"/>
      <c r="G45" s="4558"/>
      <c r="H45" s="759"/>
      <c r="I45" s="4125" t="s">
        <v>569</v>
      </c>
      <c r="J45" s="4126"/>
      <c r="K45" s="4126"/>
      <c r="L45" s="4126"/>
      <c r="M45" s="4126"/>
      <c r="N45" s="4126"/>
      <c r="O45" s="4126"/>
      <c r="P45" s="4127"/>
      <c r="Q45" s="4128" t="str">
        <f>CONCATENATE("$0's, real ",dms_DollarReal)</f>
        <v>$0's, real December 2017</v>
      </c>
      <c r="R45" s="4129"/>
      <c r="S45" s="4129"/>
      <c r="T45" s="4129"/>
      <c r="U45" s="4129"/>
      <c r="V45" s="4129"/>
      <c r="W45" s="4475"/>
      <c r="X45" s="709"/>
      <c r="Y45" s="709"/>
      <c r="Z45" s="709"/>
      <c r="AA45" s="4125" t="str">
        <f>CONCATENATE("$0's, real ",dms_DollarReal)</f>
        <v>$0's, real December 2017</v>
      </c>
      <c r="AB45" s="4126"/>
      <c r="AC45" s="4126"/>
      <c r="AD45" s="4126"/>
      <c r="AE45" s="4126"/>
      <c r="AF45" s="4126"/>
      <c r="AG45" s="4126"/>
      <c r="AH45" s="4169"/>
    </row>
    <row r="46" spans="1:34" ht="17.25" customHeight="1">
      <c r="A46" s="709"/>
      <c r="B46" s="4552"/>
      <c r="C46" s="4555"/>
      <c r="D46" s="4555"/>
      <c r="E46" s="4555"/>
      <c r="F46" s="4555"/>
      <c r="G46" s="4558"/>
      <c r="H46" s="759"/>
      <c r="I46" s="4125" t="s">
        <v>56</v>
      </c>
      <c r="J46" s="4126"/>
      <c r="K46" s="4126"/>
      <c r="L46" s="4126"/>
      <c r="M46" s="4126"/>
      <c r="N46" s="4126"/>
      <c r="O46" s="4126"/>
      <c r="P46" s="4127"/>
      <c r="Q46" s="4128" t="s">
        <v>57</v>
      </c>
      <c r="R46" s="4129"/>
      <c r="S46" s="4129"/>
      <c r="T46" s="4129"/>
      <c r="U46" s="4129"/>
      <c r="V46" s="4129"/>
      <c r="W46" s="4475"/>
      <c r="X46" s="709"/>
      <c r="Y46" s="709"/>
      <c r="Z46" s="709"/>
      <c r="AA46" s="4125" t="s">
        <v>56</v>
      </c>
      <c r="AB46" s="4126"/>
      <c r="AC46" s="4126"/>
      <c r="AD46" s="4126"/>
      <c r="AE46" s="4126"/>
      <c r="AF46" s="4126"/>
      <c r="AG46" s="4126"/>
      <c r="AH46" s="4169"/>
    </row>
    <row r="47" spans="1:34" ht="17.25" customHeight="1" thickBot="1">
      <c r="A47" s="709"/>
      <c r="B47" s="4553"/>
      <c r="C47" s="4556"/>
      <c r="D47" s="4556"/>
      <c r="E47" s="4556"/>
      <c r="F47" s="4556"/>
      <c r="G47" s="4559"/>
      <c r="H47" s="3388"/>
      <c r="I47" s="375">
        <f t="array" ref="I47:M47">PRCP</f>
        <v>2008</v>
      </c>
      <c r="J47" s="374">
        <v>2009</v>
      </c>
      <c r="K47" s="374">
        <v>2010</v>
      </c>
      <c r="L47" s="374">
        <v>2011</v>
      </c>
      <c r="M47" s="374">
        <v>2012</v>
      </c>
      <c r="N47" s="376">
        <f>CRCP_y1</f>
        <v>2013</v>
      </c>
      <c r="O47" s="376">
        <f>CRCP_y2</f>
        <v>2014</v>
      </c>
      <c r="P47" s="376">
        <f>CRCP_y3</f>
        <v>2015</v>
      </c>
      <c r="Q47" s="376">
        <f>CRCP_y4</f>
        <v>2016</v>
      </c>
      <c r="R47" s="376">
        <f>CRCP_y5</f>
        <v>2017</v>
      </c>
      <c r="S47" s="374" t="str">
        <f t="array" ref="S47:W47">FRCP</f>
        <v>2018</v>
      </c>
      <c r="T47" s="374">
        <v>2019</v>
      </c>
      <c r="U47" s="374">
        <v>2020</v>
      </c>
      <c r="V47" s="374">
        <v>2021</v>
      </c>
      <c r="W47" s="470">
        <v>2022</v>
      </c>
      <c r="X47" s="709"/>
      <c r="Y47" s="709"/>
      <c r="Z47" s="709"/>
      <c r="AA47" s="1521">
        <f t="array" ref="AA47:AE47">PRCP</f>
        <v>2008</v>
      </c>
      <c r="AB47" s="374">
        <v>2009</v>
      </c>
      <c r="AC47" s="374">
        <v>2010</v>
      </c>
      <c r="AD47" s="374">
        <v>2011</v>
      </c>
      <c r="AE47" s="374">
        <v>2012</v>
      </c>
      <c r="AF47" s="376">
        <f>CRCP_y1</f>
        <v>2013</v>
      </c>
      <c r="AG47" s="376">
        <f>CRCP_y2</f>
        <v>2014</v>
      </c>
      <c r="AH47" s="568">
        <f>CRCP_y3</f>
        <v>2015</v>
      </c>
    </row>
    <row r="48" spans="1:34" s="3356" customFormat="1" ht="42.75">
      <c r="A48" s="3347"/>
      <c r="B48" s="3348" t="s">
        <v>1479</v>
      </c>
      <c r="C48" s="3349"/>
      <c r="D48" s="3349"/>
      <c r="E48" s="3349"/>
      <c r="F48" s="3349"/>
      <c r="G48" s="3349"/>
      <c r="H48" s="3387"/>
      <c r="I48" s="3392">
        <f>I18/I19-1</f>
        <v>1.1260155951796635E-2</v>
      </c>
      <c r="J48" s="3390">
        <f t="shared" ref="J48:M48" si="9">J18/J19-1</f>
        <v>3.6629989268305296E-2</v>
      </c>
      <c r="K48" s="3390">
        <f t="shared" si="9"/>
        <v>-2.4989277695082857E-2</v>
      </c>
      <c r="L48" s="3390">
        <f t="shared" si="9"/>
        <v>1.1409354432730279E-2</v>
      </c>
      <c r="M48" s="3391">
        <f t="shared" si="9"/>
        <v>4.3685616177031594E-3</v>
      </c>
      <c r="N48" s="3392" t="s">
        <v>944</v>
      </c>
      <c r="O48" s="3390">
        <v>0</v>
      </c>
      <c r="P48" s="3390">
        <v>0</v>
      </c>
      <c r="Q48" s="3390">
        <v>0</v>
      </c>
      <c r="R48" s="3391">
        <v>0</v>
      </c>
      <c r="S48" s="3392">
        <v>0</v>
      </c>
      <c r="T48" s="3390">
        <v>0</v>
      </c>
      <c r="U48" s="3390">
        <v>0</v>
      </c>
      <c r="V48" s="3390">
        <v>0</v>
      </c>
      <c r="W48" s="3391">
        <v>0</v>
      </c>
      <c r="X48" s="3347"/>
      <c r="Y48" s="3347"/>
      <c r="Z48" s="3347"/>
      <c r="AA48" s="3350"/>
      <c r="AB48" s="3351"/>
      <c r="AC48" s="3351"/>
      <c r="AD48" s="3351"/>
      <c r="AE48" s="3352"/>
      <c r="AF48" s="3353"/>
      <c r="AG48" s="3354"/>
      <c r="AH48" s="3355"/>
    </row>
    <row r="49" spans="1:34" s="3356" customFormat="1" ht="14.25">
      <c r="A49" s="3347"/>
      <c r="B49" s="3357"/>
      <c r="C49" s="3358"/>
      <c r="D49" s="3358"/>
      <c r="E49" s="3358"/>
      <c r="F49" s="3358"/>
      <c r="G49" s="3358"/>
      <c r="H49" s="2998"/>
      <c r="I49" s="3399">
        <v>0</v>
      </c>
      <c r="J49" s="3398">
        <v>0</v>
      </c>
      <c r="K49" s="3398">
        <v>0</v>
      </c>
      <c r="L49" s="3398">
        <v>0</v>
      </c>
      <c r="M49" s="3424">
        <v>0</v>
      </c>
      <c r="N49" s="3399">
        <v>0</v>
      </c>
      <c r="O49" s="3398">
        <v>0</v>
      </c>
      <c r="P49" s="3398">
        <v>0</v>
      </c>
      <c r="Q49" s="3398">
        <v>0</v>
      </c>
      <c r="R49" s="3424">
        <v>0</v>
      </c>
      <c r="S49" s="3399">
        <v>0</v>
      </c>
      <c r="T49" s="3398">
        <v>0</v>
      </c>
      <c r="U49" s="3398">
        <v>0</v>
      </c>
      <c r="V49" s="3398">
        <v>0</v>
      </c>
      <c r="W49" s="3424">
        <v>0</v>
      </c>
      <c r="X49" s="3347"/>
      <c r="Y49" s="3347"/>
      <c r="Z49" s="3347"/>
      <c r="AA49" s="3359"/>
      <c r="AB49" s="3360"/>
      <c r="AC49" s="3360"/>
      <c r="AD49" s="3360"/>
      <c r="AE49" s="3361"/>
      <c r="AF49" s="3362"/>
      <c r="AG49" s="3363"/>
      <c r="AH49" s="3364"/>
    </row>
    <row r="50" spans="1:34" s="3356" customFormat="1" ht="28.5">
      <c r="A50" s="3347"/>
      <c r="B50" s="3365" t="s">
        <v>1480</v>
      </c>
      <c r="C50" s="3366"/>
      <c r="D50" s="3366"/>
      <c r="E50" s="3366"/>
      <c r="F50" s="3366"/>
      <c r="G50" s="3366"/>
      <c r="H50" s="2998"/>
      <c r="I50" s="3399">
        <v>0</v>
      </c>
      <c r="J50" s="3398">
        <v>0</v>
      </c>
      <c r="K50" s="3398">
        <v>0</v>
      </c>
      <c r="L50" s="3398">
        <v>0</v>
      </c>
      <c r="M50" s="3424">
        <v>0</v>
      </c>
      <c r="N50" s="3399">
        <v>0</v>
      </c>
      <c r="O50" s="3398">
        <v>0</v>
      </c>
      <c r="P50" s="3398">
        <v>0</v>
      </c>
      <c r="Q50" s="3398">
        <v>0</v>
      </c>
      <c r="R50" s="3424">
        <v>0</v>
      </c>
      <c r="S50" s="3399">
        <v>0</v>
      </c>
      <c r="T50" s="3398">
        <v>0</v>
      </c>
      <c r="U50" s="3398">
        <v>0</v>
      </c>
      <c r="V50" s="3398">
        <v>0</v>
      </c>
      <c r="W50" s="3424">
        <v>0</v>
      </c>
      <c r="X50" s="3347"/>
      <c r="Y50" s="3347"/>
      <c r="Z50" s="3347"/>
      <c r="AA50" s="3367"/>
      <c r="AB50" s="3368"/>
      <c r="AC50" s="3368"/>
      <c r="AD50" s="3368"/>
      <c r="AE50" s="3369"/>
      <c r="AF50" s="3370"/>
      <c r="AG50" s="3371"/>
      <c r="AH50" s="3372"/>
    </row>
    <row r="51" spans="1:34" s="3356" customFormat="1" ht="14.25">
      <c r="A51" s="3347"/>
      <c r="B51" s="3357"/>
      <c r="C51" s="3358"/>
      <c r="D51" s="3358"/>
      <c r="E51" s="3358"/>
      <c r="F51" s="3358"/>
      <c r="G51" s="3358"/>
      <c r="H51" s="2998"/>
      <c r="I51" s="3399">
        <v>0</v>
      </c>
      <c r="J51" s="3398">
        <v>0</v>
      </c>
      <c r="K51" s="3398">
        <v>0</v>
      </c>
      <c r="L51" s="3398">
        <v>0</v>
      </c>
      <c r="M51" s="3424">
        <v>0</v>
      </c>
      <c r="N51" s="3399">
        <v>0</v>
      </c>
      <c r="O51" s="3398">
        <v>0</v>
      </c>
      <c r="P51" s="3398">
        <v>0</v>
      </c>
      <c r="Q51" s="3398">
        <v>0</v>
      </c>
      <c r="R51" s="3424">
        <v>0</v>
      </c>
      <c r="S51" s="3399">
        <v>0</v>
      </c>
      <c r="T51" s="3398">
        <v>0</v>
      </c>
      <c r="U51" s="3398">
        <v>0</v>
      </c>
      <c r="V51" s="3398">
        <v>0</v>
      </c>
      <c r="W51" s="3424">
        <v>0</v>
      </c>
      <c r="X51" s="3347"/>
      <c r="Y51" s="3347"/>
      <c r="Z51" s="3347"/>
      <c r="AA51" s="3359"/>
      <c r="AB51" s="3360"/>
      <c r="AC51" s="3360"/>
      <c r="AD51" s="3360"/>
      <c r="AE51" s="3361"/>
      <c r="AF51" s="3362"/>
      <c r="AG51" s="3363"/>
      <c r="AH51" s="3364"/>
    </row>
    <row r="52" spans="1:34" s="3356" customFormat="1" ht="14.25">
      <c r="A52" s="3347"/>
      <c r="B52" s="3365" t="s">
        <v>1483</v>
      </c>
      <c r="C52" s="3366"/>
      <c r="D52" s="3366"/>
      <c r="E52" s="3366"/>
      <c r="F52" s="3366"/>
      <c r="G52" s="3366"/>
      <c r="H52" s="2998"/>
      <c r="I52" s="3399">
        <v>0</v>
      </c>
      <c r="J52" s="3398">
        <v>0</v>
      </c>
      <c r="K52" s="3398">
        <v>0</v>
      </c>
      <c r="L52" s="3398">
        <v>0</v>
      </c>
      <c r="M52" s="3424">
        <v>0</v>
      </c>
      <c r="N52" s="3399">
        <v>0</v>
      </c>
      <c r="O52" s="3398">
        <v>0</v>
      </c>
      <c r="P52" s="3398">
        <v>0</v>
      </c>
      <c r="Q52" s="3398">
        <v>0</v>
      </c>
      <c r="R52" s="3424">
        <v>0</v>
      </c>
      <c r="S52" s="3399">
        <v>0</v>
      </c>
      <c r="T52" s="3398">
        <v>0</v>
      </c>
      <c r="U52" s="3398">
        <v>0</v>
      </c>
      <c r="V52" s="3398">
        <v>0</v>
      </c>
      <c r="W52" s="3424">
        <v>0</v>
      </c>
      <c r="X52" s="3347"/>
      <c r="Y52" s="3347"/>
      <c r="Z52" s="3347"/>
      <c r="AA52" s="3367"/>
      <c r="AB52" s="3368"/>
      <c r="AC52" s="3368"/>
      <c r="AD52" s="3368"/>
      <c r="AE52" s="3369"/>
      <c r="AF52" s="3370"/>
      <c r="AG52" s="3371"/>
      <c r="AH52" s="3372"/>
    </row>
    <row r="53" spans="1:34" s="3356" customFormat="1" ht="14.25">
      <c r="A53" s="3347"/>
      <c r="B53" s="3357"/>
      <c r="C53" s="3358"/>
      <c r="D53" s="3358"/>
      <c r="E53" s="3358"/>
      <c r="F53" s="3358"/>
      <c r="G53" s="3358"/>
      <c r="H53" s="2998"/>
      <c r="I53" s="3399">
        <v>0</v>
      </c>
      <c r="J53" s="3398">
        <v>0</v>
      </c>
      <c r="K53" s="3398">
        <v>0</v>
      </c>
      <c r="L53" s="3398">
        <v>0</v>
      </c>
      <c r="M53" s="3424">
        <v>0</v>
      </c>
      <c r="N53" s="3399">
        <v>0</v>
      </c>
      <c r="O53" s="3398">
        <v>0</v>
      </c>
      <c r="P53" s="3398">
        <v>0</v>
      </c>
      <c r="Q53" s="3398">
        <v>0</v>
      </c>
      <c r="R53" s="3424">
        <v>0</v>
      </c>
      <c r="S53" s="3399">
        <v>0</v>
      </c>
      <c r="T53" s="3398">
        <v>0</v>
      </c>
      <c r="U53" s="3398">
        <v>0</v>
      </c>
      <c r="V53" s="3398">
        <v>0</v>
      </c>
      <c r="W53" s="3424">
        <v>0</v>
      </c>
      <c r="X53" s="3347"/>
      <c r="Y53" s="3347"/>
      <c r="Z53" s="3347"/>
      <c r="AA53" s="3359"/>
      <c r="AB53" s="3360"/>
      <c r="AC53" s="3360"/>
      <c r="AD53" s="3360"/>
      <c r="AE53" s="3361"/>
      <c r="AF53" s="3362"/>
      <c r="AG53" s="3363"/>
      <c r="AH53" s="3364"/>
    </row>
    <row r="54" spans="1:34" s="3356" customFormat="1" ht="15" thickBot="1">
      <c r="A54" s="3347"/>
      <c r="B54" s="3365"/>
      <c r="C54" s="3366"/>
      <c r="D54" s="3366"/>
      <c r="E54" s="3366"/>
      <c r="F54" s="3366"/>
      <c r="G54" s="3366"/>
      <c r="H54" s="2998"/>
      <c r="I54" s="3399">
        <v>0</v>
      </c>
      <c r="J54" s="3398">
        <v>0</v>
      </c>
      <c r="K54" s="3398">
        <v>0</v>
      </c>
      <c r="L54" s="3398">
        <v>0</v>
      </c>
      <c r="M54" s="3424">
        <v>0</v>
      </c>
      <c r="N54" s="3399">
        <v>0</v>
      </c>
      <c r="O54" s="3398">
        <v>0</v>
      </c>
      <c r="P54" s="3398">
        <v>0</v>
      </c>
      <c r="Q54" s="3398">
        <v>0</v>
      </c>
      <c r="R54" s="3424">
        <v>0</v>
      </c>
      <c r="S54" s="3399">
        <v>0</v>
      </c>
      <c r="T54" s="3398">
        <v>0</v>
      </c>
      <c r="U54" s="3398">
        <v>0</v>
      </c>
      <c r="V54" s="3398">
        <v>0</v>
      </c>
      <c r="W54" s="3424">
        <v>0</v>
      </c>
      <c r="X54" s="3347"/>
      <c r="Y54" s="3347"/>
      <c r="Z54" s="3347"/>
      <c r="AA54" s="3373"/>
      <c r="AB54" s="3374"/>
      <c r="AC54" s="3374"/>
      <c r="AD54" s="3374"/>
      <c r="AE54" s="3375"/>
      <c r="AF54" s="3376"/>
      <c r="AG54" s="3377"/>
      <c r="AH54" s="3378"/>
    </row>
    <row r="55" spans="1:34" s="3356" customFormat="1" ht="28.5" customHeight="1" thickBot="1">
      <c r="A55" s="3379"/>
      <c r="B55" s="3380" t="s">
        <v>127</v>
      </c>
      <c r="C55" s="3381"/>
      <c r="D55" s="3382"/>
      <c r="E55" s="3382"/>
      <c r="F55" s="3382"/>
      <c r="G55" s="3382"/>
      <c r="H55" s="3382"/>
      <c r="I55" s="3381"/>
      <c r="J55" s="3382"/>
      <c r="K55" s="3382"/>
      <c r="L55" s="3382"/>
      <c r="M55" s="3382"/>
      <c r="N55" s="3382"/>
      <c r="O55" s="3382"/>
      <c r="P55" s="3382"/>
      <c r="Q55" s="3382"/>
      <c r="R55" s="3382"/>
      <c r="S55" s="3382"/>
      <c r="T55" s="3382"/>
      <c r="U55" s="3382"/>
      <c r="V55" s="3382"/>
      <c r="W55" s="3383"/>
      <c r="X55" s="3347"/>
      <c r="Y55" s="3347"/>
      <c r="Z55" s="3347"/>
      <c r="AA55" s="3384"/>
      <c r="AB55" s="3385"/>
      <c r="AC55" s="3385"/>
      <c r="AD55" s="3385"/>
      <c r="AE55" s="3385"/>
      <c r="AF55" s="3385"/>
      <c r="AG55" s="3385"/>
      <c r="AH55" s="3386"/>
    </row>
    <row r="56" spans="1:34" ht="46.5" customHeight="1">
      <c r="A56" s="709"/>
      <c r="B56" s="709"/>
      <c r="C56" s="709"/>
      <c r="D56" s="709"/>
      <c r="E56" s="709"/>
      <c r="F56" s="709"/>
      <c r="G56" s="709"/>
      <c r="H56" s="709"/>
      <c r="I56" s="299"/>
      <c r="J56" s="299"/>
      <c r="K56" s="299"/>
      <c r="L56" s="299"/>
      <c r="M56" s="299"/>
      <c r="N56" s="299"/>
      <c r="O56" s="299"/>
      <c r="P56" s="299"/>
      <c r="Q56" s="299"/>
      <c r="R56" s="299"/>
      <c r="S56" s="709"/>
      <c r="T56" s="709"/>
      <c r="U56" s="709"/>
      <c r="V56" s="709"/>
      <c r="W56" s="709"/>
      <c r="X56" s="709"/>
      <c r="Y56" s="709"/>
      <c r="Z56" s="709"/>
      <c r="AA56" s="299"/>
      <c r="AB56" s="299"/>
      <c r="AC56" s="299"/>
      <c r="AD56" s="299"/>
      <c r="AE56" s="299"/>
      <c r="AF56" s="299"/>
      <c r="AG56" s="299"/>
      <c r="AH56" s="299"/>
    </row>
    <row r="57" spans="1:34" s="78" customFormat="1" ht="24.75" hidden="1" customHeight="1" thickBot="1">
      <c r="A57" s="299"/>
      <c r="B57" s="1372" t="s">
        <v>521</v>
      </c>
      <c r="C57" s="1373"/>
      <c r="D57" s="1373"/>
      <c r="E57" s="1373"/>
      <c r="F57" s="1373"/>
      <c r="G57" s="1373"/>
      <c r="H57" s="1373"/>
      <c r="I57" s="1373"/>
      <c r="J57" s="1373"/>
      <c r="K57" s="1373"/>
      <c r="L57" s="1373"/>
      <c r="M57" s="1373"/>
      <c r="N57" s="1373"/>
      <c r="O57" s="1373"/>
      <c r="P57" s="1373"/>
      <c r="Q57" s="1373"/>
      <c r="R57" s="1374"/>
      <c r="S57" s="299"/>
      <c r="T57" s="299"/>
      <c r="U57" s="299"/>
      <c r="V57" s="299"/>
      <c r="W57" s="299"/>
      <c r="X57" s="299"/>
      <c r="Y57"/>
      <c r="Z57"/>
      <c r="AA57" s="1373"/>
      <c r="AB57" s="1373"/>
      <c r="AC57" s="1373"/>
      <c r="AD57" s="1373"/>
      <c r="AE57" s="1373"/>
      <c r="AF57" s="1373"/>
      <c r="AG57" s="1373"/>
      <c r="AH57" s="1373"/>
    </row>
    <row r="58" spans="1:34" ht="17.25" hidden="1" customHeight="1">
      <c r="A58" s="709"/>
      <c r="B58" s="4560"/>
      <c r="C58" s="1864"/>
      <c r="D58" s="1864"/>
      <c r="E58" s="1864"/>
      <c r="F58" s="1864"/>
      <c r="G58" s="1864"/>
      <c r="H58" s="1864"/>
      <c r="I58" s="4565" t="s">
        <v>36</v>
      </c>
      <c r="J58" s="4137"/>
      <c r="K58" s="4137"/>
      <c r="L58" s="4137"/>
      <c r="M58" s="4137"/>
      <c r="N58" s="4187" t="s">
        <v>37</v>
      </c>
      <c r="O58" s="4188"/>
      <c r="P58" s="4188"/>
      <c r="Q58" s="4188"/>
      <c r="R58" s="4189"/>
      <c r="S58" s="709"/>
      <c r="T58" s="709"/>
      <c r="U58" s="709"/>
      <c r="V58" s="709"/>
      <c r="W58" s="709"/>
      <c r="X58" s="709"/>
      <c r="Y58" s="709"/>
      <c r="Z58" s="709"/>
      <c r="AA58" s="4565" t="s">
        <v>36</v>
      </c>
      <c r="AB58" s="4137"/>
      <c r="AC58" s="4137"/>
      <c r="AD58" s="4137"/>
      <c r="AE58" s="4137"/>
      <c r="AF58" s="4187" t="s">
        <v>37</v>
      </c>
      <c r="AG58" s="4188"/>
      <c r="AH58" s="4188"/>
    </row>
    <row r="59" spans="1:34" ht="24.75" hidden="1">
      <c r="A59" s="709"/>
      <c r="B59" s="4561"/>
      <c r="C59" s="1865"/>
      <c r="D59" s="1865"/>
      <c r="E59" s="1865"/>
      <c r="F59" s="1865"/>
      <c r="G59" s="1865"/>
      <c r="H59" s="1865"/>
      <c r="I59" s="4125" t="s">
        <v>569</v>
      </c>
      <c r="J59" s="4126"/>
      <c r="K59" s="4126"/>
      <c r="L59" s="4126"/>
      <c r="M59" s="4126"/>
      <c r="N59" s="4126"/>
      <c r="O59" s="4126"/>
      <c r="P59" s="4126"/>
      <c r="Q59" s="4126"/>
      <c r="R59" s="4169"/>
      <c r="S59"/>
      <c r="T59"/>
      <c r="U59"/>
      <c r="V59"/>
      <c r="W59"/>
      <c r="Y59" s="709"/>
      <c r="Z59" s="709"/>
      <c r="AA59" s="4125" t="s">
        <v>569</v>
      </c>
      <c r="AB59" s="4126"/>
      <c r="AC59" s="4126"/>
      <c r="AD59" s="4126"/>
      <c r="AE59" s="4126"/>
      <c r="AF59" s="4126"/>
      <c r="AG59" s="4126"/>
      <c r="AH59" s="4126"/>
    </row>
    <row r="60" spans="1:34" ht="17.25" hidden="1" customHeight="1">
      <c r="A60" s="709"/>
      <c r="B60" s="4561"/>
      <c r="C60" s="1865"/>
      <c r="D60" s="1865"/>
      <c r="E60" s="1865"/>
      <c r="F60" s="1865"/>
      <c r="G60" s="1865"/>
      <c r="H60" s="1865"/>
      <c r="I60" s="4125" t="s">
        <v>76</v>
      </c>
      <c r="J60" s="4126"/>
      <c r="K60" s="4126"/>
      <c r="L60" s="4126"/>
      <c r="M60" s="4126"/>
      <c r="N60" s="4126"/>
      <c r="O60" s="4126"/>
      <c r="P60" s="4126"/>
      <c r="Q60" s="4126"/>
      <c r="R60" s="4169"/>
      <c r="S60" s="709"/>
      <c r="T60" s="709"/>
      <c r="U60" s="709"/>
      <c r="V60" s="709"/>
      <c r="W60" s="709"/>
      <c r="X60" s="709"/>
      <c r="Y60" s="709"/>
      <c r="Z60" s="709"/>
      <c r="AA60" s="4125" t="s">
        <v>76</v>
      </c>
      <c r="AB60" s="4126"/>
      <c r="AC60" s="4126"/>
      <c r="AD60" s="4126"/>
      <c r="AE60" s="4126"/>
      <c r="AF60" s="4126"/>
      <c r="AG60" s="4126"/>
      <c r="AH60" s="4126"/>
    </row>
    <row r="61" spans="1:34" ht="17.25" hidden="1" customHeight="1" thickBot="1">
      <c r="A61" s="709"/>
      <c r="B61" s="4562"/>
      <c r="C61" s="1817"/>
      <c r="D61" s="1817"/>
      <c r="E61" s="1817"/>
      <c r="F61" s="1817"/>
      <c r="G61" s="1817"/>
      <c r="H61" s="1817"/>
      <c r="I61" s="375">
        <f t="array" ref="I61:M61">PRCP</f>
        <v>2008</v>
      </c>
      <c r="J61" s="374">
        <v>2009</v>
      </c>
      <c r="K61" s="374">
        <v>2010</v>
      </c>
      <c r="L61" s="374">
        <v>2011</v>
      </c>
      <c r="M61" s="374">
        <v>2012</v>
      </c>
      <c r="N61" s="376">
        <f>CRCP_y1</f>
        <v>2013</v>
      </c>
      <c r="O61" s="376">
        <f>CRCP_y2</f>
        <v>2014</v>
      </c>
      <c r="P61" s="376">
        <f>CRCP_y3</f>
        <v>2015</v>
      </c>
      <c r="Q61" s="376">
        <f>CRCP_y4</f>
        <v>2016</v>
      </c>
      <c r="R61" s="568">
        <f>CRCP_y5</f>
        <v>2017</v>
      </c>
      <c r="S61" s="709"/>
      <c r="T61" s="709"/>
      <c r="U61" s="709"/>
      <c r="V61" s="709"/>
      <c r="W61" s="709"/>
      <c r="X61" s="709"/>
      <c r="Y61" s="709"/>
      <c r="Z61" s="709"/>
      <c r="AA61" s="375">
        <f t="array" ref="AA61:AE61">PRCP</f>
        <v>2008</v>
      </c>
      <c r="AB61" s="374">
        <v>2009</v>
      </c>
      <c r="AC61" s="374">
        <v>2010</v>
      </c>
      <c r="AD61" s="374">
        <v>2011</v>
      </c>
      <c r="AE61" s="374">
        <v>2012</v>
      </c>
      <c r="AF61" s="376">
        <f>CRCP_y1</f>
        <v>2013</v>
      </c>
      <c r="AG61" s="376">
        <f>CRCP_y2</f>
        <v>2014</v>
      </c>
      <c r="AH61" s="376">
        <f>CRCP_y3</f>
        <v>2015</v>
      </c>
    </row>
    <row r="62" spans="1:34" hidden="1">
      <c r="A62" s="709"/>
      <c r="B62" s="720" t="s">
        <v>287</v>
      </c>
      <c r="C62" s="736"/>
      <c r="D62" s="736"/>
      <c r="E62" s="736"/>
      <c r="F62" s="736"/>
      <c r="G62" s="736"/>
      <c r="H62" s="736"/>
      <c r="I62" s="561"/>
      <c r="J62" s="562"/>
      <c r="K62" s="562"/>
      <c r="L62" s="562"/>
      <c r="M62" s="563"/>
      <c r="N62" s="799"/>
      <c r="O62" s="800"/>
      <c r="P62" s="800"/>
      <c r="Q62" s="800"/>
      <c r="R62" s="801"/>
      <c r="S62" s="709"/>
      <c r="T62" s="709"/>
      <c r="U62" s="709"/>
      <c r="V62" s="709"/>
      <c r="W62" s="709"/>
      <c r="X62" s="709"/>
      <c r="Y62" s="709"/>
      <c r="Z62" s="709"/>
      <c r="AA62" s="561"/>
      <c r="AB62" s="562"/>
      <c r="AC62" s="562"/>
      <c r="AD62" s="562"/>
      <c r="AE62" s="563"/>
      <c r="AF62" s="799"/>
      <c r="AG62" s="800"/>
      <c r="AH62" s="800"/>
    </row>
    <row r="63" spans="1:34" hidden="1">
      <c r="A63" s="709"/>
      <c r="B63" s="721" t="s">
        <v>287</v>
      </c>
      <c r="C63" s="1816"/>
      <c r="D63" s="1816"/>
      <c r="E63" s="1816"/>
      <c r="F63" s="1816"/>
      <c r="G63" s="1816"/>
      <c r="H63" s="1816"/>
      <c r="I63" s="489"/>
      <c r="J63" s="490"/>
      <c r="K63" s="490"/>
      <c r="L63" s="490"/>
      <c r="M63" s="491"/>
      <c r="N63" s="802"/>
      <c r="O63" s="719"/>
      <c r="P63" s="719"/>
      <c r="Q63" s="719"/>
      <c r="R63" s="803"/>
      <c r="S63" s="709"/>
      <c r="T63" s="709"/>
      <c r="U63" s="709"/>
      <c r="V63" s="709"/>
      <c r="W63" s="709"/>
      <c r="X63" s="709"/>
      <c r="Y63" s="709"/>
      <c r="Z63" s="709"/>
      <c r="AA63" s="489"/>
      <c r="AB63" s="490"/>
      <c r="AC63" s="490"/>
      <c r="AD63" s="490"/>
      <c r="AE63" s="491"/>
      <c r="AF63" s="802"/>
      <c r="AG63" s="719"/>
      <c r="AH63" s="719"/>
    </row>
    <row r="64" spans="1:34" hidden="1">
      <c r="A64" s="709"/>
      <c r="B64" s="721" t="s">
        <v>287</v>
      </c>
      <c r="C64" s="1816"/>
      <c r="D64" s="1816"/>
      <c r="E64" s="1816"/>
      <c r="F64" s="1816"/>
      <c r="G64" s="1816"/>
      <c r="H64" s="1816"/>
      <c r="I64" s="489"/>
      <c r="J64" s="490"/>
      <c r="K64" s="490"/>
      <c r="L64" s="490"/>
      <c r="M64" s="491"/>
      <c r="N64" s="802"/>
      <c r="O64" s="719"/>
      <c r="P64" s="719"/>
      <c r="Q64" s="719"/>
      <c r="R64" s="803"/>
      <c r="S64" s="709"/>
      <c r="T64" s="709"/>
      <c r="U64" s="709"/>
      <c r="V64" s="709"/>
      <c r="W64" s="709"/>
      <c r="X64" s="709"/>
      <c r="Y64" s="709"/>
      <c r="Z64" s="709"/>
      <c r="AA64" s="489"/>
      <c r="AB64" s="490"/>
      <c r="AC64" s="490"/>
      <c r="AD64" s="490"/>
      <c r="AE64" s="491"/>
      <c r="AF64" s="802"/>
      <c r="AG64" s="719"/>
      <c r="AH64" s="719"/>
    </row>
    <row r="65" spans="1:34" hidden="1">
      <c r="A65" s="709"/>
      <c r="B65" s="721" t="s">
        <v>287</v>
      </c>
      <c r="C65" s="1816"/>
      <c r="D65" s="1816"/>
      <c r="E65" s="1816"/>
      <c r="F65" s="1816"/>
      <c r="G65" s="1816"/>
      <c r="H65" s="1816"/>
      <c r="I65" s="489"/>
      <c r="J65" s="490"/>
      <c r="K65" s="490"/>
      <c r="L65" s="490"/>
      <c r="M65" s="491"/>
      <c r="N65" s="802"/>
      <c r="O65" s="719"/>
      <c r="P65" s="719"/>
      <c r="Q65" s="719"/>
      <c r="R65" s="803"/>
      <c r="S65" s="709"/>
      <c r="T65" s="709"/>
      <c r="U65" s="709"/>
      <c r="V65" s="709"/>
      <c r="W65" s="709"/>
      <c r="X65" s="709"/>
      <c r="Y65" s="709"/>
      <c r="Z65" s="709"/>
      <c r="AA65" s="489"/>
      <c r="AB65" s="490"/>
      <c r="AC65" s="490"/>
      <c r="AD65" s="490"/>
      <c r="AE65" s="491"/>
      <c r="AF65" s="802"/>
      <c r="AG65" s="719"/>
      <c r="AH65" s="719"/>
    </row>
    <row r="66" spans="1:34" hidden="1">
      <c r="A66" s="709"/>
      <c r="B66" s="721" t="s">
        <v>287</v>
      </c>
      <c r="C66" s="1816"/>
      <c r="D66" s="1816"/>
      <c r="E66" s="1816"/>
      <c r="F66" s="1816"/>
      <c r="G66" s="1816"/>
      <c r="H66" s="1816"/>
      <c r="I66" s="489"/>
      <c r="J66" s="490"/>
      <c r="K66" s="490"/>
      <c r="L66" s="490"/>
      <c r="M66" s="491"/>
      <c r="N66" s="802"/>
      <c r="O66" s="719"/>
      <c r="P66" s="719"/>
      <c r="Q66" s="719"/>
      <c r="R66" s="803"/>
      <c r="S66" s="709"/>
      <c r="T66" s="709"/>
      <c r="U66" s="709"/>
      <c r="V66" s="709"/>
      <c r="W66" s="709"/>
      <c r="X66" s="709"/>
      <c r="Y66" s="709"/>
      <c r="Z66" s="709"/>
      <c r="AA66" s="489"/>
      <c r="AB66" s="490"/>
      <c r="AC66" s="490"/>
      <c r="AD66" s="490"/>
      <c r="AE66" s="491"/>
      <c r="AF66" s="802"/>
      <c r="AG66" s="719"/>
      <c r="AH66" s="719"/>
    </row>
    <row r="67" spans="1:34" ht="13.5" hidden="1" thickBot="1">
      <c r="A67" s="709"/>
      <c r="B67" s="722" t="s">
        <v>287</v>
      </c>
      <c r="C67" s="737"/>
      <c r="D67" s="737"/>
      <c r="E67" s="737"/>
      <c r="F67" s="737"/>
      <c r="G67" s="737"/>
      <c r="H67" s="737"/>
      <c r="I67" s="796"/>
      <c r="J67" s="797"/>
      <c r="K67" s="797"/>
      <c r="L67" s="797"/>
      <c r="M67" s="798"/>
      <c r="N67" s="804"/>
      <c r="O67" s="805"/>
      <c r="P67" s="805"/>
      <c r="Q67" s="805"/>
      <c r="R67" s="806"/>
      <c r="S67" s="709"/>
      <c r="T67" s="709"/>
      <c r="U67" s="709"/>
      <c r="V67" s="709"/>
      <c r="W67" s="709"/>
      <c r="X67" s="709"/>
      <c r="Y67" s="709"/>
      <c r="Z67" s="709"/>
      <c r="AA67" s="796"/>
      <c r="AB67" s="797"/>
      <c r="AC67" s="797"/>
      <c r="AD67" s="797"/>
      <c r="AE67" s="798"/>
      <c r="AF67" s="804"/>
      <c r="AG67" s="805"/>
      <c r="AH67" s="805"/>
    </row>
    <row r="68" spans="1:34" s="69" customFormat="1" ht="28.5" hidden="1" customHeight="1" thickBot="1">
      <c r="A68" s="348"/>
      <c r="B68" s="1459" t="s">
        <v>127</v>
      </c>
      <c r="C68" s="1815"/>
      <c r="D68" s="1815"/>
      <c r="E68" s="1815"/>
      <c r="F68" s="1815"/>
      <c r="G68" s="1815"/>
      <c r="H68" s="1815"/>
      <c r="I68" s="687"/>
      <c r="J68" s="301"/>
      <c r="K68" s="301"/>
      <c r="L68" s="301"/>
      <c r="M68" s="301"/>
      <c r="N68" s="301"/>
      <c r="O68" s="301"/>
      <c r="P68" s="301"/>
      <c r="Q68" s="301"/>
      <c r="R68" s="436"/>
      <c r="S68"/>
      <c r="T68"/>
      <c r="U68"/>
      <c r="V68"/>
      <c r="X68" s="282"/>
      <c r="Y68" s="282"/>
      <c r="Z68" s="282"/>
      <c r="AA68" s="687"/>
      <c r="AB68" s="301"/>
      <c r="AC68" s="301"/>
      <c r="AD68" s="301"/>
      <c r="AE68" s="301"/>
      <c r="AF68" s="301"/>
      <c r="AG68" s="301"/>
      <c r="AH68" s="301"/>
    </row>
    <row r="69" spans="1:34" ht="42.75" customHeight="1" thickBot="1">
      <c r="A69" s="709"/>
      <c r="B69" s="709"/>
      <c r="C69" s="709"/>
      <c r="D69" s="709"/>
      <c r="E69" s="709"/>
      <c r="F69" s="709"/>
      <c r="G69" s="709"/>
      <c r="H69" s="709"/>
      <c r="I69" s="709"/>
      <c r="J69" s="709"/>
      <c r="K69" s="709"/>
      <c r="L69" s="709"/>
      <c r="M69" s="709"/>
      <c r="N69" s="712"/>
      <c r="O69" s="709"/>
      <c r="P69" s="709"/>
      <c r="Q69" s="709"/>
      <c r="R69" s="709"/>
      <c r="S69" s="709"/>
      <c r="T69" s="709"/>
      <c r="U69" s="709"/>
      <c r="V69" s="709"/>
      <c r="W69" s="709"/>
      <c r="X69" s="282"/>
      <c r="Y69" s="282"/>
      <c r="Z69" s="282"/>
      <c r="AA69" s="709"/>
      <c r="AB69" s="709"/>
      <c r="AC69" s="709"/>
      <c r="AD69" s="709"/>
      <c r="AE69" s="709"/>
      <c r="AF69" s="712"/>
      <c r="AG69" s="709"/>
      <c r="AH69" s="709"/>
    </row>
    <row r="70" spans="1:34" s="78" customFormat="1" ht="24.75" customHeight="1" thickBot="1">
      <c r="A70" s="299"/>
      <c r="B70" s="2867" t="s">
        <v>575</v>
      </c>
      <c r="C70" s="1373"/>
      <c r="D70" s="1373"/>
      <c r="E70" s="1373"/>
      <c r="F70" s="1373"/>
      <c r="G70" s="1373"/>
      <c r="H70" s="1373"/>
      <c r="I70" s="1373"/>
      <c r="J70" s="1373"/>
      <c r="K70" s="1373"/>
      <c r="L70" s="1373"/>
      <c r="M70" s="1373"/>
      <c r="N70" s="1373"/>
      <c r="O70" s="1373"/>
      <c r="P70" s="1373"/>
      <c r="Q70" s="1373"/>
      <c r="R70" s="1373"/>
      <c r="S70" s="1373"/>
      <c r="T70" s="1373"/>
      <c r="U70" s="1373"/>
      <c r="V70" s="1373"/>
      <c r="W70" s="1374"/>
      <c r="X70" s="299"/>
      <c r="Y70" s="299"/>
      <c r="Z70" s="299"/>
      <c r="AA70"/>
      <c r="AB70"/>
      <c r="AC70"/>
      <c r="AD70"/>
      <c r="AE70"/>
      <c r="AF70"/>
      <c r="AG70"/>
      <c r="AH70"/>
    </row>
    <row r="71" spans="1:34" ht="23.25" customHeight="1">
      <c r="A71" s="709"/>
      <c r="B71" s="1269"/>
      <c r="C71" s="1270"/>
      <c r="D71" s="1270"/>
      <c r="E71" s="1270"/>
      <c r="F71" s="1270"/>
      <c r="G71" s="1270"/>
      <c r="H71" s="1866"/>
      <c r="I71" s="4186" t="s">
        <v>36</v>
      </c>
      <c r="J71" s="4137"/>
      <c r="K71" s="4137"/>
      <c r="L71" s="4137"/>
      <c r="M71" s="4137"/>
      <c r="N71" s="4187" t="s">
        <v>37</v>
      </c>
      <c r="O71" s="4188"/>
      <c r="P71" s="4188"/>
      <c r="Q71" s="4188"/>
      <c r="R71" s="4188"/>
      <c r="S71" s="4105" t="s">
        <v>75</v>
      </c>
      <c r="T71" s="4105"/>
      <c r="U71" s="4105"/>
      <c r="V71" s="4105"/>
      <c r="W71" s="4229"/>
      <c r="X71" s="709"/>
      <c r="Y71" s="709"/>
      <c r="Z71" s="709"/>
      <c r="AA71"/>
      <c r="AB71"/>
      <c r="AC71"/>
      <c r="AD71"/>
      <c r="AE71"/>
      <c r="AF71"/>
      <c r="AG71"/>
      <c r="AH71"/>
    </row>
    <row r="72" spans="1:34" ht="23.25" customHeight="1">
      <c r="A72" s="709"/>
      <c r="B72" s="1271"/>
      <c r="C72" s="1272"/>
      <c r="D72" s="1272"/>
      <c r="E72" s="1272"/>
      <c r="F72" s="1272"/>
      <c r="G72" s="1272"/>
      <c r="H72" s="1867"/>
      <c r="I72" s="4125" t="s">
        <v>366</v>
      </c>
      <c r="J72" s="4126"/>
      <c r="K72" s="4126"/>
      <c r="L72" s="4126"/>
      <c r="M72" s="4126"/>
      <c r="N72" s="4126"/>
      <c r="O72" s="4126"/>
      <c r="P72" s="4127"/>
      <c r="Q72" s="4128"/>
      <c r="R72" s="4129"/>
      <c r="S72" s="4129"/>
      <c r="T72" s="4129"/>
      <c r="U72" s="4129"/>
      <c r="V72" s="4129"/>
      <c r="W72" s="4130"/>
      <c r="X72" s="709"/>
      <c r="Y72" s="709"/>
      <c r="Z72" s="709"/>
      <c r="AA72"/>
      <c r="AB72"/>
      <c r="AC72"/>
      <c r="AD72"/>
      <c r="AE72"/>
      <c r="AF72"/>
      <c r="AG72"/>
      <c r="AH72"/>
    </row>
    <row r="73" spans="1:34" ht="23.25" customHeight="1">
      <c r="A73" s="709"/>
      <c r="B73" s="1271"/>
      <c r="C73" s="1272"/>
      <c r="D73" s="1272"/>
      <c r="E73" s="1272"/>
      <c r="F73" s="1272"/>
      <c r="G73" s="1272"/>
      <c r="H73" s="1867"/>
      <c r="I73" s="4125" t="s">
        <v>56</v>
      </c>
      <c r="J73" s="4126"/>
      <c r="K73" s="4126"/>
      <c r="L73" s="4126"/>
      <c r="M73" s="4126"/>
      <c r="N73" s="4126"/>
      <c r="O73" s="4126"/>
      <c r="P73" s="4127"/>
      <c r="Q73" s="4128" t="s">
        <v>57</v>
      </c>
      <c r="R73" s="4129"/>
      <c r="S73" s="4129"/>
      <c r="T73" s="4129"/>
      <c r="U73" s="4129"/>
      <c r="V73" s="4129"/>
      <c r="W73" s="4130"/>
      <c r="X73" s="709"/>
      <c r="Y73" s="709"/>
      <c r="Z73" s="709"/>
      <c r="AA73"/>
      <c r="AB73"/>
      <c r="AC73"/>
      <c r="AD73"/>
      <c r="AE73"/>
      <c r="AF73"/>
      <c r="AG73"/>
      <c r="AH73"/>
    </row>
    <row r="74" spans="1:34" ht="23.25" customHeight="1" thickBot="1">
      <c r="A74" s="709"/>
      <c r="B74" s="1271"/>
      <c r="C74" s="1272"/>
      <c r="D74" s="1272"/>
      <c r="E74" s="1272"/>
      <c r="F74" s="1272"/>
      <c r="G74" s="1272"/>
      <c r="H74" s="1867"/>
      <c r="I74" s="1521">
        <f t="array" ref="I74:M74">PRCP</f>
        <v>2008</v>
      </c>
      <c r="J74" s="374">
        <v>2009</v>
      </c>
      <c r="K74" s="374">
        <v>2010</v>
      </c>
      <c r="L74" s="374">
        <v>2011</v>
      </c>
      <c r="M74" s="374">
        <v>2012</v>
      </c>
      <c r="N74" s="376">
        <f>CRCP_y1</f>
        <v>2013</v>
      </c>
      <c r="O74" s="376">
        <f>CRCP_y2</f>
        <v>2014</v>
      </c>
      <c r="P74" s="376">
        <f>CRCP_y3</f>
        <v>2015</v>
      </c>
      <c r="Q74" s="376">
        <f>CRCP_y4</f>
        <v>2016</v>
      </c>
      <c r="R74" s="376">
        <f>CRCP_y5</f>
        <v>2017</v>
      </c>
      <c r="S74" s="374" t="str">
        <f t="array" ref="S74:W74">FRCP</f>
        <v>2018</v>
      </c>
      <c r="T74" s="374">
        <v>2019</v>
      </c>
      <c r="U74" s="374">
        <v>2020</v>
      </c>
      <c r="V74" s="374">
        <v>2021</v>
      </c>
      <c r="W74" s="470">
        <v>2022</v>
      </c>
      <c r="X74" s="709"/>
      <c r="Y74" s="709"/>
      <c r="Z74" s="709"/>
      <c r="AA74"/>
      <c r="AB74"/>
      <c r="AC74"/>
      <c r="AD74"/>
      <c r="AE74"/>
      <c r="AF74"/>
      <c r="AG74"/>
      <c r="AH74"/>
    </row>
    <row r="75" spans="1:34" s="3356" customFormat="1" ht="14.25">
      <c r="A75" s="3347"/>
      <c r="B75" s="4545" t="s">
        <v>1355</v>
      </c>
      <c r="C75" s="4546"/>
      <c r="D75" s="4546"/>
      <c r="E75" s="4546"/>
      <c r="F75" s="4546"/>
      <c r="G75" s="4546"/>
      <c r="H75" s="4547"/>
      <c r="I75" s="3390">
        <v>1</v>
      </c>
      <c r="J75" s="3390">
        <v>1</v>
      </c>
      <c r="K75" s="3390">
        <v>1</v>
      </c>
      <c r="L75" s="3390">
        <v>1</v>
      </c>
      <c r="M75" s="3391">
        <v>1</v>
      </c>
      <c r="N75" s="3425" t="s">
        <v>944</v>
      </c>
      <c r="O75" s="3390">
        <f>O110/'17. Gross Capex '!I21</f>
        <v>0</v>
      </c>
      <c r="P75" s="3390">
        <f>P110/'17. Gross Capex '!J21</f>
        <v>0</v>
      </c>
      <c r="Q75" s="3390">
        <f>Q110/'17. Gross Capex '!K21</f>
        <v>0</v>
      </c>
      <c r="R75" s="3391">
        <f>R110/'17. Gross Capex '!L21</f>
        <v>0</v>
      </c>
      <c r="S75" s="3425">
        <f>S110/'17. Gross Capex '!M21</f>
        <v>0</v>
      </c>
      <c r="T75" s="3390">
        <f>T110/'17. Gross Capex '!N21</f>
        <v>0</v>
      </c>
      <c r="U75" s="3390">
        <f>U110/'17. Gross Capex '!O21</f>
        <v>0</v>
      </c>
      <c r="V75" s="3390">
        <f>V110/'17. Gross Capex '!P21</f>
        <v>0</v>
      </c>
      <c r="W75" s="3391">
        <f>W110/'17. Gross Capex '!Q21</f>
        <v>0</v>
      </c>
      <c r="X75" s="3347"/>
      <c r="Y75" s="3347"/>
      <c r="Z75" s="3347"/>
    </row>
    <row r="76" spans="1:34" s="3356" customFormat="1" ht="14.25">
      <c r="A76" s="3347"/>
      <c r="B76" s="4523" t="s">
        <v>359</v>
      </c>
      <c r="C76" s="4524"/>
      <c r="D76" s="4524"/>
      <c r="E76" s="4524"/>
      <c r="F76" s="4524"/>
      <c r="G76" s="4524"/>
      <c r="H76" s="4525"/>
      <c r="I76" s="3398">
        <v>1</v>
      </c>
      <c r="J76" s="3398">
        <v>1</v>
      </c>
      <c r="K76" s="3398">
        <v>1</v>
      </c>
      <c r="L76" s="3398">
        <v>1</v>
      </c>
      <c r="M76" s="3424">
        <v>1</v>
      </c>
      <c r="N76" s="3426" t="s">
        <v>944</v>
      </c>
      <c r="O76" s="3398">
        <f>O111/'17. Gross Capex '!I22</f>
        <v>0</v>
      </c>
      <c r="P76" s="3398">
        <f>P111/'17. Gross Capex '!J22</f>
        <v>0</v>
      </c>
      <c r="Q76" s="3398">
        <v>0</v>
      </c>
      <c r="R76" s="3424">
        <f>R111/'17. Gross Capex '!L22</f>
        <v>0</v>
      </c>
      <c r="S76" s="3426">
        <f>S111/'17. Gross Capex '!M22</f>
        <v>0</v>
      </c>
      <c r="T76" s="3398">
        <f>T111/'17. Gross Capex '!N22</f>
        <v>0</v>
      </c>
      <c r="U76" s="3398">
        <f>U111/'17. Gross Capex '!O22</f>
        <v>0</v>
      </c>
      <c r="V76" s="3398">
        <f>V111/'17. Gross Capex '!P22</f>
        <v>0</v>
      </c>
      <c r="W76" s="3424">
        <f>W111/'17. Gross Capex '!Q22</f>
        <v>0</v>
      </c>
      <c r="X76" s="3347"/>
      <c r="Y76" s="3347"/>
      <c r="Z76" s="3347"/>
    </row>
    <row r="77" spans="1:34" s="3356" customFormat="1" ht="14.25">
      <c r="A77" s="3347"/>
      <c r="B77" s="4523" t="s">
        <v>1446</v>
      </c>
      <c r="C77" s="4524"/>
      <c r="D77" s="4524"/>
      <c r="E77" s="4524"/>
      <c r="F77" s="4524"/>
      <c r="G77" s="4524"/>
      <c r="H77" s="4525"/>
      <c r="I77" s="3398">
        <v>1</v>
      </c>
      <c r="J77" s="3398">
        <v>1</v>
      </c>
      <c r="K77" s="3398">
        <v>1</v>
      </c>
      <c r="L77" s="3398">
        <v>1</v>
      </c>
      <c r="M77" s="3424">
        <v>1</v>
      </c>
      <c r="N77" s="3426" t="s">
        <v>944</v>
      </c>
      <c r="O77" s="3398">
        <f>O112/'17. Gross Capex '!I23</f>
        <v>0</v>
      </c>
      <c r="P77" s="3398">
        <f>P112/'17. Gross Capex '!J23</f>
        <v>0</v>
      </c>
      <c r="Q77" s="3398">
        <f>Q112/'17. Gross Capex '!K23</f>
        <v>0</v>
      </c>
      <c r="R77" s="3424">
        <f>R112/'17. Gross Capex '!L23</f>
        <v>0</v>
      </c>
      <c r="S77" s="3426">
        <f>S112/'17. Gross Capex '!M23</f>
        <v>0</v>
      </c>
      <c r="T77" s="3398">
        <f>T112/'17. Gross Capex '!N23</f>
        <v>0</v>
      </c>
      <c r="U77" s="3398">
        <f>U112/'17. Gross Capex '!O23</f>
        <v>0</v>
      </c>
      <c r="V77" s="3398">
        <f>V112/'17. Gross Capex '!P23</f>
        <v>0</v>
      </c>
      <c r="W77" s="3424">
        <f>W112/'17. Gross Capex '!Q23</f>
        <v>0</v>
      </c>
      <c r="X77" s="3347"/>
      <c r="Y77" s="3347"/>
      <c r="Z77" s="3347"/>
    </row>
    <row r="78" spans="1:34" s="3356" customFormat="1" ht="14.25">
      <c r="A78" s="3347"/>
      <c r="B78" s="4523" t="s">
        <v>1447</v>
      </c>
      <c r="C78" s="4524"/>
      <c r="D78" s="4524"/>
      <c r="E78" s="4524"/>
      <c r="F78" s="4524"/>
      <c r="G78" s="4524"/>
      <c r="H78" s="4525"/>
      <c r="I78" s="3398">
        <v>1</v>
      </c>
      <c r="J78" s="3398">
        <v>1</v>
      </c>
      <c r="K78" s="3398">
        <v>1</v>
      </c>
      <c r="L78" s="3398">
        <v>1</v>
      </c>
      <c r="M78" s="3424">
        <v>1</v>
      </c>
      <c r="N78" s="3426" t="s">
        <v>944</v>
      </c>
      <c r="O78" s="3398">
        <f>O113/'17. Gross Capex '!I24</f>
        <v>0</v>
      </c>
      <c r="P78" s="3398">
        <f>P113/'17. Gross Capex '!J24</f>
        <v>0</v>
      </c>
      <c r="Q78" s="3398">
        <f>Q113/'17. Gross Capex '!K24</f>
        <v>0</v>
      </c>
      <c r="R78" s="3424">
        <f>R113/'17. Gross Capex '!L24</f>
        <v>0</v>
      </c>
      <c r="S78" s="3426">
        <f>S113/'17. Gross Capex '!M24</f>
        <v>0</v>
      </c>
      <c r="T78" s="3398">
        <f>T113/'17. Gross Capex '!N24</f>
        <v>0</v>
      </c>
      <c r="U78" s="3398">
        <f>U113/'17. Gross Capex '!O24</f>
        <v>0</v>
      </c>
      <c r="V78" s="3398">
        <f>V113/'17. Gross Capex '!P24</f>
        <v>0</v>
      </c>
      <c r="W78" s="3424">
        <f>W113/'17. Gross Capex '!Q24</f>
        <v>0</v>
      </c>
      <c r="X78" s="3347"/>
      <c r="Y78" s="3347"/>
      <c r="Z78" s="3347"/>
    </row>
    <row r="79" spans="1:34" s="3356" customFormat="1" ht="14.25">
      <c r="A79" s="3347"/>
      <c r="B79" s="4523" t="s">
        <v>63</v>
      </c>
      <c r="C79" s="4524"/>
      <c r="D79" s="4524"/>
      <c r="E79" s="4524"/>
      <c r="F79" s="4524"/>
      <c r="G79" s="4524"/>
      <c r="H79" s="4525"/>
      <c r="I79" s="3398">
        <v>1</v>
      </c>
      <c r="J79" s="3398">
        <v>1</v>
      </c>
      <c r="K79" s="3398">
        <v>1</v>
      </c>
      <c r="L79" s="3398">
        <v>1</v>
      </c>
      <c r="M79" s="3424">
        <v>1</v>
      </c>
      <c r="N79" s="3426" t="s">
        <v>944</v>
      </c>
      <c r="O79" s="3398">
        <f>O114/'17. Gross Capex '!I25</f>
        <v>0</v>
      </c>
      <c r="P79" s="3398">
        <f>P114/'17. Gross Capex '!J25</f>
        <v>0</v>
      </c>
      <c r="Q79" s="3398">
        <f>Q114/'17. Gross Capex '!K25</f>
        <v>0</v>
      </c>
      <c r="R79" s="3424">
        <f>R114/'17. Gross Capex '!L25</f>
        <v>0</v>
      </c>
      <c r="S79" s="3426">
        <f>S114/'17. Gross Capex '!M25</f>
        <v>0</v>
      </c>
      <c r="T79" s="3398">
        <f>T114/'17. Gross Capex '!N25</f>
        <v>0</v>
      </c>
      <c r="U79" s="3398">
        <f>U114/'17. Gross Capex '!O25</f>
        <v>0</v>
      </c>
      <c r="V79" s="3398">
        <f>V114/'17. Gross Capex '!P25</f>
        <v>0</v>
      </c>
      <c r="W79" s="3424">
        <f>W114/'17. Gross Capex '!Q25</f>
        <v>0</v>
      </c>
      <c r="X79" s="3347"/>
      <c r="Y79" s="3347"/>
      <c r="Z79" s="3347"/>
    </row>
    <row r="80" spans="1:34" s="3356" customFormat="1" ht="14.25">
      <c r="A80" s="3347"/>
      <c r="B80" s="4523" t="s">
        <v>531</v>
      </c>
      <c r="C80" s="4524"/>
      <c r="D80" s="4524"/>
      <c r="E80" s="4524"/>
      <c r="F80" s="4524"/>
      <c r="G80" s="4524"/>
      <c r="H80" s="4525"/>
      <c r="I80" s="3399">
        <v>1</v>
      </c>
      <c r="J80" s="3398">
        <v>1</v>
      </c>
      <c r="K80" s="3398">
        <v>1</v>
      </c>
      <c r="L80" s="3398">
        <v>1</v>
      </c>
      <c r="M80" s="3424">
        <v>1</v>
      </c>
      <c r="N80" s="3426" t="s">
        <v>944</v>
      </c>
      <c r="O80" s="3398">
        <v>0</v>
      </c>
      <c r="P80" s="3398">
        <v>0</v>
      </c>
      <c r="Q80" s="3398">
        <v>0</v>
      </c>
      <c r="R80" s="3424">
        <v>0</v>
      </c>
      <c r="S80" s="3426">
        <v>0</v>
      </c>
      <c r="T80" s="3398">
        <v>0</v>
      </c>
      <c r="U80" s="3398">
        <v>0</v>
      </c>
      <c r="V80" s="3398">
        <v>0</v>
      </c>
      <c r="W80" s="3424">
        <v>0</v>
      </c>
      <c r="X80" s="3347"/>
      <c r="Y80" s="3347"/>
      <c r="Z80" s="3347"/>
    </row>
    <row r="81" spans="1:34" s="3356" customFormat="1" ht="14.25">
      <c r="A81" s="3347"/>
      <c r="B81" s="4523" t="s">
        <v>276</v>
      </c>
      <c r="C81" s="4524"/>
      <c r="D81" s="4524"/>
      <c r="E81" s="4524"/>
      <c r="F81" s="4524"/>
      <c r="G81" s="4524"/>
      <c r="H81" s="4525"/>
      <c r="I81" s="3398">
        <v>1</v>
      </c>
      <c r="J81" s="3398">
        <v>1</v>
      </c>
      <c r="K81" s="3398">
        <v>1</v>
      </c>
      <c r="L81" s="3398">
        <v>1</v>
      </c>
      <c r="M81" s="3424">
        <v>1</v>
      </c>
      <c r="N81" s="3426" t="s">
        <v>944</v>
      </c>
      <c r="O81" s="3398">
        <f>O116/'17. Gross Capex '!I27</f>
        <v>0</v>
      </c>
      <c r="P81" s="3398">
        <f>P116/'17. Gross Capex '!J27</f>
        <v>0</v>
      </c>
      <c r="Q81" s="3398">
        <f>Q116/'17. Gross Capex '!K27</f>
        <v>0</v>
      </c>
      <c r="R81" s="3424">
        <f>R116/'17. Gross Capex '!L27</f>
        <v>0</v>
      </c>
      <c r="S81" s="3426">
        <f>S116/'17. Gross Capex '!M27</f>
        <v>0</v>
      </c>
      <c r="T81" s="3398">
        <f>T116/'17. Gross Capex '!N27</f>
        <v>0</v>
      </c>
      <c r="U81" s="3398">
        <f>U116/'17. Gross Capex '!O27</f>
        <v>0</v>
      </c>
      <c r="V81" s="3398">
        <f>V116/'17. Gross Capex '!P27</f>
        <v>0</v>
      </c>
      <c r="W81" s="3424">
        <f>W116/'17. Gross Capex '!Q27</f>
        <v>0</v>
      </c>
      <c r="X81" s="3347"/>
      <c r="Y81" s="3347"/>
      <c r="Z81" s="3347"/>
    </row>
    <row r="82" spans="1:34" s="3356" customFormat="1" ht="14.25">
      <c r="A82" s="3347"/>
      <c r="B82" s="4523" t="s">
        <v>1358</v>
      </c>
      <c r="C82" s="4524"/>
      <c r="D82" s="4524"/>
      <c r="E82" s="4524"/>
      <c r="F82" s="4524"/>
      <c r="G82" s="4524"/>
      <c r="H82" s="4525"/>
      <c r="I82" s="3398">
        <v>1</v>
      </c>
      <c r="J82" s="3398">
        <v>1</v>
      </c>
      <c r="K82" s="3398">
        <v>1</v>
      </c>
      <c r="L82" s="3398">
        <v>1</v>
      </c>
      <c r="M82" s="3424">
        <v>1</v>
      </c>
      <c r="N82" s="3426" t="s">
        <v>944</v>
      </c>
      <c r="O82" s="3398">
        <f>O117/'17. Gross Capex '!I28</f>
        <v>0</v>
      </c>
      <c r="P82" s="3398">
        <f>P117/'17. Gross Capex '!J28</f>
        <v>0</v>
      </c>
      <c r="Q82" s="3398">
        <f>Q117/'17. Gross Capex '!K28</f>
        <v>0</v>
      </c>
      <c r="R82" s="3424">
        <f>R117/'17. Gross Capex '!L28</f>
        <v>0</v>
      </c>
      <c r="S82" s="3426">
        <f>S117/'17. Gross Capex '!M28</f>
        <v>0</v>
      </c>
      <c r="T82" s="3398">
        <f>T117/'17. Gross Capex '!N28</f>
        <v>0</v>
      </c>
      <c r="U82" s="3398">
        <f>U117/'17. Gross Capex '!O28</f>
        <v>0</v>
      </c>
      <c r="V82" s="3398">
        <f>V117/'17. Gross Capex '!P28</f>
        <v>0</v>
      </c>
      <c r="W82" s="3424">
        <f>W117/'17. Gross Capex '!Q28</f>
        <v>0</v>
      </c>
      <c r="X82" s="3347"/>
      <c r="Y82" s="3347"/>
      <c r="Z82" s="3347"/>
    </row>
    <row r="83" spans="1:34" s="3356" customFormat="1" ht="14.25">
      <c r="A83" s="3347"/>
      <c r="B83" s="3401"/>
      <c r="C83" s="3402"/>
      <c r="D83" s="3402"/>
      <c r="E83" s="3402"/>
      <c r="F83" s="3402"/>
      <c r="G83" s="3402"/>
      <c r="H83" s="3403" t="s">
        <v>64</v>
      </c>
      <c r="I83" s="3399">
        <v>1</v>
      </c>
      <c r="J83" s="3398">
        <v>1</v>
      </c>
      <c r="K83" s="3398">
        <v>1</v>
      </c>
      <c r="L83" s="3398">
        <v>1</v>
      </c>
      <c r="M83" s="3424">
        <v>1</v>
      </c>
      <c r="N83" s="3426" t="s">
        <v>944</v>
      </c>
      <c r="O83" s="3398">
        <f>O118/'17. Gross Capex '!I29</f>
        <v>0</v>
      </c>
      <c r="P83" s="3398">
        <f>P118/'17. Gross Capex '!J29</f>
        <v>0</v>
      </c>
      <c r="Q83" s="3398">
        <f>Q118/'17. Gross Capex '!K29</f>
        <v>0</v>
      </c>
      <c r="R83" s="3424">
        <v>0</v>
      </c>
      <c r="S83" s="3426">
        <v>0</v>
      </c>
      <c r="T83" s="3398">
        <v>0</v>
      </c>
      <c r="U83" s="3398">
        <v>0</v>
      </c>
      <c r="V83" s="3398">
        <v>0</v>
      </c>
      <c r="W83" s="3424">
        <v>0</v>
      </c>
      <c r="X83" s="3347"/>
      <c r="Y83" s="3347"/>
      <c r="Z83" s="3347"/>
    </row>
    <row r="84" spans="1:34" s="3356" customFormat="1" ht="15" thickBot="1">
      <c r="A84" s="3347"/>
      <c r="B84" s="3401"/>
      <c r="C84" s="3402"/>
      <c r="D84" s="3402"/>
      <c r="E84" s="3402"/>
      <c r="F84" s="3402"/>
      <c r="G84" s="3402"/>
      <c r="H84" s="3403" t="s">
        <v>1359</v>
      </c>
      <c r="I84" s="3399">
        <v>1</v>
      </c>
      <c r="J84" s="3398">
        <v>1</v>
      </c>
      <c r="K84" s="3398">
        <v>1</v>
      </c>
      <c r="L84" s="3398">
        <v>1</v>
      </c>
      <c r="M84" s="3427">
        <v>1</v>
      </c>
      <c r="N84" s="3426" t="s">
        <v>944</v>
      </c>
      <c r="O84" s="3398">
        <v>0</v>
      </c>
      <c r="P84" s="3398">
        <v>0</v>
      </c>
      <c r="Q84" s="3398">
        <v>0</v>
      </c>
      <c r="R84" s="3427">
        <v>0</v>
      </c>
      <c r="S84" s="3426">
        <v>0</v>
      </c>
      <c r="T84" s="3398">
        <v>0</v>
      </c>
      <c r="U84" s="3398">
        <v>0</v>
      </c>
      <c r="V84" s="3398">
        <v>0</v>
      </c>
      <c r="W84" s="3427">
        <v>0</v>
      </c>
      <c r="X84" s="3347"/>
      <c r="Y84" s="3347"/>
      <c r="Z84" s="3347"/>
    </row>
    <row r="85" spans="1:34" s="3356" customFormat="1" ht="28.5" customHeight="1" thickBot="1">
      <c r="A85" s="3379"/>
      <c r="B85" s="4536" t="s">
        <v>127</v>
      </c>
      <c r="C85" s="4537"/>
      <c r="D85" s="4537"/>
      <c r="E85" s="4537"/>
      <c r="F85" s="4537"/>
      <c r="G85" s="4537"/>
      <c r="H85" s="4538"/>
      <c r="I85" s="3381"/>
      <c r="J85" s="3382"/>
      <c r="K85" s="3382"/>
      <c r="L85" s="3382"/>
      <c r="M85" s="3382"/>
      <c r="N85" s="3382"/>
      <c r="O85" s="3382"/>
      <c r="P85" s="3382"/>
      <c r="Q85" s="3382"/>
      <c r="R85" s="3382"/>
      <c r="S85" s="3382"/>
      <c r="T85" s="3382"/>
      <c r="U85" s="3382"/>
      <c r="V85" s="3382"/>
      <c r="W85" s="3383"/>
      <c r="X85" s="3347"/>
      <c r="Y85" s="3347"/>
      <c r="Z85" s="3347"/>
    </row>
    <row r="86" spans="1:34" ht="66" customHeight="1" thickBot="1">
      <c r="A86" s="709"/>
      <c r="H86" s="124"/>
      <c r="N86" s="125"/>
      <c r="X86" s="709"/>
      <c r="Y86" s="709"/>
      <c r="Z86" s="709"/>
    </row>
    <row r="87" spans="1:34" s="78" customFormat="1" ht="24.75" customHeight="1" thickBot="1">
      <c r="A87" s="299"/>
      <c r="B87" s="2867" t="s">
        <v>522</v>
      </c>
      <c r="C87" s="1373"/>
      <c r="D87" s="1373"/>
      <c r="E87" s="1373"/>
      <c r="F87" s="1373"/>
      <c r="G87" s="1373"/>
      <c r="H87" s="1373"/>
      <c r="I87" s="1373"/>
      <c r="J87" s="1373"/>
      <c r="K87" s="1373"/>
      <c r="L87" s="1373"/>
      <c r="M87" s="1373"/>
      <c r="N87" s="1373"/>
      <c r="O87" s="1373"/>
      <c r="P87" s="1373"/>
      <c r="Q87" s="1373"/>
      <c r="R87" s="1374"/>
      <c r="S87" s="299"/>
      <c r="T87" s="299"/>
      <c r="U87" s="299"/>
      <c r="V87" s="299"/>
      <c r="W87" s="299"/>
      <c r="Y87"/>
      <c r="Z87"/>
      <c r="AA87"/>
      <c r="AB87"/>
      <c r="AC87"/>
      <c r="AD87"/>
      <c r="AE87"/>
      <c r="AF87"/>
      <c r="AG87"/>
      <c r="AH87"/>
    </row>
    <row r="88" spans="1:34" ht="18.75" customHeight="1">
      <c r="A88" s="709"/>
      <c r="B88" s="1269"/>
      <c r="C88" s="1270"/>
      <c r="D88" s="1270"/>
      <c r="E88" s="1270"/>
      <c r="F88" s="1270"/>
      <c r="G88" s="1270"/>
      <c r="H88" s="1866"/>
      <c r="I88" s="4563" t="s">
        <v>36</v>
      </c>
      <c r="J88" s="4549"/>
      <c r="K88" s="4549"/>
      <c r="L88" s="4549"/>
      <c r="M88" s="4564"/>
      <c r="N88" s="4548" t="s">
        <v>37</v>
      </c>
      <c r="O88" s="4549"/>
      <c r="P88" s="4549"/>
      <c r="Q88" s="4549"/>
      <c r="R88" s="4550"/>
      <c r="S88" s="760"/>
      <c r="T88" s="760"/>
      <c r="U88" s="760"/>
      <c r="V88" s="760"/>
      <c r="W88" s="709"/>
      <c r="X88" s="709"/>
      <c r="Y88" s="709"/>
      <c r="Z88" s="709"/>
      <c r="AA88"/>
      <c r="AB88"/>
      <c r="AC88"/>
      <c r="AD88"/>
      <c r="AE88"/>
      <c r="AF88"/>
      <c r="AG88"/>
      <c r="AH88"/>
    </row>
    <row r="89" spans="1:34" ht="18.75" customHeight="1">
      <c r="A89" s="709"/>
      <c r="B89" s="1271"/>
      <c r="C89" s="1272"/>
      <c r="D89" s="1272"/>
      <c r="E89" s="1272"/>
      <c r="F89" s="1272"/>
      <c r="G89" s="1272"/>
      <c r="H89" s="1867"/>
      <c r="I89" s="4125" t="s">
        <v>118</v>
      </c>
      <c r="J89" s="4126"/>
      <c r="K89" s="4126"/>
      <c r="L89" s="4126"/>
      <c r="M89" s="4126"/>
      <c r="N89" s="4126"/>
      <c r="O89" s="4126"/>
      <c r="P89" s="4126"/>
      <c r="Q89" s="4126"/>
      <c r="R89" s="4169"/>
      <c r="S89" s="715"/>
      <c r="T89" s="715"/>
      <c r="U89" s="715"/>
      <c r="V89" s="715"/>
      <c r="W89" s="715"/>
      <c r="X89" s="709"/>
      <c r="Y89" s="709"/>
      <c r="Z89" s="709"/>
      <c r="AA89"/>
      <c r="AB89"/>
      <c r="AC89"/>
      <c r="AD89"/>
      <c r="AE89"/>
      <c r="AF89"/>
      <c r="AG89"/>
      <c r="AH89"/>
    </row>
    <row r="90" spans="1:34" ht="18.75" customHeight="1">
      <c r="A90" s="709"/>
      <c r="B90" s="1271"/>
      <c r="C90" s="1272"/>
      <c r="D90" s="1272"/>
      <c r="E90" s="1272"/>
      <c r="F90" s="1272"/>
      <c r="G90" s="1272"/>
      <c r="H90" s="1867"/>
      <c r="I90" s="4125" t="s">
        <v>76</v>
      </c>
      <c r="J90" s="4126"/>
      <c r="K90" s="4126"/>
      <c r="L90" s="4126"/>
      <c r="M90" s="4126"/>
      <c r="N90" s="4126"/>
      <c r="O90" s="4126"/>
      <c r="P90" s="4126"/>
      <c r="Q90" s="4126"/>
      <c r="R90" s="4169"/>
      <c r="S90" s="715"/>
      <c r="T90" s="715"/>
      <c r="U90" s="715"/>
      <c r="V90" s="715"/>
      <c r="W90" s="715"/>
      <c r="X90" s="709"/>
      <c r="Y90" s="709"/>
      <c r="Z90" s="709"/>
      <c r="AA90"/>
      <c r="AB90"/>
      <c r="AC90"/>
      <c r="AD90"/>
      <c r="AE90"/>
      <c r="AF90"/>
      <c r="AG90"/>
      <c r="AH90"/>
    </row>
    <row r="91" spans="1:34" ht="18.75" customHeight="1" thickBot="1">
      <c r="A91" s="709"/>
      <c r="B91" s="1271"/>
      <c r="C91" s="1272"/>
      <c r="D91" s="1272"/>
      <c r="E91" s="1272"/>
      <c r="F91" s="1272"/>
      <c r="G91" s="1272"/>
      <c r="H91" s="1867"/>
      <c r="I91" s="375">
        <f t="array" ref="I91:M91">PRCP</f>
        <v>2008</v>
      </c>
      <c r="J91" s="374">
        <v>2009</v>
      </c>
      <c r="K91" s="374">
        <v>2010</v>
      </c>
      <c r="L91" s="374">
        <v>2011</v>
      </c>
      <c r="M91" s="374">
        <v>2012</v>
      </c>
      <c r="N91" s="374">
        <f>CRCP_y1</f>
        <v>2013</v>
      </c>
      <c r="O91" s="374">
        <f>CRCP_y2</f>
        <v>2014</v>
      </c>
      <c r="P91" s="374">
        <f>CRCP_y3</f>
        <v>2015</v>
      </c>
      <c r="Q91" s="374">
        <f>CRCP_y4</f>
        <v>2016</v>
      </c>
      <c r="R91" s="470">
        <f>CRCP_y5</f>
        <v>2017</v>
      </c>
      <c r="S91" s="716"/>
      <c r="T91" s="716"/>
      <c r="U91" s="716"/>
      <c r="V91" s="716"/>
      <c r="W91" s="716"/>
      <c r="X91" s="709"/>
      <c r="Y91" s="709"/>
      <c r="Z91" s="709"/>
      <c r="AA91"/>
      <c r="AB91"/>
      <c r="AC91"/>
      <c r="AD91"/>
      <c r="AE91"/>
      <c r="AF91"/>
      <c r="AG91"/>
      <c r="AH91"/>
    </row>
    <row r="92" spans="1:34" ht="12.75" customHeight="1">
      <c r="A92" s="709"/>
      <c r="B92" s="4545" t="s">
        <v>1355</v>
      </c>
      <c r="C92" s="4546"/>
      <c r="D92" s="4546"/>
      <c r="E92" s="4546"/>
      <c r="F92" s="4546"/>
      <c r="G92" s="4546"/>
      <c r="H92" s="4547"/>
      <c r="I92" s="1602">
        <v>0</v>
      </c>
      <c r="J92" s="3761">
        <v>0</v>
      </c>
      <c r="K92" s="3761">
        <v>0</v>
      </c>
      <c r="L92" s="3761">
        <v>0</v>
      </c>
      <c r="M92" s="3762">
        <v>0</v>
      </c>
      <c r="N92" s="3763">
        <v>0</v>
      </c>
      <c r="O92" s="3764">
        <v>0</v>
      </c>
      <c r="P92" s="3764">
        <v>0</v>
      </c>
      <c r="Q92" s="3764">
        <v>0</v>
      </c>
      <c r="R92" s="3765">
        <v>0</v>
      </c>
      <c r="S92" s="717"/>
      <c r="T92" s="717"/>
      <c r="U92" s="717"/>
      <c r="V92" s="717"/>
      <c r="W92" s="717"/>
      <c r="X92" s="709"/>
      <c r="Y92" s="709"/>
      <c r="Z92" s="709"/>
      <c r="AA92"/>
      <c r="AB92"/>
      <c r="AC92"/>
      <c r="AD92"/>
      <c r="AE92"/>
      <c r="AF92"/>
      <c r="AG92"/>
      <c r="AH92"/>
    </row>
    <row r="93" spans="1:34" ht="14.25">
      <c r="A93" s="709"/>
      <c r="B93" s="4523" t="s">
        <v>359</v>
      </c>
      <c r="C93" s="4524"/>
      <c r="D93" s="4524"/>
      <c r="E93" s="4524"/>
      <c r="F93" s="4524"/>
      <c r="G93" s="4524"/>
      <c r="H93" s="4525"/>
      <c r="I93" s="499">
        <v>0</v>
      </c>
      <c r="J93" s="494">
        <v>0</v>
      </c>
      <c r="K93" s="494">
        <v>0</v>
      </c>
      <c r="L93" s="494">
        <v>0</v>
      </c>
      <c r="M93" s="507">
        <v>0</v>
      </c>
      <c r="N93" s="3766">
        <v>0</v>
      </c>
      <c r="O93" s="3767">
        <v>0</v>
      </c>
      <c r="P93" s="3767">
        <v>0</v>
      </c>
      <c r="Q93" s="3767">
        <v>0</v>
      </c>
      <c r="R93" s="3768">
        <v>0</v>
      </c>
      <c r="S93" s="717"/>
      <c r="T93" s="717"/>
      <c r="U93" s="717"/>
      <c r="V93" s="717"/>
      <c r="W93" s="717"/>
      <c r="X93" s="709"/>
      <c r="Y93" s="709"/>
      <c r="Z93" s="709"/>
      <c r="AA93"/>
      <c r="AB93"/>
      <c r="AC93"/>
      <c r="AD93"/>
      <c r="AE93"/>
      <c r="AF93"/>
      <c r="AG93"/>
      <c r="AH93"/>
    </row>
    <row r="94" spans="1:34" ht="14.25">
      <c r="A94" s="709"/>
      <c r="B94" s="4523" t="s">
        <v>1446</v>
      </c>
      <c r="C94" s="4524"/>
      <c r="D94" s="4524"/>
      <c r="E94" s="4524"/>
      <c r="F94" s="4524"/>
      <c r="G94" s="4524"/>
      <c r="H94" s="4525"/>
      <c r="I94" s="499">
        <v>0</v>
      </c>
      <c r="J94" s="494">
        <v>0</v>
      </c>
      <c r="K94" s="494">
        <v>0</v>
      </c>
      <c r="L94" s="494">
        <v>0</v>
      </c>
      <c r="M94" s="507">
        <v>0</v>
      </c>
      <c r="N94" s="3766">
        <v>0</v>
      </c>
      <c r="O94" s="3767">
        <v>0</v>
      </c>
      <c r="P94" s="3767">
        <v>0</v>
      </c>
      <c r="Q94" s="3767">
        <v>0</v>
      </c>
      <c r="R94" s="3768">
        <v>0</v>
      </c>
      <c r="S94" s="717"/>
      <c r="T94" s="717"/>
      <c r="U94" s="717"/>
      <c r="V94" s="717"/>
      <c r="W94" s="717"/>
      <c r="X94" s="709"/>
      <c r="Y94" s="709"/>
      <c r="Z94" s="709"/>
      <c r="AA94"/>
      <c r="AB94"/>
      <c r="AC94"/>
      <c r="AD94"/>
      <c r="AE94"/>
      <c r="AF94"/>
      <c r="AG94"/>
      <c r="AH94"/>
    </row>
    <row r="95" spans="1:34" ht="14.25">
      <c r="A95" s="709"/>
      <c r="B95" s="4523" t="s">
        <v>1447</v>
      </c>
      <c r="C95" s="4524"/>
      <c r="D95" s="4524"/>
      <c r="E95" s="4524"/>
      <c r="F95" s="4524"/>
      <c r="G95" s="4524"/>
      <c r="H95" s="4525"/>
      <c r="I95" s="499">
        <v>0</v>
      </c>
      <c r="J95" s="494">
        <v>0</v>
      </c>
      <c r="K95" s="494">
        <v>0</v>
      </c>
      <c r="L95" s="494">
        <v>0</v>
      </c>
      <c r="M95" s="507">
        <v>0</v>
      </c>
      <c r="N95" s="3766">
        <v>0</v>
      </c>
      <c r="O95" s="3767">
        <v>0</v>
      </c>
      <c r="P95" s="3767">
        <v>0</v>
      </c>
      <c r="Q95" s="3767">
        <v>0</v>
      </c>
      <c r="R95" s="3768">
        <v>0</v>
      </c>
      <c r="S95" s="717"/>
      <c r="T95" s="717"/>
      <c r="U95" s="717"/>
      <c r="V95" s="717"/>
      <c r="W95" s="717"/>
      <c r="X95" s="709"/>
      <c r="Y95" s="709"/>
      <c r="Z95" s="709"/>
      <c r="AA95" s="1266"/>
      <c r="AB95" s="1266"/>
      <c r="AC95" s="1266"/>
      <c r="AD95" s="1266"/>
      <c r="AE95" s="1266"/>
      <c r="AF95" s="1266"/>
      <c r="AG95" s="1266"/>
      <c r="AH95" s="1266"/>
    </row>
    <row r="96" spans="1:34" ht="14.25">
      <c r="A96" s="709"/>
      <c r="B96" s="4523" t="s">
        <v>63</v>
      </c>
      <c r="C96" s="4524"/>
      <c r="D96" s="4524"/>
      <c r="E96" s="4524"/>
      <c r="F96" s="4524"/>
      <c r="G96" s="4524"/>
      <c r="H96" s="4525"/>
      <c r="I96" s="499">
        <v>0</v>
      </c>
      <c r="J96" s="494">
        <v>0</v>
      </c>
      <c r="K96" s="494">
        <v>0</v>
      </c>
      <c r="L96" s="494">
        <v>0</v>
      </c>
      <c r="M96" s="507">
        <v>0</v>
      </c>
      <c r="N96" s="3766">
        <v>0</v>
      </c>
      <c r="O96" s="3767">
        <v>0</v>
      </c>
      <c r="P96" s="3767">
        <v>0</v>
      </c>
      <c r="Q96" s="3767">
        <v>0</v>
      </c>
      <c r="R96" s="3768">
        <v>0</v>
      </c>
      <c r="S96" s="717"/>
      <c r="T96" s="717"/>
      <c r="U96" s="717"/>
      <c r="V96" s="717"/>
      <c r="W96" s="717"/>
      <c r="X96" s="709"/>
      <c r="Y96" s="709"/>
      <c r="Z96" s="709"/>
      <c r="AA96" s="1266"/>
      <c r="AB96" s="1266"/>
      <c r="AC96" s="1266"/>
      <c r="AD96" s="1266"/>
      <c r="AE96" s="1266"/>
      <c r="AF96" s="1266"/>
      <c r="AG96" s="1266"/>
      <c r="AH96" s="1266"/>
    </row>
    <row r="97" spans="1:34" ht="14.25">
      <c r="A97" s="709"/>
      <c r="B97" s="4523" t="s">
        <v>531</v>
      </c>
      <c r="C97" s="4524"/>
      <c r="D97" s="4524"/>
      <c r="E97" s="4524"/>
      <c r="F97" s="4524"/>
      <c r="G97" s="4524"/>
      <c r="H97" s="4525"/>
      <c r="I97" s="499">
        <v>0</v>
      </c>
      <c r="J97" s="494">
        <v>0</v>
      </c>
      <c r="K97" s="494">
        <v>0</v>
      </c>
      <c r="L97" s="494">
        <v>0</v>
      </c>
      <c r="M97" s="507">
        <v>0</v>
      </c>
      <c r="N97" s="3766">
        <v>0</v>
      </c>
      <c r="O97" s="3767">
        <v>0</v>
      </c>
      <c r="P97" s="3767">
        <v>0</v>
      </c>
      <c r="Q97" s="3767">
        <v>0</v>
      </c>
      <c r="R97" s="3768">
        <v>0</v>
      </c>
      <c r="S97" s="717"/>
      <c r="T97" s="717"/>
      <c r="U97" s="717"/>
      <c r="V97" s="717"/>
      <c r="W97" s="717"/>
      <c r="X97" s="709"/>
      <c r="Y97" s="709"/>
      <c r="Z97" s="709"/>
      <c r="AA97"/>
      <c r="AB97"/>
      <c r="AC97"/>
      <c r="AD97"/>
      <c r="AE97"/>
      <c r="AF97"/>
      <c r="AG97"/>
      <c r="AH97"/>
    </row>
    <row r="98" spans="1:34" ht="14.25">
      <c r="A98" s="709"/>
      <c r="B98" s="4523" t="s">
        <v>276</v>
      </c>
      <c r="C98" s="4524"/>
      <c r="D98" s="4524"/>
      <c r="E98" s="4524"/>
      <c r="F98" s="4524"/>
      <c r="G98" s="4524"/>
      <c r="H98" s="4525"/>
      <c r="I98" s="499">
        <v>0</v>
      </c>
      <c r="J98" s="494">
        <v>0</v>
      </c>
      <c r="K98" s="494">
        <v>0</v>
      </c>
      <c r="L98" s="494">
        <v>0</v>
      </c>
      <c r="M98" s="507">
        <v>0</v>
      </c>
      <c r="N98" s="3766">
        <v>0</v>
      </c>
      <c r="O98" s="3767">
        <v>0</v>
      </c>
      <c r="P98" s="3767">
        <v>0</v>
      </c>
      <c r="Q98" s="3767">
        <v>0</v>
      </c>
      <c r="R98" s="3768">
        <v>0</v>
      </c>
      <c r="S98" s="717"/>
      <c r="T98" s="717"/>
      <c r="U98" s="717"/>
      <c r="V98" s="717"/>
      <c r="W98" s="717"/>
      <c r="X98" s="709"/>
      <c r="Y98" s="709"/>
      <c r="Z98" s="709"/>
      <c r="AA98"/>
      <c r="AB98"/>
      <c r="AC98"/>
      <c r="AD98"/>
      <c r="AE98"/>
      <c r="AF98"/>
      <c r="AG98"/>
      <c r="AH98"/>
    </row>
    <row r="99" spans="1:34" ht="14.25">
      <c r="A99" s="709"/>
      <c r="B99" s="4523" t="s">
        <v>1358</v>
      </c>
      <c r="C99" s="4524"/>
      <c r="D99" s="4524"/>
      <c r="E99" s="4524"/>
      <c r="F99" s="4524"/>
      <c r="G99" s="4524"/>
      <c r="H99" s="4525"/>
      <c r="I99" s="499">
        <v>0</v>
      </c>
      <c r="J99" s="494">
        <v>0</v>
      </c>
      <c r="K99" s="494">
        <v>0</v>
      </c>
      <c r="L99" s="494">
        <v>0</v>
      </c>
      <c r="M99" s="507">
        <v>0</v>
      </c>
      <c r="N99" s="3766">
        <v>0</v>
      </c>
      <c r="O99" s="3767">
        <v>0</v>
      </c>
      <c r="P99" s="3767">
        <v>0</v>
      </c>
      <c r="Q99" s="3767">
        <v>0</v>
      </c>
      <c r="R99" s="3768">
        <v>0</v>
      </c>
      <c r="S99" s="717"/>
      <c r="T99" s="717"/>
      <c r="U99" s="717"/>
      <c r="V99" s="717"/>
      <c r="W99" s="717"/>
      <c r="X99" s="709"/>
      <c r="Y99" s="709"/>
      <c r="Z99" s="709"/>
      <c r="AA99" s="1266"/>
      <c r="AB99" s="1266"/>
      <c r="AC99" s="1266"/>
      <c r="AD99" s="1266"/>
      <c r="AE99" s="1266"/>
      <c r="AF99" s="1266"/>
      <c r="AG99" s="1266"/>
      <c r="AH99" s="1266"/>
    </row>
    <row r="100" spans="1:34" ht="14.25">
      <c r="A100" s="709"/>
      <c r="B100" s="3401"/>
      <c r="C100" s="3402"/>
      <c r="D100" s="3402"/>
      <c r="E100" s="3402"/>
      <c r="F100" s="3402"/>
      <c r="G100" s="3402"/>
      <c r="H100" s="3403" t="s">
        <v>64</v>
      </c>
      <c r="I100" s="499">
        <v>0</v>
      </c>
      <c r="J100" s="494">
        <v>0</v>
      </c>
      <c r="K100" s="494">
        <v>0</v>
      </c>
      <c r="L100" s="494">
        <v>0</v>
      </c>
      <c r="M100" s="507">
        <v>0</v>
      </c>
      <c r="N100" s="3766">
        <v>0</v>
      </c>
      <c r="O100" s="3767">
        <v>0</v>
      </c>
      <c r="P100" s="3767">
        <v>0</v>
      </c>
      <c r="Q100" s="3767">
        <v>0</v>
      </c>
      <c r="R100" s="3768">
        <v>0</v>
      </c>
      <c r="S100" s="717"/>
      <c r="T100" s="717"/>
      <c r="U100" s="717"/>
      <c r="V100" s="717"/>
      <c r="W100" s="717"/>
      <c r="X100" s="709"/>
      <c r="Y100" s="709"/>
      <c r="Z100" s="709"/>
      <c r="AA100"/>
      <c r="AB100"/>
      <c r="AC100"/>
      <c r="AD100"/>
      <c r="AE100"/>
      <c r="AF100"/>
      <c r="AG100"/>
      <c r="AH100"/>
    </row>
    <row r="101" spans="1:34" ht="15" thickBot="1">
      <c r="A101" s="709"/>
      <c r="B101" s="3401"/>
      <c r="C101" s="3402"/>
      <c r="D101" s="3402"/>
      <c r="E101" s="3402"/>
      <c r="F101" s="3402"/>
      <c r="G101" s="3402"/>
      <c r="H101" s="3403" t="s">
        <v>1359</v>
      </c>
      <c r="I101" s="499">
        <v>0</v>
      </c>
      <c r="J101" s="494">
        <v>0</v>
      </c>
      <c r="K101" s="494">
        <v>0</v>
      </c>
      <c r="L101" s="494">
        <v>0</v>
      </c>
      <c r="M101" s="507">
        <v>0</v>
      </c>
      <c r="N101" s="3766">
        <v>0</v>
      </c>
      <c r="O101" s="3767">
        <v>0</v>
      </c>
      <c r="P101" s="3767">
        <v>0</v>
      </c>
      <c r="Q101" s="3767">
        <v>0</v>
      </c>
      <c r="R101" s="3768">
        <v>0</v>
      </c>
      <c r="S101" s="717"/>
      <c r="T101" s="717"/>
      <c r="U101" s="717"/>
      <c r="V101" s="717"/>
      <c r="W101" s="717"/>
      <c r="X101" s="709"/>
      <c r="Y101" s="709"/>
      <c r="Z101" s="709"/>
      <c r="AA101"/>
      <c r="AB101"/>
      <c r="AC101"/>
      <c r="AD101"/>
      <c r="AE101"/>
      <c r="AF101"/>
      <c r="AG101"/>
      <c r="AH101"/>
    </row>
    <row r="102" spans="1:34" s="1558" customFormat="1" ht="13.5" thickBot="1">
      <c r="A102" s="1557"/>
      <c r="B102" s="4542" t="s">
        <v>65</v>
      </c>
      <c r="C102" s="4543"/>
      <c r="D102" s="4543"/>
      <c r="E102" s="4543"/>
      <c r="F102" s="4543"/>
      <c r="G102" s="4543"/>
      <c r="H102" s="4544"/>
      <c r="I102" s="3769">
        <v>0</v>
      </c>
      <c r="J102" s="3770">
        <v>0</v>
      </c>
      <c r="K102" s="3770">
        <v>0</v>
      </c>
      <c r="L102" s="3770">
        <v>0</v>
      </c>
      <c r="M102" s="3771">
        <v>0</v>
      </c>
      <c r="N102" s="3772">
        <v>0</v>
      </c>
      <c r="O102" s="3773">
        <v>0</v>
      </c>
      <c r="P102" s="3773">
        <v>0</v>
      </c>
      <c r="Q102" s="3773">
        <v>0</v>
      </c>
      <c r="R102" s="3774">
        <v>0</v>
      </c>
      <c r="S102" s="1559"/>
      <c r="T102" s="1559"/>
      <c r="U102" s="1559"/>
      <c r="V102" s="1559"/>
      <c r="W102" s="1559"/>
      <c r="X102" s="1557"/>
      <c r="Y102" s="1557"/>
      <c r="Z102" s="1557"/>
      <c r="AA102"/>
      <c r="AB102"/>
      <c r="AC102"/>
      <c r="AD102"/>
      <c r="AE102"/>
      <c r="AF102"/>
      <c r="AG102"/>
      <c r="AH102"/>
    </row>
    <row r="103" spans="1:34" s="69" customFormat="1" ht="28.5" customHeight="1" thickBot="1">
      <c r="A103" s="348"/>
      <c r="B103" s="4536" t="s">
        <v>127</v>
      </c>
      <c r="C103" s="4537"/>
      <c r="D103" s="4537"/>
      <c r="E103" s="4537"/>
      <c r="F103" s="4537"/>
      <c r="G103" s="4537"/>
      <c r="H103" s="4538"/>
      <c r="I103" s="3775" t="s">
        <v>1693</v>
      </c>
      <c r="J103" s="301"/>
      <c r="K103" s="301"/>
      <c r="L103" s="301"/>
      <c r="M103" s="301"/>
      <c r="N103" s="301"/>
      <c r="O103" s="301"/>
      <c r="P103" s="301"/>
      <c r="Q103" s="301"/>
      <c r="R103" s="436"/>
      <c r="S103" s="282"/>
      <c r="T103" s="282"/>
      <c r="U103" s="282"/>
      <c r="V103" s="282"/>
      <c r="W103" s="282"/>
      <c r="X103" s="282"/>
      <c r="Y103" s="282"/>
      <c r="Z103" s="282"/>
      <c r="AA103"/>
      <c r="AB103"/>
      <c r="AC103"/>
      <c r="AD103"/>
      <c r="AE103"/>
      <c r="AF103"/>
      <c r="AG103"/>
      <c r="AH103"/>
    </row>
    <row r="104" spans="1:34" ht="60" customHeight="1" thickBot="1">
      <c r="A104" s="709"/>
      <c r="B104" s="709"/>
      <c r="C104" s="709"/>
      <c r="D104" s="709"/>
      <c r="E104" s="709"/>
      <c r="F104" s="709"/>
      <c r="G104" s="709"/>
      <c r="H104" s="709"/>
      <c r="I104" s="709"/>
      <c r="J104" s="709"/>
      <c r="K104" s="709"/>
      <c r="L104" s="709"/>
      <c r="M104" s="709"/>
      <c r="N104" s="712"/>
      <c r="O104" s="709"/>
      <c r="P104" s="709"/>
      <c r="Q104" s="709"/>
      <c r="R104" s="709"/>
      <c r="S104" s="718"/>
      <c r="T104" s="718"/>
      <c r="U104" s="718"/>
      <c r="V104" s="718"/>
      <c r="W104" s="709"/>
      <c r="X104" s="709"/>
      <c r="Y104" s="709"/>
      <c r="Z104" s="709"/>
      <c r="AA104" s="709"/>
      <c r="AB104" s="709"/>
      <c r="AC104" s="709"/>
      <c r="AD104" s="709"/>
      <c r="AE104" s="709"/>
      <c r="AF104" s="712"/>
      <c r="AG104" s="709"/>
      <c r="AH104" s="709"/>
    </row>
    <row r="105" spans="1:34" s="78" customFormat="1" ht="24.75" customHeight="1" thickBot="1">
      <c r="A105" s="299"/>
      <c r="B105" s="1372" t="s">
        <v>523</v>
      </c>
      <c r="C105" s="1373"/>
      <c r="D105" s="1373"/>
      <c r="E105" s="1373"/>
      <c r="F105" s="1373"/>
      <c r="G105" s="1373"/>
      <c r="H105" s="1373"/>
      <c r="I105" s="1373"/>
      <c r="J105" s="1373"/>
      <c r="K105" s="1373"/>
      <c r="L105" s="1373"/>
      <c r="M105" s="1373"/>
      <c r="N105" s="1373"/>
      <c r="O105" s="1373"/>
      <c r="P105" s="1373"/>
      <c r="Q105" s="1373"/>
      <c r="R105" s="1373"/>
      <c r="S105" s="1373"/>
      <c r="T105" s="1373"/>
      <c r="U105" s="1373"/>
      <c r="V105" s="1373"/>
      <c r="W105" s="1374"/>
      <c r="X105" s="299"/>
      <c r="Y105" s="299"/>
      <c r="Z105" s="299"/>
      <c r="AA105" s="1372"/>
      <c r="AB105" s="1373"/>
      <c r="AC105" s="1373"/>
      <c r="AD105" s="1373"/>
      <c r="AE105" s="1373"/>
      <c r="AF105" s="1373"/>
      <c r="AG105" s="1373"/>
      <c r="AH105" s="1374"/>
    </row>
    <row r="106" spans="1:34" ht="15.75" customHeight="1">
      <c r="A106" s="709"/>
      <c r="B106" s="1269"/>
      <c r="C106" s="1270"/>
      <c r="D106" s="1270"/>
      <c r="E106" s="1270"/>
      <c r="F106" s="1270"/>
      <c r="G106" s="1270"/>
      <c r="H106" s="1866"/>
      <c r="I106" s="4186" t="s">
        <v>36</v>
      </c>
      <c r="J106" s="4137"/>
      <c r="K106" s="4137"/>
      <c r="L106" s="4137"/>
      <c r="M106" s="4137"/>
      <c r="N106" s="4187" t="s">
        <v>37</v>
      </c>
      <c r="O106" s="4188"/>
      <c r="P106" s="4188"/>
      <c r="Q106" s="4188"/>
      <c r="R106" s="4188"/>
      <c r="S106" s="4105" t="s">
        <v>75</v>
      </c>
      <c r="T106" s="4105"/>
      <c r="U106" s="4105"/>
      <c r="V106" s="4105"/>
      <c r="W106" s="4229"/>
      <c r="X106" s="709"/>
      <c r="Y106" s="709"/>
      <c r="Z106" s="709"/>
      <c r="AA106" s="4186" t="s">
        <v>36</v>
      </c>
      <c r="AB106" s="4137"/>
      <c r="AC106" s="4137"/>
      <c r="AD106" s="4137"/>
      <c r="AE106" s="4137"/>
      <c r="AF106" s="4187" t="s">
        <v>37</v>
      </c>
      <c r="AG106" s="4188"/>
      <c r="AH106" s="4189"/>
    </row>
    <row r="107" spans="1:34" ht="15" customHeight="1">
      <c r="A107" s="709"/>
      <c r="B107" s="1271"/>
      <c r="C107" s="1272"/>
      <c r="D107" s="1272"/>
      <c r="E107" s="1272"/>
      <c r="F107" s="1272"/>
      <c r="G107" s="1272"/>
      <c r="H107" s="1867"/>
      <c r="I107" s="4125" t="s">
        <v>569</v>
      </c>
      <c r="J107" s="4126"/>
      <c r="K107" s="4126"/>
      <c r="L107" s="4126"/>
      <c r="M107" s="4126"/>
      <c r="N107" s="4126"/>
      <c r="O107" s="4126"/>
      <c r="P107" s="4127"/>
      <c r="Q107" s="4128" t="str">
        <f>CONCATENATE("$0's, real ",dms_DollarReal)</f>
        <v>$0's, real December 2017</v>
      </c>
      <c r="R107" s="4129"/>
      <c r="S107" s="4129"/>
      <c r="T107" s="4129"/>
      <c r="U107" s="4129"/>
      <c r="V107" s="4129"/>
      <c r="W107" s="4130"/>
      <c r="X107" s="709"/>
      <c r="Y107" s="709"/>
      <c r="Z107" s="709"/>
      <c r="AA107" s="4125" t="s">
        <v>569</v>
      </c>
      <c r="AB107" s="4126"/>
      <c r="AC107" s="4126"/>
      <c r="AD107" s="4126"/>
      <c r="AE107" s="4126"/>
      <c r="AF107" s="4126"/>
      <c r="AG107" s="4126"/>
      <c r="AH107" s="4169"/>
    </row>
    <row r="108" spans="1:34" ht="15">
      <c r="A108" s="709"/>
      <c r="B108" s="1271"/>
      <c r="C108" s="1272"/>
      <c r="D108" s="1272"/>
      <c r="E108" s="1272"/>
      <c r="F108" s="1272"/>
      <c r="G108" s="1272"/>
      <c r="H108" s="1867"/>
      <c r="I108" s="4125" t="s">
        <v>56</v>
      </c>
      <c r="J108" s="4126"/>
      <c r="K108" s="4126"/>
      <c r="L108" s="4126"/>
      <c r="M108" s="4126"/>
      <c r="N108" s="4126"/>
      <c r="O108" s="4126"/>
      <c r="P108" s="4127"/>
      <c r="Q108" s="4128" t="s">
        <v>57</v>
      </c>
      <c r="R108" s="4129"/>
      <c r="S108" s="4129"/>
      <c r="T108" s="4129"/>
      <c r="U108" s="4129"/>
      <c r="V108" s="4129"/>
      <c r="W108" s="4130"/>
      <c r="X108" s="709"/>
      <c r="Y108" s="709"/>
      <c r="Z108" s="709"/>
      <c r="AA108" s="4125" t="s">
        <v>56</v>
      </c>
      <c r="AB108" s="4126"/>
      <c r="AC108" s="4126"/>
      <c r="AD108" s="4126"/>
      <c r="AE108" s="4126"/>
      <c r="AF108" s="4126"/>
      <c r="AG108" s="4126"/>
      <c r="AH108" s="4169"/>
    </row>
    <row r="109" spans="1:34" ht="25.5" customHeight="1" thickBot="1">
      <c r="A109" s="709"/>
      <c r="B109" s="1271"/>
      <c r="C109" s="1272"/>
      <c r="D109" s="1272"/>
      <c r="E109" s="1272"/>
      <c r="F109" s="1272"/>
      <c r="G109" s="1272"/>
      <c r="H109" s="1867"/>
      <c r="I109" s="1521">
        <f t="array" ref="I109:M109">PRCP</f>
        <v>2008</v>
      </c>
      <c r="J109" s="374">
        <v>2009</v>
      </c>
      <c r="K109" s="374">
        <v>2010</v>
      </c>
      <c r="L109" s="374">
        <v>2011</v>
      </c>
      <c r="M109" s="374">
        <v>2012</v>
      </c>
      <c r="N109" s="376">
        <f>CRCP_y1</f>
        <v>2013</v>
      </c>
      <c r="O109" s="376">
        <f>CRCP_y2</f>
        <v>2014</v>
      </c>
      <c r="P109" s="376">
        <f>CRCP_y3</f>
        <v>2015</v>
      </c>
      <c r="Q109" s="376">
        <f>CRCP_y4</f>
        <v>2016</v>
      </c>
      <c r="R109" s="376">
        <f>CRCP_y5</f>
        <v>2017</v>
      </c>
      <c r="S109" s="374" t="str">
        <f t="array" ref="S109:W109">FRCP</f>
        <v>2018</v>
      </c>
      <c r="T109" s="374">
        <v>2019</v>
      </c>
      <c r="U109" s="374">
        <v>2020</v>
      </c>
      <c r="V109" s="374">
        <v>2021</v>
      </c>
      <c r="W109" s="470">
        <v>2022</v>
      </c>
      <c r="X109" s="709"/>
      <c r="Y109" s="709"/>
      <c r="Z109" s="709"/>
      <c r="AA109" s="1521">
        <f t="array" ref="AA109:AE109">PRCP</f>
        <v>2008</v>
      </c>
      <c r="AB109" s="374">
        <v>2009</v>
      </c>
      <c r="AC109" s="374">
        <v>2010</v>
      </c>
      <c r="AD109" s="374">
        <v>2011</v>
      </c>
      <c r="AE109" s="374">
        <v>2012</v>
      </c>
      <c r="AF109" s="376">
        <f>CRCP_y1</f>
        <v>2013</v>
      </c>
      <c r="AG109" s="376">
        <f>CRCP_y2</f>
        <v>2014</v>
      </c>
      <c r="AH109" s="568">
        <f>CRCP_y3</f>
        <v>2015</v>
      </c>
    </row>
    <row r="110" spans="1:34" s="3356" customFormat="1" ht="14.25">
      <c r="A110" s="3347"/>
      <c r="B110" s="4545" t="s">
        <v>1355</v>
      </c>
      <c r="C110" s="4546"/>
      <c r="D110" s="4546"/>
      <c r="E110" s="4546"/>
      <c r="F110" s="4546"/>
      <c r="G110" s="4546"/>
      <c r="H110" s="4547"/>
      <c r="I110" s="3393">
        <f>'17. Gross Capex '!C21</f>
        <v>20478000</v>
      </c>
      <c r="J110" s="3394">
        <f>'17. Gross Capex '!D21</f>
        <v>18493589.500000007</v>
      </c>
      <c r="K110" s="3404">
        <f>'17. Gross Capex '!E21</f>
        <v>15890149.49</v>
      </c>
      <c r="L110" s="3404">
        <f>'17. Gross Capex '!F21</f>
        <v>20818757.449999992</v>
      </c>
      <c r="M110" s="3405">
        <f>'17. Gross Capex '!G21</f>
        <v>28973448.02</v>
      </c>
      <c r="N110" s="3393" t="s">
        <v>944</v>
      </c>
      <c r="O110" s="3394">
        <v>0</v>
      </c>
      <c r="P110" s="3394">
        <v>0</v>
      </c>
      <c r="Q110" s="3394">
        <v>0</v>
      </c>
      <c r="R110" s="3394">
        <v>0</v>
      </c>
      <c r="S110" s="3393">
        <v>0</v>
      </c>
      <c r="T110" s="3394">
        <v>0</v>
      </c>
      <c r="U110" s="3394">
        <v>0</v>
      </c>
      <c r="V110" s="3394">
        <v>0</v>
      </c>
      <c r="W110" s="3395">
        <v>0</v>
      </c>
      <c r="X110" s="3347"/>
      <c r="Y110" s="3347"/>
      <c r="Z110" s="3347"/>
      <c r="AA110" s="3406"/>
      <c r="AB110" s="3407"/>
      <c r="AC110" s="3407"/>
      <c r="AD110" s="3407"/>
      <c r="AE110" s="3408"/>
      <c r="AF110" s="3406"/>
      <c r="AG110" s="3407"/>
      <c r="AH110" s="3408"/>
    </row>
    <row r="111" spans="1:34" s="3356" customFormat="1" ht="14.25">
      <c r="A111" s="3347"/>
      <c r="B111" s="4523" t="s">
        <v>359</v>
      </c>
      <c r="C111" s="4524"/>
      <c r="D111" s="4524"/>
      <c r="E111" s="4524"/>
      <c r="F111" s="4524"/>
      <c r="G111" s="4524"/>
      <c r="H111" s="4525"/>
      <c r="I111" s="3396">
        <f>'17. Gross Capex '!C22</f>
        <v>7656000</v>
      </c>
      <c r="J111" s="3397">
        <f>'17. Gross Capex '!D22</f>
        <v>9380880.7869999986</v>
      </c>
      <c r="K111" s="3409">
        <f>'17. Gross Capex '!E22</f>
        <v>9201985.9900000095</v>
      </c>
      <c r="L111" s="3409">
        <f>'17. Gross Capex '!F22</f>
        <v>10262955.649999991</v>
      </c>
      <c r="M111" s="3410">
        <f>'17. Gross Capex '!G22</f>
        <v>11286695.009999981</v>
      </c>
      <c r="N111" s="3396" t="s">
        <v>944</v>
      </c>
      <c r="O111" s="3397">
        <v>0</v>
      </c>
      <c r="P111" s="3397">
        <v>0</v>
      </c>
      <c r="Q111" s="3397">
        <v>0</v>
      </c>
      <c r="R111" s="3397">
        <v>0</v>
      </c>
      <c r="S111" s="3396">
        <v>0</v>
      </c>
      <c r="T111" s="3397">
        <v>0</v>
      </c>
      <c r="U111" s="3397">
        <v>0</v>
      </c>
      <c r="V111" s="3397">
        <v>0</v>
      </c>
      <c r="W111" s="3400">
        <v>0</v>
      </c>
      <c r="X111" s="3347"/>
      <c r="Y111" s="3347"/>
      <c r="Z111" s="3347"/>
      <c r="AA111" s="3411"/>
      <c r="AB111" s="3412"/>
      <c r="AC111" s="3412"/>
      <c r="AD111" s="3412"/>
      <c r="AE111" s="3413"/>
      <c r="AF111" s="3411"/>
      <c r="AG111" s="3412"/>
      <c r="AH111" s="3413"/>
    </row>
    <row r="112" spans="1:34" s="3356" customFormat="1" ht="14.25">
      <c r="A112" s="3347"/>
      <c r="B112" s="4523" t="s">
        <v>1446</v>
      </c>
      <c r="C112" s="4524"/>
      <c r="D112" s="4524"/>
      <c r="E112" s="4524"/>
      <c r="F112" s="4524"/>
      <c r="G112" s="4524"/>
      <c r="H112" s="4525"/>
      <c r="I112" s="3396">
        <f>'17. Gross Capex '!C23</f>
        <v>105640.65</v>
      </c>
      <c r="J112" s="3397">
        <f>'17. Gross Capex '!D23</f>
        <v>171702.81</v>
      </c>
      <c r="K112" s="3409">
        <f>'17. Gross Capex '!E23</f>
        <v>62424.95</v>
      </c>
      <c r="L112" s="3409">
        <f>'17. Gross Capex '!F23</f>
        <v>123092.04000000001</v>
      </c>
      <c r="M112" s="3410">
        <f>'17. Gross Capex '!G23</f>
        <v>46795.240000000005</v>
      </c>
      <c r="N112" s="3396" t="s">
        <v>944</v>
      </c>
      <c r="O112" s="3397">
        <v>0</v>
      </c>
      <c r="P112" s="3397">
        <v>0</v>
      </c>
      <c r="Q112" s="3397">
        <v>0</v>
      </c>
      <c r="R112" s="3397">
        <v>0</v>
      </c>
      <c r="S112" s="3396">
        <v>0</v>
      </c>
      <c r="T112" s="3397">
        <v>0</v>
      </c>
      <c r="U112" s="3397">
        <v>0</v>
      </c>
      <c r="V112" s="3397">
        <v>0</v>
      </c>
      <c r="W112" s="3400">
        <v>0</v>
      </c>
      <c r="X112" s="3347"/>
      <c r="Y112" s="3347"/>
      <c r="Z112" s="3347"/>
      <c r="AA112" s="3411"/>
      <c r="AB112" s="3412"/>
      <c r="AC112" s="3412"/>
      <c r="AD112" s="3412"/>
      <c r="AE112" s="3413"/>
      <c r="AF112" s="3411"/>
      <c r="AG112" s="3412"/>
      <c r="AH112" s="3413"/>
    </row>
    <row r="113" spans="1:40" s="3356" customFormat="1" ht="14.25">
      <c r="A113" s="3347"/>
      <c r="B113" s="4523" t="s">
        <v>1447</v>
      </c>
      <c r="C113" s="4524"/>
      <c r="D113" s="4524"/>
      <c r="E113" s="4524"/>
      <c r="F113" s="4524"/>
      <c r="G113" s="4524"/>
      <c r="H113" s="4525"/>
      <c r="I113" s="3396">
        <f>'17. Gross Capex '!C24</f>
        <v>2396881.4299999997</v>
      </c>
      <c r="J113" s="3397">
        <f>'17. Gross Capex '!D24</f>
        <v>1486740.14</v>
      </c>
      <c r="K113" s="3409">
        <f>'17. Gross Capex '!E24</f>
        <v>923339.71</v>
      </c>
      <c r="L113" s="3409">
        <f>'17. Gross Capex '!F24</f>
        <v>1087230.5899999994</v>
      </c>
      <c r="M113" s="3410">
        <f>'17. Gross Capex '!G24</f>
        <v>914532.23999999987</v>
      </c>
      <c r="N113" s="3396" t="s">
        <v>944</v>
      </c>
      <c r="O113" s="3397">
        <v>0</v>
      </c>
      <c r="P113" s="3397">
        <v>0</v>
      </c>
      <c r="Q113" s="3397">
        <v>0</v>
      </c>
      <c r="R113" s="3397">
        <v>0</v>
      </c>
      <c r="S113" s="3396">
        <v>0</v>
      </c>
      <c r="T113" s="3397">
        <v>0</v>
      </c>
      <c r="U113" s="3397">
        <v>0</v>
      </c>
      <c r="V113" s="3397">
        <v>0</v>
      </c>
      <c r="W113" s="3400">
        <v>0</v>
      </c>
      <c r="X113" s="3347"/>
      <c r="Y113" s="3347"/>
      <c r="Z113" s="3347"/>
      <c r="AA113" s="3411"/>
      <c r="AB113" s="3412"/>
      <c r="AC113" s="3412"/>
      <c r="AD113" s="3412"/>
      <c r="AE113" s="3413"/>
      <c r="AF113" s="3411"/>
      <c r="AG113" s="3412"/>
      <c r="AH113" s="3413"/>
    </row>
    <row r="114" spans="1:40" s="3356" customFormat="1" ht="14.25">
      <c r="A114" s="3347"/>
      <c r="B114" s="4523" t="s">
        <v>63</v>
      </c>
      <c r="C114" s="4524"/>
      <c r="D114" s="4524"/>
      <c r="E114" s="4524"/>
      <c r="F114" s="4524"/>
      <c r="G114" s="4524"/>
      <c r="H114" s="4525"/>
      <c r="I114" s="3396">
        <f>'17. Gross Capex '!C25</f>
        <v>2778000</v>
      </c>
      <c r="J114" s="3397">
        <f>'17. Gross Capex '!D25</f>
        <v>3318000</v>
      </c>
      <c r="K114" s="3409">
        <f>'17. Gross Capex '!E25</f>
        <v>3720396.89</v>
      </c>
      <c r="L114" s="3409">
        <f>'17. Gross Capex '!F25</f>
        <v>4169376.7199999993</v>
      </c>
      <c r="M114" s="3410">
        <f>'17. Gross Capex '!G25</f>
        <v>3773103.92</v>
      </c>
      <c r="N114" s="3396" t="s">
        <v>944</v>
      </c>
      <c r="O114" s="3397">
        <v>0</v>
      </c>
      <c r="P114" s="3397">
        <v>0</v>
      </c>
      <c r="Q114" s="3397">
        <v>0</v>
      </c>
      <c r="R114" s="3397">
        <v>0</v>
      </c>
      <c r="S114" s="3396">
        <v>0</v>
      </c>
      <c r="T114" s="3397">
        <v>0</v>
      </c>
      <c r="U114" s="3397">
        <v>0</v>
      </c>
      <c r="V114" s="3397">
        <v>0</v>
      </c>
      <c r="W114" s="3400">
        <v>0</v>
      </c>
      <c r="X114" s="3347"/>
      <c r="Y114" s="3347"/>
      <c r="Z114" s="3347"/>
      <c r="AA114" s="3411"/>
      <c r="AB114" s="3412"/>
      <c r="AC114" s="3412"/>
      <c r="AD114" s="3412"/>
      <c r="AE114" s="3413"/>
      <c r="AF114" s="3411"/>
      <c r="AG114" s="3412"/>
      <c r="AH114" s="3413"/>
    </row>
    <row r="115" spans="1:40" s="3356" customFormat="1" ht="14.25">
      <c r="A115" s="3347"/>
      <c r="B115" s="4523" t="s">
        <v>531</v>
      </c>
      <c r="C115" s="4524"/>
      <c r="D115" s="4524"/>
      <c r="E115" s="4524"/>
      <c r="F115" s="4524"/>
      <c r="G115" s="4524"/>
      <c r="H115" s="4525"/>
      <c r="I115" s="3396">
        <f>'17. Gross Capex '!C26</f>
        <v>0</v>
      </c>
      <c r="J115" s="3397">
        <f>'17. Gross Capex '!D26</f>
        <v>0</v>
      </c>
      <c r="K115" s="3409">
        <f>'17. Gross Capex '!E26</f>
        <v>0</v>
      </c>
      <c r="L115" s="3409">
        <f>'17. Gross Capex '!F26</f>
        <v>0</v>
      </c>
      <c r="M115" s="3410">
        <f>'17. Gross Capex '!G26</f>
        <v>0</v>
      </c>
      <c r="N115" s="3396" t="s">
        <v>944</v>
      </c>
      <c r="O115" s="3397">
        <v>0</v>
      </c>
      <c r="P115" s="3397">
        <v>0</v>
      </c>
      <c r="Q115" s="3397">
        <v>0</v>
      </c>
      <c r="R115" s="3397">
        <v>0</v>
      </c>
      <c r="S115" s="3396">
        <v>0</v>
      </c>
      <c r="T115" s="3397">
        <v>0</v>
      </c>
      <c r="U115" s="3397">
        <v>0</v>
      </c>
      <c r="V115" s="3397">
        <v>0</v>
      </c>
      <c r="W115" s="3400">
        <v>0</v>
      </c>
      <c r="X115" s="3347"/>
      <c r="Y115" s="3347"/>
      <c r="Z115" s="3347"/>
      <c r="AA115" s="3411"/>
      <c r="AB115" s="3412"/>
      <c r="AC115" s="3412"/>
      <c r="AD115" s="3412"/>
      <c r="AE115" s="3413"/>
      <c r="AF115" s="3411"/>
      <c r="AG115" s="3412"/>
      <c r="AH115" s="3413"/>
    </row>
    <row r="116" spans="1:40" s="3356" customFormat="1" ht="14.25">
      <c r="A116" s="3347"/>
      <c r="B116" s="4523" t="s">
        <v>276</v>
      </c>
      <c r="C116" s="4524"/>
      <c r="D116" s="4524"/>
      <c r="E116" s="4524"/>
      <c r="F116" s="4524"/>
      <c r="G116" s="4524"/>
      <c r="H116" s="4525"/>
      <c r="I116" s="3396">
        <f>'17. Gross Capex '!C27</f>
        <v>782956.08</v>
      </c>
      <c r="J116" s="3397">
        <f>'17. Gross Capex '!D27</f>
        <v>1170101.74</v>
      </c>
      <c r="K116" s="3409">
        <f>'17. Gross Capex '!E27</f>
        <v>6040699.2499999981</v>
      </c>
      <c r="L116" s="3409">
        <f>'17. Gross Capex '!F27</f>
        <v>23491297.829999991</v>
      </c>
      <c r="M116" s="3410">
        <f>'17. Gross Capex '!G27</f>
        <v>29981246.970000021</v>
      </c>
      <c r="N116" s="3396" t="s">
        <v>944</v>
      </c>
      <c r="O116" s="3397">
        <v>0</v>
      </c>
      <c r="P116" s="3397">
        <v>0</v>
      </c>
      <c r="Q116" s="3397">
        <v>0</v>
      </c>
      <c r="R116" s="3397">
        <v>0</v>
      </c>
      <c r="S116" s="3396">
        <v>0</v>
      </c>
      <c r="T116" s="3397">
        <v>0</v>
      </c>
      <c r="U116" s="3397">
        <v>0</v>
      </c>
      <c r="V116" s="3397">
        <v>0</v>
      </c>
      <c r="W116" s="3400">
        <v>0</v>
      </c>
      <c r="X116" s="3347"/>
      <c r="Y116" s="3347"/>
      <c r="Z116" s="3347"/>
      <c r="AA116" s="3411"/>
      <c r="AB116" s="3412"/>
      <c r="AC116" s="3412"/>
      <c r="AD116" s="3412"/>
      <c r="AE116" s="3413"/>
      <c r="AF116" s="3411"/>
      <c r="AG116" s="3412"/>
      <c r="AH116" s="3413"/>
    </row>
    <row r="117" spans="1:40" s="3356" customFormat="1" ht="14.25">
      <c r="A117" s="3347"/>
      <c r="B117" s="4523" t="s">
        <v>1358</v>
      </c>
      <c r="C117" s="4524"/>
      <c r="D117" s="4524"/>
      <c r="E117" s="4524"/>
      <c r="F117" s="4524"/>
      <c r="G117" s="4524"/>
      <c r="H117" s="4525"/>
      <c r="I117" s="3396">
        <f>'17. Gross Capex '!C28</f>
        <v>99429.94</v>
      </c>
      <c r="J117" s="3397">
        <f>'17. Gross Capex '!D28</f>
        <v>80137.899999999994</v>
      </c>
      <c r="K117" s="3409">
        <f>'17. Gross Capex '!E28</f>
        <v>3996.88</v>
      </c>
      <c r="L117" s="3409">
        <f>'17. Gross Capex '!F28</f>
        <v>69257.39</v>
      </c>
      <c r="M117" s="3410">
        <f>'17. Gross Capex '!G28</f>
        <v>91820.09</v>
      </c>
      <c r="N117" s="3396" t="s">
        <v>944</v>
      </c>
      <c r="O117" s="3397">
        <v>0</v>
      </c>
      <c r="P117" s="3397">
        <v>0</v>
      </c>
      <c r="Q117" s="3397">
        <v>0</v>
      </c>
      <c r="R117" s="3397">
        <v>0</v>
      </c>
      <c r="S117" s="3396">
        <v>0</v>
      </c>
      <c r="T117" s="3397">
        <v>0</v>
      </c>
      <c r="U117" s="3397">
        <v>0</v>
      </c>
      <c r="V117" s="3397">
        <v>0</v>
      </c>
      <c r="W117" s="3400">
        <v>0</v>
      </c>
      <c r="X117" s="3347"/>
      <c r="Y117" s="3347"/>
      <c r="Z117" s="3347"/>
      <c r="AA117" s="3411"/>
      <c r="AB117" s="3412"/>
      <c r="AC117" s="3412"/>
      <c r="AD117" s="3412"/>
      <c r="AE117" s="3413"/>
      <c r="AF117" s="3411"/>
      <c r="AG117" s="3412"/>
      <c r="AH117" s="3413"/>
    </row>
    <row r="118" spans="1:40" s="3356" customFormat="1" ht="14.25">
      <c r="A118" s="3347"/>
      <c r="B118" s="3401"/>
      <c r="C118" s="3402"/>
      <c r="D118" s="3402"/>
      <c r="E118" s="3402"/>
      <c r="F118" s="3402"/>
      <c r="G118" s="3402"/>
      <c r="H118" s="3403" t="s">
        <v>64</v>
      </c>
      <c r="I118" s="3396">
        <f>'17. Gross Capex '!C29</f>
        <v>0</v>
      </c>
      <c r="J118" s="3397">
        <f>'17. Gross Capex '!D29</f>
        <v>0</v>
      </c>
      <c r="K118" s="3409">
        <f>'17. Gross Capex '!E29</f>
        <v>178103.7</v>
      </c>
      <c r="L118" s="3409">
        <f>'17. Gross Capex '!F29</f>
        <v>121209.85999999999</v>
      </c>
      <c r="M118" s="3410">
        <f>'17. Gross Capex '!G29</f>
        <v>620480.96</v>
      </c>
      <c r="N118" s="3396" t="s">
        <v>944</v>
      </c>
      <c r="O118" s="3397">
        <v>0</v>
      </c>
      <c r="P118" s="3397">
        <v>0</v>
      </c>
      <c r="Q118" s="3397">
        <v>0</v>
      </c>
      <c r="R118" s="3397">
        <v>0</v>
      </c>
      <c r="S118" s="3396">
        <v>0</v>
      </c>
      <c r="T118" s="3397">
        <v>0</v>
      </c>
      <c r="U118" s="3397">
        <v>0</v>
      </c>
      <c r="V118" s="3397">
        <v>0</v>
      </c>
      <c r="W118" s="3400">
        <v>0</v>
      </c>
      <c r="X118" s="3347"/>
      <c r="Y118" s="3347"/>
      <c r="Z118" s="3347"/>
      <c r="AA118" s="3411"/>
      <c r="AB118" s="3412"/>
      <c r="AC118" s="3412"/>
      <c r="AD118" s="3412"/>
      <c r="AE118" s="3413"/>
      <c r="AF118" s="3411"/>
      <c r="AG118" s="3412"/>
      <c r="AH118" s="3413"/>
    </row>
    <row r="119" spans="1:40" s="3356" customFormat="1" ht="14.25">
      <c r="A119" s="3347"/>
      <c r="B119" s="3401"/>
      <c r="C119" s="3402"/>
      <c r="D119" s="3402"/>
      <c r="E119" s="3402"/>
      <c r="F119" s="3402"/>
      <c r="G119" s="3402"/>
      <c r="H119" s="3403" t="s">
        <v>1359</v>
      </c>
      <c r="I119" s="3396">
        <f>'17. Gross Capex '!C30</f>
        <v>0</v>
      </c>
      <c r="J119" s="3397">
        <f>'17. Gross Capex '!D30</f>
        <v>0</v>
      </c>
      <c r="K119" s="3409">
        <f>'17. Gross Capex '!E30</f>
        <v>0</v>
      </c>
      <c r="L119" s="3409">
        <f>'17. Gross Capex '!F30</f>
        <v>0</v>
      </c>
      <c r="M119" s="3410">
        <f>'17. Gross Capex '!G30</f>
        <v>0</v>
      </c>
      <c r="N119" s="3396" t="s">
        <v>944</v>
      </c>
      <c r="O119" s="3397">
        <v>0</v>
      </c>
      <c r="P119" s="3397">
        <v>0</v>
      </c>
      <c r="Q119" s="3397">
        <v>0</v>
      </c>
      <c r="R119" s="3397">
        <v>0</v>
      </c>
      <c r="S119" s="3396">
        <v>0</v>
      </c>
      <c r="T119" s="3397">
        <v>0</v>
      </c>
      <c r="U119" s="3397">
        <v>0</v>
      </c>
      <c r="V119" s="3397">
        <v>0</v>
      </c>
      <c r="W119" s="3400">
        <v>0</v>
      </c>
      <c r="X119" s="3347"/>
      <c r="Y119" s="3347"/>
      <c r="Z119" s="3347"/>
      <c r="AA119" s="3411"/>
      <c r="AB119" s="3412"/>
      <c r="AC119" s="3412"/>
      <c r="AD119" s="3412"/>
      <c r="AE119" s="3413"/>
      <c r="AF119" s="3411"/>
      <c r="AG119" s="3412"/>
      <c r="AH119" s="3413"/>
    </row>
    <row r="120" spans="1:40" s="3423" customFormat="1" ht="15.75" thickBot="1">
      <c r="A120" s="3414"/>
      <c r="B120" s="4539" t="s">
        <v>65</v>
      </c>
      <c r="C120" s="4540"/>
      <c r="D120" s="4540"/>
      <c r="E120" s="4540"/>
      <c r="F120" s="4540"/>
      <c r="G120" s="4540"/>
      <c r="H120" s="4541"/>
      <c r="I120" s="3415">
        <f>SUM(I110:I119)</f>
        <v>34296908.099999994</v>
      </c>
      <c r="J120" s="3416">
        <v>0</v>
      </c>
      <c r="K120" s="3417">
        <f>SUM(K110:K119)</f>
        <v>36021096.860000014</v>
      </c>
      <c r="L120" s="3417">
        <f t="shared" ref="L120:R120" si="10">SUM(L110:L119)</f>
        <v>60143177.529999971</v>
      </c>
      <c r="M120" s="3418">
        <f t="shared" si="10"/>
        <v>75688122.450000003</v>
      </c>
      <c r="N120" s="3415">
        <f t="shared" si="10"/>
        <v>0</v>
      </c>
      <c r="O120" s="3417">
        <f t="shared" si="10"/>
        <v>0</v>
      </c>
      <c r="P120" s="3417">
        <f t="shared" si="10"/>
        <v>0</v>
      </c>
      <c r="Q120" s="3417">
        <f t="shared" si="10"/>
        <v>0</v>
      </c>
      <c r="R120" s="3417">
        <f t="shared" si="10"/>
        <v>0</v>
      </c>
      <c r="S120" s="3419"/>
      <c r="T120" s="3417">
        <f t="shared" ref="T120:W120" si="11">SUM(T110:T119)</f>
        <v>0</v>
      </c>
      <c r="U120" s="3417">
        <f t="shared" si="11"/>
        <v>0</v>
      </c>
      <c r="V120" s="3417">
        <f t="shared" si="11"/>
        <v>0</v>
      </c>
      <c r="W120" s="3420">
        <f t="shared" si="11"/>
        <v>0</v>
      </c>
      <c r="X120" s="3414"/>
      <c r="Y120" s="3414"/>
      <c r="Z120" s="3414"/>
      <c r="AA120" s="3421"/>
      <c r="AB120" s="3416"/>
      <c r="AC120" s="3416"/>
      <c r="AD120" s="3416"/>
      <c r="AE120" s="3422"/>
      <c r="AF120" s="3421"/>
      <c r="AG120" s="3416"/>
      <c r="AH120" s="3422"/>
    </row>
    <row r="121" spans="1:40" s="3356" customFormat="1" ht="28.5" customHeight="1" thickBot="1">
      <c r="A121" s="3379"/>
      <c r="B121" s="4536" t="s">
        <v>127</v>
      </c>
      <c r="C121" s="4537"/>
      <c r="D121" s="4537"/>
      <c r="E121" s="4537"/>
      <c r="F121" s="4537"/>
      <c r="G121" s="4537"/>
      <c r="H121" s="4538"/>
      <c r="I121" s="3381"/>
      <c r="J121" s="3382"/>
      <c r="K121" s="3382"/>
      <c r="L121" s="3382"/>
      <c r="M121" s="3382"/>
      <c r="N121" s="3382"/>
      <c r="O121" s="3382"/>
      <c r="P121" s="3382"/>
      <c r="Q121" s="3382"/>
      <c r="R121" s="3382"/>
      <c r="S121" s="3382"/>
      <c r="T121" s="3382"/>
      <c r="U121" s="3382"/>
      <c r="V121" s="3382"/>
      <c r="W121" s="3383"/>
      <c r="X121" s="3347"/>
      <c r="Y121" s="3347"/>
      <c r="Z121" s="3347"/>
      <c r="AA121" s="3384"/>
      <c r="AB121" s="3385"/>
      <c r="AC121" s="3385"/>
      <c r="AD121" s="3385"/>
      <c r="AE121" s="3385"/>
      <c r="AF121" s="3385"/>
      <c r="AG121" s="3385"/>
      <c r="AH121" s="3386"/>
    </row>
    <row r="122" spans="1:40" ht="63.75" customHeight="1" thickBot="1">
      <c r="A122" s="709"/>
      <c r="B122" s="709"/>
      <c r="C122" s="709"/>
      <c r="D122" s="709"/>
      <c r="E122" s="709"/>
      <c r="F122" s="709"/>
      <c r="G122" s="709"/>
      <c r="H122" s="709"/>
      <c r="I122" s="709"/>
      <c r="J122" s="709"/>
      <c r="K122" s="709"/>
      <c r="L122" s="709"/>
      <c r="M122" s="709"/>
      <c r="N122" s="712"/>
      <c r="O122" s="709"/>
      <c r="P122" s="709"/>
      <c r="Q122" s="709"/>
      <c r="R122" s="709"/>
      <c r="S122" s="718"/>
      <c r="T122" s="718"/>
      <c r="U122" s="718"/>
      <c r="V122" s="718"/>
      <c r="W122" s="709"/>
      <c r="X122" s="709"/>
      <c r="Y122" s="709"/>
      <c r="Z122" s="709"/>
      <c r="AA122" s="709"/>
      <c r="AB122" s="709"/>
      <c r="AD122"/>
      <c r="AE122"/>
      <c r="AF122"/>
      <c r="AG122" s="709"/>
      <c r="AH122" s="709"/>
      <c r="AI122" s="709"/>
      <c r="AJ122" s="709"/>
      <c r="AK122" s="709"/>
      <c r="AL122" s="712"/>
      <c r="AM122" s="709"/>
      <c r="AN122" s="709"/>
    </row>
    <row r="123" spans="1:40" s="78" customFormat="1" ht="24.75" customHeight="1" thickBot="1">
      <c r="A123" s="299"/>
      <c r="B123" s="3776" t="s">
        <v>524</v>
      </c>
      <c r="C123" s="3778"/>
      <c r="D123" s="3778"/>
      <c r="E123" s="3778"/>
      <c r="F123" s="3778"/>
      <c r="G123" s="3778"/>
      <c r="H123" s="3778"/>
      <c r="I123" s="3778"/>
      <c r="J123" s="3778"/>
      <c r="K123" s="3778"/>
      <c r="L123" s="3778"/>
      <c r="M123" s="3778"/>
      <c r="N123" s="3778"/>
      <c r="O123" s="3778"/>
      <c r="P123" s="3778"/>
      <c r="Q123" s="3778"/>
      <c r="R123" s="3784"/>
      <c r="S123" s="299"/>
      <c r="T123" s="299"/>
      <c r="U123" s="299"/>
      <c r="V123" s="299"/>
      <c r="W123" s="299"/>
      <c r="Y123"/>
      <c r="Z123"/>
      <c r="AA123"/>
      <c r="AB123"/>
      <c r="AC123"/>
      <c r="AD123"/>
      <c r="AE123"/>
      <c r="AG123"/>
      <c r="AH123"/>
      <c r="AI123"/>
      <c r="AJ123"/>
      <c r="AK123"/>
      <c r="AL123"/>
      <c r="AM123"/>
      <c r="AN123"/>
    </row>
    <row r="124" spans="1:40" ht="18">
      <c r="A124" s="709"/>
      <c r="B124" s="3785"/>
      <c r="C124" s="3786"/>
      <c r="D124" s="3786"/>
      <c r="E124" s="3786"/>
      <c r="F124" s="3786"/>
      <c r="G124" s="3786"/>
      <c r="H124" s="3787"/>
      <c r="I124" s="4526" t="s">
        <v>36</v>
      </c>
      <c r="J124" s="4527"/>
      <c r="K124" s="4527"/>
      <c r="L124" s="4527"/>
      <c r="M124" s="4527"/>
      <c r="N124" s="4534" t="s">
        <v>37</v>
      </c>
      <c r="O124" s="4527"/>
      <c r="P124" s="4527"/>
      <c r="Q124" s="4527"/>
      <c r="R124" s="4535"/>
      <c r="S124" s="709"/>
      <c r="T124" s="709"/>
      <c r="U124" s="709"/>
      <c r="V124" s="709"/>
      <c r="W124" s="709"/>
      <c r="X124" s="709"/>
      <c r="Y124" s="709"/>
      <c r="Z124" s="709"/>
      <c r="AA124" s="709"/>
      <c r="AB124" s="709"/>
      <c r="AD124"/>
      <c r="AE124"/>
      <c r="AF124"/>
      <c r="AG124"/>
      <c r="AH124"/>
      <c r="AI124"/>
      <c r="AJ124"/>
      <c r="AK124"/>
      <c r="AL124"/>
      <c r="AM124"/>
      <c r="AN124"/>
    </row>
    <row r="125" spans="1:40" ht="15" customHeight="1">
      <c r="A125" s="709"/>
      <c r="B125" s="3788"/>
      <c r="C125" s="541"/>
      <c r="D125" s="541"/>
      <c r="E125" s="541"/>
      <c r="F125" s="541"/>
      <c r="G125" s="541"/>
      <c r="H125" s="3789"/>
      <c r="I125" s="4528" t="str">
        <f>CONCATENATE("$0's, real ",dms_DollarReal)</f>
        <v>$0's, real December 2017</v>
      </c>
      <c r="J125" s="4529"/>
      <c r="K125" s="4529"/>
      <c r="L125" s="4529"/>
      <c r="M125" s="4529"/>
      <c r="N125" s="4529"/>
      <c r="O125" s="4529"/>
      <c r="P125" s="4529"/>
      <c r="Q125" s="4529"/>
      <c r="R125" s="4530"/>
      <c r="S125" s="709"/>
      <c r="T125" s="709"/>
      <c r="U125" s="709"/>
      <c r="V125" s="709"/>
      <c r="W125" s="709"/>
      <c r="X125" s="709"/>
      <c r="Y125" s="709"/>
      <c r="Z125" s="709"/>
      <c r="AA125" s="709"/>
      <c r="AB125" s="709"/>
      <c r="AD125"/>
      <c r="AE125"/>
      <c r="AF125"/>
      <c r="AG125"/>
      <c r="AH125"/>
      <c r="AI125"/>
      <c r="AJ125"/>
      <c r="AK125"/>
      <c r="AL125"/>
      <c r="AM125"/>
      <c r="AN125"/>
    </row>
    <row r="126" spans="1:40" ht="15">
      <c r="A126" s="709"/>
      <c r="B126" s="3788"/>
      <c r="C126" s="541"/>
      <c r="D126" s="541"/>
      <c r="E126" s="541"/>
      <c r="F126" s="541"/>
      <c r="G126" s="541"/>
      <c r="H126" s="3789"/>
      <c r="I126" s="4528" t="s">
        <v>76</v>
      </c>
      <c r="J126" s="4529"/>
      <c r="K126" s="4529"/>
      <c r="L126" s="4529"/>
      <c r="M126" s="4529"/>
      <c r="N126" s="4529"/>
      <c r="O126" s="4529"/>
      <c r="P126" s="4529"/>
      <c r="Q126" s="4529"/>
      <c r="R126" s="4530"/>
      <c r="S126" s="709"/>
      <c r="T126" s="709"/>
      <c r="U126" s="709"/>
      <c r="V126" s="709"/>
      <c r="W126" s="709"/>
      <c r="X126" s="709"/>
      <c r="Y126" s="709"/>
      <c r="Z126" s="709"/>
      <c r="AA126" s="709"/>
      <c r="AB126" s="709"/>
      <c r="AD126"/>
      <c r="AE126"/>
      <c r="AF126"/>
      <c r="AG126"/>
      <c r="AH126"/>
      <c r="AI126"/>
      <c r="AJ126"/>
      <c r="AK126"/>
      <c r="AL126"/>
      <c r="AM126"/>
      <c r="AN126"/>
    </row>
    <row r="127" spans="1:40" ht="25.5" customHeight="1" thickBot="1">
      <c r="A127" s="709"/>
      <c r="B127" s="3788"/>
      <c r="C127" s="541"/>
      <c r="D127" s="541"/>
      <c r="E127" s="541"/>
      <c r="F127" s="541"/>
      <c r="G127" s="541"/>
      <c r="H127" s="3789"/>
      <c r="I127" s="3811">
        <f t="array" ref="I127:M127">PRCP</f>
        <v>2008</v>
      </c>
      <c r="J127" s="3812">
        <v>2009</v>
      </c>
      <c r="K127" s="3812">
        <v>2010</v>
      </c>
      <c r="L127" s="3812">
        <v>2011</v>
      </c>
      <c r="M127" s="3812">
        <v>2012</v>
      </c>
      <c r="N127" s="3812">
        <f>CRCP_y1</f>
        <v>2013</v>
      </c>
      <c r="O127" s="3812">
        <f>CRCP_y2</f>
        <v>2014</v>
      </c>
      <c r="P127" s="3812">
        <f>CRCP_y3</f>
        <v>2015</v>
      </c>
      <c r="Q127" s="3812">
        <f>CRCP_y4</f>
        <v>2016</v>
      </c>
      <c r="R127" s="3813">
        <f>CRCP_y5</f>
        <v>2017</v>
      </c>
      <c r="S127" s="709"/>
      <c r="T127" s="709"/>
      <c r="U127" s="709"/>
      <c r="V127" s="709"/>
      <c r="W127" s="709"/>
      <c r="X127" s="709"/>
      <c r="Y127" s="709"/>
      <c r="Z127" s="709"/>
      <c r="AA127" s="709"/>
      <c r="AB127" s="709"/>
      <c r="AD127"/>
      <c r="AE127"/>
      <c r="AF127"/>
      <c r="AG127"/>
      <c r="AH127"/>
      <c r="AI127"/>
      <c r="AJ127"/>
      <c r="AK127"/>
      <c r="AL127"/>
      <c r="AM127"/>
      <c r="AN127"/>
    </row>
    <row r="128" spans="1:40">
      <c r="A128" s="709"/>
      <c r="B128" s="4517" t="s">
        <v>1355</v>
      </c>
      <c r="C128" s="4518"/>
      <c r="D128" s="4518"/>
      <c r="E128" s="4518"/>
      <c r="F128" s="4518"/>
      <c r="G128" s="4518"/>
      <c r="H128" s="4519"/>
      <c r="I128" s="3793">
        <v>0</v>
      </c>
      <c r="J128" s="3794">
        <v>0</v>
      </c>
      <c r="K128" s="3794">
        <v>0</v>
      </c>
      <c r="L128" s="3794">
        <v>0</v>
      </c>
      <c r="M128" s="3795">
        <v>0</v>
      </c>
      <c r="N128" s="3796">
        <v>0</v>
      </c>
      <c r="O128" s="3797">
        <v>0</v>
      </c>
      <c r="P128" s="3797">
        <v>0</v>
      </c>
      <c r="Q128" s="3797">
        <v>0</v>
      </c>
      <c r="R128" s="3798">
        <v>0</v>
      </c>
      <c r="S128" s="709"/>
      <c r="T128" s="709"/>
      <c r="U128" s="709"/>
      <c r="V128" s="709"/>
      <c r="W128" s="709"/>
      <c r="X128" s="709"/>
      <c r="Y128" s="709"/>
      <c r="Z128" s="709"/>
      <c r="AA128" s="709"/>
      <c r="AB128" s="709"/>
      <c r="AD128"/>
      <c r="AE128"/>
      <c r="AF128"/>
      <c r="AG128"/>
      <c r="AH128"/>
      <c r="AI128"/>
      <c r="AJ128"/>
      <c r="AK128"/>
      <c r="AL128"/>
      <c r="AM128"/>
      <c r="AN128"/>
    </row>
    <row r="129" spans="1:40">
      <c r="A129" s="709"/>
      <c r="B129" s="4520" t="s">
        <v>359</v>
      </c>
      <c r="C129" s="4521"/>
      <c r="D129" s="4521"/>
      <c r="E129" s="4521"/>
      <c r="F129" s="4521"/>
      <c r="G129" s="4521"/>
      <c r="H129" s="4522"/>
      <c r="I129" s="3799">
        <v>0</v>
      </c>
      <c r="J129" s="3800">
        <v>0</v>
      </c>
      <c r="K129" s="3800">
        <v>0</v>
      </c>
      <c r="L129" s="3800">
        <v>0</v>
      </c>
      <c r="M129" s="3801">
        <v>0</v>
      </c>
      <c r="N129" s="3802">
        <v>0</v>
      </c>
      <c r="O129" s="3803">
        <v>0</v>
      </c>
      <c r="P129" s="3803">
        <v>0</v>
      </c>
      <c r="Q129" s="3803">
        <v>0</v>
      </c>
      <c r="R129" s="3804">
        <v>0</v>
      </c>
      <c r="S129" s="709"/>
      <c r="T129" s="709"/>
      <c r="U129" s="709"/>
      <c r="V129" s="709"/>
      <c r="W129" s="709"/>
      <c r="X129" s="709"/>
      <c r="Y129" s="709"/>
      <c r="Z129" s="709"/>
      <c r="AA129" s="709"/>
      <c r="AB129" s="709"/>
      <c r="AD129"/>
      <c r="AE129"/>
      <c r="AF129"/>
      <c r="AG129"/>
      <c r="AH129"/>
      <c r="AI129"/>
      <c r="AJ129"/>
      <c r="AK129"/>
      <c r="AL129"/>
      <c r="AM129"/>
      <c r="AN129"/>
    </row>
    <row r="130" spans="1:40">
      <c r="A130" s="709"/>
      <c r="B130" s="4520" t="s">
        <v>1446</v>
      </c>
      <c r="C130" s="4521"/>
      <c r="D130" s="4521"/>
      <c r="E130" s="4521"/>
      <c r="F130" s="4521"/>
      <c r="G130" s="4521"/>
      <c r="H130" s="4522"/>
      <c r="I130" s="3799">
        <v>0</v>
      </c>
      <c r="J130" s="3800">
        <v>0</v>
      </c>
      <c r="K130" s="3800">
        <v>0</v>
      </c>
      <c r="L130" s="3800">
        <v>0</v>
      </c>
      <c r="M130" s="3801">
        <v>0</v>
      </c>
      <c r="N130" s="3802">
        <v>0</v>
      </c>
      <c r="O130" s="3803">
        <v>0</v>
      </c>
      <c r="P130" s="3803">
        <v>0</v>
      </c>
      <c r="Q130" s="3803">
        <v>0</v>
      </c>
      <c r="R130" s="3804">
        <v>0</v>
      </c>
      <c r="S130" s="709"/>
      <c r="T130" s="709"/>
      <c r="U130" s="709"/>
      <c r="V130" s="709"/>
      <c r="W130" s="709"/>
      <c r="X130" s="709"/>
      <c r="Y130" s="709"/>
      <c r="Z130" s="709"/>
      <c r="AA130" s="709"/>
      <c r="AB130" s="709"/>
      <c r="AD130" s="1266"/>
      <c r="AE130" s="1266"/>
      <c r="AF130" s="1266"/>
      <c r="AG130" s="1266"/>
      <c r="AH130" s="1266"/>
      <c r="AI130" s="1266"/>
      <c r="AJ130" s="1266"/>
      <c r="AK130" s="1266"/>
      <c r="AL130" s="1266"/>
      <c r="AM130" s="1266"/>
      <c r="AN130" s="1266"/>
    </row>
    <row r="131" spans="1:40">
      <c r="A131" s="709"/>
      <c r="B131" s="4520" t="s">
        <v>1447</v>
      </c>
      <c r="C131" s="4521"/>
      <c r="D131" s="4521"/>
      <c r="E131" s="4521"/>
      <c r="F131" s="4521"/>
      <c r="G131" s="4521"/>
      <c r="H131" s="4522"/>
      <c r="I131" s="3799">
        <v>0</v>
      </c>
      <c r="J131" s="3800">
        <v>0</v>
      </c>
      <c r="K131" s="3800">
        <v>0</v>
      </c>
      <c r="L131" s="3800">
        <v>0</v>
      </c>
      <c r="M131" s="3801">
        <v>0</v>
      </c>
      <c r="N131" s="3802">
        <v>0</v>
      </c>
      <c r="O131" s="3803">
        <v>0</v>
      </c>
      <c r="P131" s="3803">
        <v>0</v>
      </c>
      <c r="Q131" s="3803">
        <v>0</v>
      </c>
      <c r="R131" s="3804">
        <v>0</v>
      </c>
      <c r="S131" s="709"/>
      <c r="T131" s="709"/>
      <c r="U131" s="709"/>
      <c r="V131" s="709"/>
      <c r="W131" s="709"/>
      <c r="X131" s="709"/>
      <c r="Y131" s="709"/>
      <c r="Z131" s="709"/>
      <c r="AA131" s="709"/>
      <c r="AB131" s="709"/>
      <c r="AD131" s="1266"/>
      <c r="AE131" s="1266"/>
      <c r="AF131" s="1266"/>
      <c r="AG131" s="1266"/>
      <c r="AH131" s="1266"/>
      <c r="AI131" s="1266"/>
      <c r="AJ131" s="1266"/>
      <c r="AK131" s="1266"/>
      <c r="AL131" s="1266"/>
      <c r="AM131" s="1266"/>
      <c r="AN131" s="1266"/>
    </row>
    <row r="132" spans="1:40">
      <c r="A132" s="709"/>
      <c r="B132" s="4520" t="s">
        <v>63</v>
      </c>
      <c r="C132" s="4521"/>
      <c r="D132" s="4521"/>
      <c r="E132" s="4521"/>
      <c r="F132" s="4521"/>
      <c r="G132" s="4521"/>
      <c r="H132" s="4522"/>
      <c r="I132" s="3799">
        <v>0</v>
      </c>
      <c r="J132" s="3800">
        <v>0</v>
      </c>
      <c r="K132" s="3800">
        <v>0</v>
      </c>
      <c r="L132" s="3800">
        <v>0</v>
      </c>
      <c r="M132" s="3801">
        <v>0</v>
      </c>
      <c r="N132" s="3802">
        <v>0</v>
      </c>
      <c r="O132" s="3803">
        <v>0</v>
      </c>
      <c r="P132" s="3803">
        <v>0</v>
      </c>
      <c r="Q132" s="3803">
        <v>0</v>
      </c>
      <c r="R132" s="3804">
        <v>0</v>
      </c>
      <c r="S132" s="709"/>
      <c r="T132" s="709"/>
      <c r="U132" s="709"/>
      <c r="V132" s="709"/>
      <c r="W132" s="709"/>
      <c r="X132" s="709"/>
      <c r="Y132" s="709"/>
      <c r="Z132" s="709"/>
      <c r="AA132" s="709"/>
      <c r="AB132" s="709"/>
      <c r="AD132"/>
      <c r="AE132"/>
      <c r="AF132"/>
      <c r="AG132"/>
      <c r="AH132"/>
      <c r="AI132"/>
      <c r="AJ132"/>
      <c r="AK132"/>
      <c r="AL132"/>
      <c r="AM132"/>
      <c r="AN132"/>
    </row>
    <row r="133" spans="1:40">
      <c r="A133" s="709"/>
      <c r="B133" s="4520" t="s">
        <v>531</v>
      </c>
      <c r="C133" s="4521"/>
      <c r="D133" s="4521"/>
      <c r="E133" s="4521"/>
      <c r="F133" s="4521"/>
      <c r="G133" s="4521"/>
      <c r="H133" s="4522"/>
      <c r="I133" s="3799">
        <v>0</v>
      </c>
      <c r="J133" s="3800">
        <v>0</v>
      </c>
      <c r="K133" s="3800">
        <v>0</v>
      </c>
      <c r="L133" s="3800">
        <v>0</v>
      </c>
      <c r="M133" s="3801">
        <v>0</v>
      </c>
      <c r="N133" s="3802">
        <v>0</v>
      </c>
      <c r="O133" s="3803">
        <v>0</v>
      </c>
      <c r="P133" s="3803">
        <v>0</v>
      </c>
      <c r="Q133" s="3803">
        <v>0</v>
      </c>
      <c r="R133" s="3804">
        <v>0</v>
      </c>
      <c r="S133" s="709"/>
      <c r="T133" s="709"/>
      <c r="U133" s="709"/>
      <c r="V133" s="709"/>
      <c r="W133" s="709"/>
      <c r="X133" s="709"/>
      <c r="Y133" s="709"/>
      <c r="Z133" s="709"/>
      <c r="AA133" s="709"/>
      <c r="AB133" s="709"/>
      <c r="AD133" s="1266"/>
      <c r="AE133" s="1266"/>
      <c r="AF133" s="1266"/>
      <c r="AG133" s="1266"/>
      <c r="AH133" s="1266"/>
      <c r="AI133" s="1266"/>
      <c r="AJ133" s="1266"/>
      <c r="AK133" s="1266"/>
      <c r="AL133" s="1266"/>
      <c r="AM133" s="1266"/>
      <c r="AN133" s="1266"/>
    </row>
    <row r="134" spans="1:40">
      <c r="A134" s="709"/>
      <c r="B134" s="4520" t="s">
        <v>276</v>
      </c>
      <c r="C134" s="4521"/>
      <c r="D134" s="4521"/>
      <c r="E134" s="4521"/>
      <c r="F134" s="4521"/>
      <c r="G134" s="4521"/>
      <c r="H134" s="4522"/>
      <c r="I134" s="3799">
        <v>0</v>
      </c>
      <c r="J134" s="3800">
        <v>0</v>
      </c>
      <c r="K134" s="3800">
        <v>0</v>
      </c>
      <c r="L134" s="3800">
        <v>0</v>
      </c>
      <c r="M134" s="3801">
        <v>0</v>
      </c>
      <c r="N134" s="3802">
        <v>0</v>
      </c>
      <c r="O134" s="3803">
        <v>0</v>
      </c>
      <c r="P134" s="3803">
        <v>0</v>
      </c>
      <c r="Q134" s="3803">
        <v>0</v>
      </c>
      <c r="R134" s="3804">
        <v>0</v>
      </c>
      <c r="S134" s="709"/>
      <c r="T134" s="709"/>
      <c r="U134" s="709"/>
      <c r="V134" s="709"/>
      <c r="W134" s="709"/>
      <c r="X134" s="709"/>
      <c r="Y134" s="709"/>
      <c r="Z134" s="709"/>
      <c r="AA134" s="709"/>
      <c r="AB134" s="709"/>
      <c r="AD134"/>
      <c r="AE134"/>
      <c r="AF134"/>
      <c r="AG134"/>
      <c r="AH134"/>
      <c r="AI134"/>
      <c r="AJ134"/>
      <c r="AK134"/>
      <c r="AL134"/>
      <c r="AM134"/>
      <c r="AN134"/>
    </row>
    <row r="135" spans="1:40">
      <c r="A135" s="709"/>
      <c r="B135" s="4520" t="s">
        <v>1358</v>
      </c>
      <c r="C135" s="4521"/>
      <c r="D135" s="4521"/>
      <c r="E135" s="4521"/>
      <c r="F135" s="4521"/>
      <c r="G135" s="4521"/>
      <c r="H135" s="4522"/>
      <c r="I135" s="3799">
        <v>0</v>
      </c>
      <c r="J135" s="3800">
        <v>0</v>
      </c>
      <c r="K135" s="3800">
        <v>0</v>
      </c>
      <c r="L135" s="3800">
        <v>0</v>
      </c>
      <c r="M135" s="3801">
        <v>0</v>
      </c>
      <c r="N135" s="3802">
        <v>0</v>
      </c>
      <c r="O135" s="3803">
        <v>0</v>
      </c>
      <c r="P135" s="3803">
        <v>0</v>
      </c>
      <c r="Q135" s="3803">
        <v>0</v>
      </c>
      <c r="R135" s="3804">
        <v>0</v>
      </c>
      <c r="S135" s="709"/>
      <c r="T135" s="709"/>
      <c r="U135" s="709"/>
      <c r="V135" s="709"/>
      <c r="W135" s="709"/>
      <c r="X135" s="709"/>
      <c r="Y135" s="709"/>
      <c r="Z135" s="709"/>
      <c r="AA135" s="709"/>
      <c r="AB135" s="709"/>
      <c r="AD135"/>
      <c r="AE135"/>
      <c r="AF135"/>
      <c r="AG135"/>
      <c r="AH135"/>
      <c r="AI135"/>
      <c r="AJ135"/>
      <c r="AK135"/>
      <c r="AL135"/>
      <c r="AM135"/>
      <c r="AN135"/>
    </row>
    <row r="136" spans="1:40">
      <c r="A136" s="709"/>
      <c r="B136" s="3790"/>
      <c r="C136" s="3791"/>
      <c r="D136" s="3791"/>
      <c r="E136" s="3791"/>
      <c r="F136" s="3791"/>
      <c r="G136" s="3791"/>
      <c r="H136" s="3792" t="s">
        <v>64</v>
      </c>
      <c r="I136" s="3799">
        <v>0</v>
      </c>
      <c r="J136" s="3800">
        <v>0</v>
      </c>
      <c r="K136" s="3800">
        <v>0</v>
      </c>
      <c r="L136" s="3800">
        <v>0</v>
      </c>
      <c r="M136" s="3801">
        <v>0</v>
      </c>
      <c r="N136" s="3802">
        <v>0</v>
      </c>
      <c r="O136" s="3803">
        <v>0</v>
      </c>
      <c r="P136" s="3803">
        <v>0</v>
      </c>
      <c r="Q136" s="3803">
        <v>0</v>
      </c>
      <c r="R136" s="3804">
        <v>0</v>
      </c>
      <c r="S136" s="709"/>
      <c r="T136" s="709"/>
      <c r="U136" s="709"/>
      <c r="V136" s="709"/>
      <c r="W136" s="709"/>
      <c r="X136" s="709"/>
      <c r="Y136" s="709"/>
      <c r="Z136" s="709"/>
      <c r="AA136" s="709"/>
      <c r="AB136" s="709"/>
      <c r="AD136"/>
      <c r="AE136"/>
      <c r="AF136"/>
      <c r="AG136"/>
      <c r="AH136"/>
      <c r="AI136"/>
      <c r="AJ136"/>
      <c r="AK136"/>
      <c r="AL136"/>
      <c r="AM136"/>
      <c r="AN136"/>
    </row>
    <row r="137" spans="1:40">
      <c r="A137" s="709"/>
      <c r="B137" s="3790"/>
      <c r="C137" s="3791"/>
      <c r="D137" s="3791"/>
      <c r="E137" s="3791"/>
      <c r="F137" s="3791"/>
      <c r="G137" s="3791"/>
      <c r="H137" s="3792" t="s">
        <v>1359</v>
      </c>
      <c r="I137" s="3799">
        <v>0</v>
      </c>
      <c r="J137" s="3800">
        <v>0</v>
      </c>
      <c r="K137" s="3800">
        <v>0</v>
      </c>
      <c r="L137" s="3800">
        <v>0</v>
      </c>
      <c r="M137" s="3801">
        <v>0</v>
      </c>
      <c r="N137" s="3802">
        <v>0</v>
      </c>
      <c r="O137" s="3803">
        <v>0</v>
      </c>
      <c r="P137" s="3803">
        <v>0</v>
      </c>
      <c r="Q137" s="3803">
        <v>0</v>
      </c>
      <c r="R137" s="3804">
        <v>0</v>
      </c>
      <c r="S137" s="709"/>
      <c r="T137" s="709"/>
      <c r="U137" s="709"/>
      <c r="V137" s="709"/>
      <c r="W137" s="709"/>
      <c r="X137" s="709"/>
      <c r="Y137" s="709"/>
      <c r="Z137" s="709"/>
      <c r="AA137" s="709"/>
      <c r="AB137" s="709"/>
      <c r="AD137"/>
      <c r="AE137"/>
      <c r="AF137"/>
      <c r="AG137"/>
      <c r="AH137"/>
      <c r="AI137"/>
      <c r="AJ137"/>
      <c r="AK137"/>
      <c r="AL137"/>
      <c r="AM137"/>
      <c r="AN137"/>
    </row>
    <row r="138" spans="1:40" ht="13.5" thickBot="1">
      <c r="A138" s="709"/>
      <c r="B138" s="4531" t="s">
        <v>65</v>
      </c>
      <c r="C138" s="4532"/>
      <c r="D138" s="4532"/>
      <c r="E138" s="4532"/>
      <c r="F138" s="4532"/>
      <c r="G138" s="4532"/>
      <c r="H138" s="4533"/>
      <c r="I138" s="3805">
        <v>0</v>
      </c>
      <c r="J138" s="3806">
        <v>0</v>
      </c>
      <c r="K138" s="3806">
        <v>0</v>
      </c>
      <c r="L138" s="3806">
        <v>0</v>
      </c>
      <c r="M138" s="3807">
        <v>0</v>
      </c>
      <c r="N138" s="3808">
        <v>0</v>
      </c>
      <c r="O138" s="3809">
        <v>0</v>
      </c>
      <c r="P138" s="3809">
        <v>0</v>
      </c>
      <c r="Q138" s="3809">
        <v>0</v>
      </c>
      <c r="R138" s="3810">
        <v>0</v>
      </c>
      <c r="S138" s="709"/>
      <c r="T138" s="709"/>
      <c r="U138" s="709"/>
      <c r="V138" s="709"/>
      <c r="W138" s="709"/>
      <c r="X138" s="709"/>
      <c r="Y138" s="709"/>
      <c r="Z138" s="709"/>
      <c r="AA138" s="709"/>
      <c r="AB138" s="709"/>
      <c r="AD138"/>
      <c r="AE138"/>
      <c r="AF138"/>
      <c r="AG138"/>
      <c r="AH138"/>
      <c r="AI138"/>
      <c r="AJ138"/>
      <c r="AK138"/>
      <c r="AL138"/>
      <c r="AM138"/>
      <c r="AN138"/>
    </row>
    <row r="139" spans="1:40" s="69" customFormat="1" ht="28.5" customHeight="1" thickBot="1">
      <c r="A139" s="348"/>
      <c r="B139" s="4514" t="s">
        <v>127</v>
      </c>
      <c r="C139" s="4515"/>
      <c r="D139" s="4515"/>
      <c r="E139" s="4515"/>
      <c r="F139" s="4515"/>
      <c r="G139" s="4515"/>
      <c r="H139" s="4516"/>
      <c r="I139" s="3775" t="s">
        <v>1693</v>
      </c>
      <c r="J139" s="301"/>
      <c r="K139" s="301"/>
      <c r="L139" s="301"/>
      <c r="M139" s="301"/>
      <c r="N139" s="301"/>
      <c r="O139" s="301"/>
      <c r="P139" s="301"/>
      <c r="Q139" s="301"/>
      <c r="R139" s="436"/>
      <c r="S139" s="282"/>
      <c r="T139" s="282"/>
      <c r="U139" s="282"/>
      <c r="V139" s="282"/>
      <c r="W139" s="282"/>
      <c r="X139" s="282"/>
      <c r="Y139" s="282"/>
      <c r="Z139" s="282"/>
      <c r="AA139" s="282"/>
      <c r="AB139" s="282"/>
      <c r="AC139"/>
      <c r="AD139"/>
      <c r="AE139"/>
      <c r="AF139"/>
      <c r="AG139"/>
      <c r="AH139"/>
      <c r="AI139"/>
      <c r="AJ139"/>
      <c r="AK139"/>
      <c r="AL139"/>
      <c r="AM139"/>
      <c r="AN139"/>
    </row>
  </sheetData>
  <mergeCells count="125">
    <mergeCell ref="AA13:AE13"/>
    <mergeCell ref="AF13:AH13"/>
    <mergeCell ref="AA14:AH14"/>
    <mergeCell ref="AA15:AH15"/>
    <mergeCell ref="AA29:AE29"/>
    <mergeCell ref="AF29:AH29"/>
    <mergeCell ref="AA30:AH30"/>
    <mergeCell ref="AA31:AH31"/>
    <mergeCell ref="Q45:W45"/>
    <mergeCell ref="Q30:W30"/>
    <mergeCell ref="Q31:W31"/>
    <mergeCell ref="N29:R29"/>
    <mergeCell ref="S13:W13"/>
    <mergeCell ref="I14:P14"/>
    <mergeCell ref="Q14:W14"/>
    <mergeCell ref="I15:P15"/>
    <mergeCell ref="Q15:W15"/>
    <mergeCell ref="S29:W29"/>
    <mergeCell ref="N44:R44"/>
    <mergeCell ref="I44:M44"/>
    <mergeCell ref="S44:W44"/>
    <mergeCell ref="AA108:AH108"/>
    <mergeCell ref="AA106:AE106"/>
    <mergeCell ref="AF106:AH106"/>
    <mergeCell ref="AA59:AH59"/>
    <mergeCell ref="AA60:AH60"/>
    <mergeCell ref="AA44:AE44"/>
    <mergeCell ref="AF44:AH44"/>
    <mergeCell ref="AA45:AH45"/>
    <mergeCell ref="AA46:AH46"/>
    <mergeCell ref="AA58:AE58"/>
    <mergeCell ref="AF58:AH58"/>
    <mergeCell ref="AA107:AH107"/>
    <mergeCell ref="B13:B16"/>
    <mergeCell ref="C13:C16"/>
    <mergeCell ref="D13:D16"/>
    <mergeCell ref="E13:E16"/>
    <mergeCell ref="F13:F16"/>
    <mergeCell ref="G13:G16"/>
    <mergeCell ref="I13:M13"/>
    <mergeCell ref="B29:B32"/>
    <mergeCell ref="C29:C32"/>
    <mergeCell ref="D29:D32"/>
    <mergeCell ref="E29:E32"/>
    <mergeCell ref="F29:F32"/>
    <mergeCell ref="I31:P31"/>
    <mergeCell ref="N13:R13"/>
    <mergeCell ref="I30:P30"/>
    <mergeCell ref="G29:G32"/>
    <mergeCell ref="I29:M29"/>
    <mergeCell ref="S71:W71"/>
    <mergeCell ref="I59:R59"/>
    <mergeCell ref="I73:P73"/>
    <mergeCell ref="Q73:W73"/>
    <mergeCell ref="N88:R88"/>
    <mergeCell ref="I60:R60"/>
    <mergeCell ref="I71:M71"/>
    <mergeCell ref="N71:R71"/>
    <mergeCell ref="B44:B47"/>
    <mergeCell ref="C44:C47"/>
    <mergeCell ref="D44:D47"/>
    <mergeCell ref="E44:E47"/>
    <mergeCell ref="F44:F47"/>
    <mergeCell ref="G44:G47"/>
    <mergeCell ref="Q46:W46"/>
    <mergeCell ref="B58:B61"/>
    <mergeCell ref="I88:M88"/>
    <mergeCell ref="I58:M58"/>
    <mergeCell ref="N58:R58"/>
    <mergeCell ref="I45:P45"/>
    <mergeCell ref="I46:P46"/>
    <mergeCell ref="I72:P72"/>
    <mergeCell ref="Q72:W72"/>
    <mergeCell ref="B75:H75"/>
    <mergeCell ref="B76:H76"/>
    <mergeCell ref="B77:H77"/>
    <mergeCell ref="B80:H80"/>
    <mergeCell ref="B81:H81"/>
    <mergeCell ref="B85:H85"/>
    <mergeCell ref="B78:H78"/>
    <mergeCell ref="B95:H95"/>
    <mergeCell ref="B82:H82"/>
    <mergeCell ref="B79:H79"/>
    <mergeCell ref="I90:R90"/>
    <mergeCell ref="I89:R89"/>
    <mergeCell ref="N106:R106"/>
    <mergeCell ref="S106:W106"/>
    <mergeCell ref="B114:H114"/>
    <mergeCell ref="B112:H112"/>
    <mergeCell ref="Q107:W107"/>
    <mergeCell ref="B97:H97"/>
    <mergeCell ref="B98:H98"/>
    <mergeCell ref="B102:H102"/>
    <mergeCell ref="B103:H103"/>
    <mergeCell ref="B110:H110"/>
    <mergeCell ref="B111:H111"/>
    <mergeCell ref="I108:P108"/>
    <mergeCell ref="Q108:W108"/>
    <mergeCell ref="I107:P107"/>
    <mergeCell ref="B96:H96"/>
    <mergeCell ref="B99:H99"/>
    <mergeCell ref="B113:H113"/>
    <mergeCell ref="B92:H92"/>
    <mergeCell ref="B93:H93"/>
    <mergeCell ref="B94:H94"/>
    <mergeCell ref="I106:M106"/>
    <mergeCell ref="B139:H139"/>
    <mergeCell ref="B128:H128"/>
    <mergeCell ref="B129:H129"/>
    <mergeCell ref="B132:H132"/>
    <mergeCell ref="B134:H134"/>
    <mergeCell ref="B135:H135"/>
    <mergeCell ref="B115:H115"/>
    <mergeCell ref="B133:H133"/>
    <mergeCell ref="I124:M124"/>
    <mergeCell ref="I126:R126"/>
    <mergeCell ref="I125:R125"/>
    <mergeCell ref="B130:H130"/>
    <mergeCell ref="B131:H131"/>
    <mergeCell ref="B116:H116"/>
    <mergeCell ref="B138:H138"/>
    <mergeCell ref="N124:R124"/>
    <mergeCell ref="B121:H121"/>
    <mergeCell ref="B117:H117"/>
    <mergeCell ref="B120:H120"/>
  </mergeCells>
  <pageMargins left="0.75" right="0.75" top="1" bottom="1" header="0.5" footer="0.5"/>
  <pageSetup paperSize="9" orientation="portrait" r:id="rId1"/>
  <headerFooter alignWithMargins="0"/>
  <customProperties>
    <customPr name="layoutContexts" r:id="rId2"/>
    <customPr name="SaveUndoMode" r:id="rId3"/>
  </customProperties>
  <drawing r:id="rId4"/>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6" tint="0.59999389629810485"/>
    <pageSetUpPr autoPageBreaks="0"/>
  </sheetPr>
  <dimension ref="A1:AD139"/>
  <sheetViews>
    <sheetView showGridLines="0" zoomScale="70" zoomScaleNormal="70" workbookViewId="0">
      <selection activeCell="I87" sqref="I87"/>
    </sheetView>
  </sheetViews>
  <sheetFormatPr defaultColWidth="9.140625" defaultRowHeight="12.75" outlineLevelRow="2"/>
  <cols>
    <col min="1" max="1" width="16.5703125" style="1266" customWidth="1"/>
    <col min="2" max="2" width="46" style="501" customWidth="1"/>
    <col min="3" max="17" width="15.7109375" style="1266" customWidth="1"/>
    <col min="18" max="18" width="14.28515625" style="1266" customWidth="1"/>
    <col min="19" max="19" width="15.7109375" style="1266" customWidth="1"/>
    <col min="20" max="20" width="9.140625" style="1266"/>
    <col min="21" max="28" width="15.7109375" style="1266" customWidth="1"/>
    <col min="29" max="30" width="8.7109375" style="1266" customWidth="1"/>
    <col min="31" max="16384" width="9.140625" style="1266"/>
  </cols>
  <sheetData>
    <row r="1" spans="1:30" s="1274" customFormat="1" ht="24" customHeight="1">
      <c r="B1" s="2272" t="str">
        <f>IF(dms_DataQuality="backcast",INDEX(dms_Worksheet_List,MATCH(dms_Model,dms_Model_List))&amp;" BACKCAST",INDEX(dms_Worksheet_List,MATCH(dms_Model,dms_Model_List)))</f>
        <v>REGULATORY REPORTING STATEMENT</v>
      </c>
      <c r="C1" s="518"/>
      <c r="D1" s="518"/>
      <c r="E1" s="518"/>
      <c r="F1" s="518"/>
      <c r="G1" s="518"/>
      <c r="H1" s="219"/>
      <c r="I1" s="219"/>
      <c r="J1" s="219"/>
      <c r="K1" s="219"/>
      <c r="L1" s="219"/>
      <c r="M1" s="219"/>
      <c r="N1" s="219"/>
      <c r="O1" s="219"/>
      <c r="P1" s="219"/>
      <c r="Q1" s="219"/>
      <c r="R1" s="219"/>
      <c r="S1" s="219"/>
      <c r="T1" s="219"/>
      <c r="U1" s="518"/>
      <c r="V1" s="518"/>
      <c r="W1" s="518"/>
      <c r="X1" s="518"/>
      <c r="Y1" s="518"/>
      <c r="Z1" s="219"/>
      <c r="AA1" s="219"/>
      <c r="AB1" s="219"/>
      <c r="AC1" s="1266"/>
      <c r="AD1" s="1266"/>
    </row>
    <row r="2" spans="1:30" s="1274" customFormat="1" ht="24" customHeight="1">
      <c r="B2" s="2277" t="str">
        <f>INDEX(dms_TradingNameFull_List,MATCH(dms_TradingName,dms_TradingName_List))</f>
        <v>Multinet Gas (DB No.1) Pty Ltd (ACN 086 026 986), Multinet Gas (DB No.2) Pty Ltd (ACN 086 230 122)</v>
      </c>
      <c r="C2" s="1267"/>
      <c r="D2" s="1267"/>
      <c r="E2" s="1267"/>
      <c r="F2" s="1267"/>
      <c r="G2" s="1267"/>
      <c r="H2" s="219"/>
      <c r="I2" s="219"/>
      <c r="J2" s="219"/>
      <c r="K2" s="219"/>
      <c r="L2" s="219"/>
      <c r="M2" s="219"/>
      <c r="N2" s="219"/>
      <c r="O2" s="219"/>
      <c r="P2" s="219"/>
      <c r="Q2" s="219"/>
      <c r="R2" s="219"/>
      <c r="S2" s="219"/>
      <c r="T2" s="219"/>
      <c r="U2" s="1267"/>
      <c r="V2" s="1267"/>
      <c r="W2" s="1267"/>
      <c r="X2" s="1267"/>
      <c r="Y2" s="1267"/>
      <c r="Z2" s="219"/>
      <c r="AA2" s="219"/>
      <c r="AB2" s="219"/>
      <c r="AC2" s="1266"/>
      <c r="AD2" s="1266"/>
    </row>
    <row r="3" spans="1:30" s="1274" customFormat="1" ht="24" customHeight="1">
      <c r="B3" s="2277" t="str">
        <f ca="1">IF(SUM(dms_SingleYear_Model)&gt;0,CRY,CONCATENATE(FRCP_y1," to ",dms_MultiYear_FinalYear_Result))</f>
        <v>2018 to 2022</v>
      </c>
      <c r="C3" s="1265"/>
      <c r="D3" s="1265"/>
      <c r="E3" s="1265"/>
      <c r="F3" s="1265"/>
      <c r="G3" s="1265"/>
      <c r="H3" s="222" t="str">
        <f>CONCATENATE(LEFT(FRCP_y1,4),"-",LEFT(FRCP_y5,2),RIGHT(FRCP_y5,2))</f>
        <v>2018-2022</v>
      </c>
      <c r="I3" s="222" t="str">
        <f>CONCATENATE(LEFT(FRCP_y1,4),"-",LEFT(FRCP_y5,2),RIGHT(FRCP_y5,2))</f>
        <v>2018-2022</v>
      </c>
      <c r="J3" s="1265"/>
      <c r="K3" s="1265"/>
      <c r="L3" s="1265"/>
      <c r="M3" s="1265"/>
      <c r="N3" s="1265"/>
      <c r="O3" s="1265"/>
      <c r="P3" s="1265"/>
      <c r="Q3" s="1265"/>
      <c r="R3" s="1265"/>
      <c r="S3" s="1265"/>
      <c r="T3" s="1265"/>
      <c r="U3" s="1265"/>
      <c r="V3" s="1265"/>
      <c r="W3" s="1265"/>
      <c r="X3" s="1265"/>
      <c r="Y3" s="1265"/>
      <c r="Z3" s="222" t="str">
        <f>CONCATENATE(LEFT(FRCP_y1,4),"-",LEFT(FRCP_y5,2),RIGHT(FRCP_y5,2))</f>
        <v>2018-2022</v>
      </c>
      <c r="AA3" s="222" t="str">
        <f>CONCATENATE(LEFT(FRCP_y1,4),"-",LEFT(FRCP_y5,2),RIGHT(FRCP_y5,2))</f>
        <v>2018-2022</v>
      </c>
      <c r="AB3" s="1265"/>
      <c r="AC3" s="1266"/>
      <c r="AD3" s="1266"/>
    </row>
    <row r="4" spans="1:30" s="1274" customFormat="1" ht="24" customHeight="1">
      <c r="B4" s="10" t="s">
        <v>372</v>
      </c>
      <c r="C4" s="12"/>
      <c r="D4" s="12"/>
      <c r="E4" s="12"/>
      <c r="F4" s="12"/>
      <c r="G4" s="12"/>
      <c r="H4" s="12"/>
      <c r="I4" s="12"/>
      <c r="J4" s="12"/>
      <c r="K4" s="12"/>
      <c r="L4" s="12"/>
      <c r="M4" s="12"/>
      <c r="N4" s="12"/>
      <c r="O4" s="12"/>
      <c r="P4" s="12"/>
      <c r="Q4" s="12"/>
      <c r="R4" s="12"/>
      <c r="S4" s="12"/>
      <c r="T4" s="12"/>
      <c r="U4" s="12"/>
      <c r="V4" s="12"/>
      <c r="W4" s="12"/>
      <c r="X4" s="12"/>
      <c r="Y4" s="12"/>
      <c r="Z4" s="12"/>
      <c r="AA4" s="12"/>
      <c r="AB4" s="12"/>
      <c r="AC4" s="1266"/>
      <c r="AD4" s="1266"/>
    </row>
    <row r="5" spans="1:30">
      <c r="A5" s="391"/>
      <c r="B5" s="299"/>
      <c r="C5" s="1268"/>
      <c r="D5" s="1268"/>
      <c r="E5" s="1268"/>
      <c r="F5" s="1268"/>
      <c r="G5" s="1268"/>
      <c r="H5" s="1268"/>
      <c r="I5" s="1268"/>
      <c r="J5" s="1268"/>
      <c r="K5" s="1268"/>
      <c r="L5" s="1268"/>
      <c r="M5" s="1268"/>
      <c r="N5" s="1268"/>
      <c r="O5" s="1268"/>
      <c r="P5" s="1268"/>
      <c r="Q5" s="1268"/>
      <c r="U5" s="1268"/>
      <c r="V5" s="1268"/>
      <c r="W5" s="1268"/>
      <c r="X5" s="1268"/>
      <c r="Y5" s="1268"/>
      <c r="Z5" s="1268"/>
      <c r="AA5" s="1268"/>
      <c r="AB5" s="1268"/>
    </row>
    <row r="6" spans="1:30">
      <c r="A6" s="1268"/>
      <c r="B6" s="299"/>
      <c r="C6" s="1268"/>
      <c r="D6" s="1268"/>
      <c r="E6" s="1268"/>
      <c r="F6" s="1268"/>
      <c r="G6" s="1268"/>
      <c r="H6" s="1268"/>
      <c r="I6" s="1268"/>
      <c r="J6" s="1268"/>
      <c r="K6" s="1268"/>
      <c r="L6" s="1268"/>
      <c r="M6" s="1268"/>
      <c r="N6" s="1268"/>
      <c r="O6" s="1268"/>
      <c r="P6" s="1268"/>
      <c r="Q6" s="1268"/>
      <c r="AA6" s="1268"/>
      <c r="AB6" s="1268"/>
    </row>
    <row r="7" spans="1:30" s="1013" customFormat="1">
      <c r="A7" s="1010"/>
      <c r="B7" s="1011" t="s">
        <v>61</v>
      </c>
      <c r="C7" s="1012"/>
      <c r="D7" s="1012"/>
      <c r="E7" s="1012"/>
      <c r="F7" s="1266"/>
      <c r="G7" s="1266"/>
      <c r="H7" s="1266"/>
      <c r="I7" s="1266"/>
      <c r="J7" s="1266"/>
      <c r="K7" s="1266"/>
      <c r="L7" s="1266"/>
      <c r="M7" s="1010"/>
      <c r="N7" s="1010"/>
      <c r="O7" s="1010"/>
      <c r="P7" s="1010"/>
      <c r="Q7" s="1010"/>
      <c r="R7" s="1266"/>
      <c r="S7" s="1266"/>
      <c r="T7" s="1266"/>
      <c r="U7" s="1266"/>
      <c r="V7" s="1266"/>
      <c r="W7" s="1266"/>
      <c r="X7" s="1266"/>
      <c r="Y7" s="1266"/>
      <c r="Z7" s="1266"/>
      <c r="AA7" s="1266"/>
      <c r="AB7" s="1266"/>
      <c r="AC7" s="1266"/>
      <c r="AD7" s="1266"/>
    </row>
    <row r="8" spans="1:30" s="1013" customFormat="1" ht="25.5" customHeight="1">
      <c r="A8" s="1010"/>
      <c r="B8" s="4568" t="s">
        <v>1467</v>
      </c>
      <c r="C8" s="4568"/>
      <c r="D8" s="4568"/>
      <c r="E8" s="4568"/>
      <c r="F8" s="1266"/>
      <c r="G8" s="1266"/>
      <c r="H8" s="1266"/>
      <c r="I8" s="1266"/>
      <c r="J8" s="1266"/>
      <c r="K8" s="1266"/>
      <c r="L8" s="1266"/>
      <c r="M8" s="1010"/>
      <c r="N8" s="1010"/>
      <c r="O8" s="1010"/>
      <c r="P8" s="1010"/>
      <c r="Q8" s="1010"/>
      <c r="R8" s="1266"/>
      <c r="S8" s="1266"/>
      <c r="T8" s="1266"/>
      <c r="U8" s="1266"/>
      <c r="V8" s="1266"/>
      <c r="W8" s="1266"/>
      <c r="X8" s="1266"/>
      <c r="Y8" s="1266"/>
      <c r="Z8" s="1266"/>
      <c r="AA8" s="1266"/>
      <c r="AB8" s="1266"/>
      <c r="AC8" s="1266"/>
      <c r="AD8" s="1266"/>
    </row>
    <row r="9" spans="1:30" s="1013" customFormat="1" ht="16.5" customHeight="1">
      <c r="A9" s="1010"/>
      <c r="B9" s="4568" t="s">
        <v>98</v>
      </c>
      <c r="C9" s="4568"/>
      <c r="D9" s="4568"/>
      <c r="E9" s="4568"/>
      <c r="F9" s="1266"/>
      <c r="G9" s="1266"/>
      <c r="H9" s="1266"/>
      <c r="I9" s="1266"/>
      <c r="J9" s="1266"/>
      <c r="K9" s="1266"/>
      <c r="L9" s="1266"/>
      <c r="M9" s="1010"/>
      <c r="N9" s="1010"/>
      <c r="O9" s="3598"/>
      <c r="P9" s="1010"/>
      <c r="Q9" s="1010"/>
      <c r="R9" s="1266"/>
      <c r="S9" s="1266"/>
      <c r="T9" s="1266"/>
      <c r="U9" s="1266"/>
      <c r="V9" s="1266"/>
      <c r="W9" s="1266"/>
      <c r="X9" s="1266"/>
      <c r="Y9" s="1266"/>
      <c r="Z9" s="1266"/>
      <c r="AA9" s="1266"/>
      <c r="AB9" s="1266"/>
      <c r="AC9" s="1266"/>
      <c r="AD9" s="1266"/>
    </row>
    <row r="10" spans="1:30" s="1013" customFormat="1" ht="16.5" customHeight="1">
      <c r="A10" s="1010"/>
      <c r="B10" s="4568" t="s">
        <v>255</v>
      </c>
      <c r="C10" s="4568"/>
      <c r="D10" s="4568"/>
      <c r="E10" s="4568"/>
      <c r="F10" s="1266"/>
      <c r="G10" s="1266"/>
      <c r="H10" s="1266"/>
      <c r="I10" s="1266"/>
      <c r="J10" s="1266"/>
      <c r="K10" s="1266"/>
      <c r="L10" s="1266"/>
      <c r="M10" s="1010"/>
      <c r="N10" s="1010"/>
      <c r="O10" s="1010"/>
      <c r="P10" s="1010"/>
      <c r="Q10" s="1010"/>
      <c r="R10" s="1266"/>
      <c r="S10" s="1266"/>
      <c r="T10" s="1266"/>
      <c r="U10" s="1266"/>
      <c r="V10" s="1266"/>
      <c r="W10" s="1266"/>
      <c r="X10" s="1266"/>
      <c r="Y10" s="1266"/>
      <c r="Z10" s="1266"/>
      <c r="AA10" s="1266"/>
      <c r="AB10" s="1266"/>
      <c r="AC10" s="1266"/>
      <c r="AD10" s="1266"/>
    </row>
    <row r="11" spans="1:30" s="1013" customFormat="1" ht="16.5" customHeight="1">
      <c r="A11" s="1010"/>
      <c r="B11" s="4568" t="s">
        <v>241</v>
      </c>
      <c r="C11" s="4568"/>
      <c r="D11" s="4568"/>
      <c r="E11" s="4568"/>
      <c r="F11" s="1266"/>
      <c r="G11" s="1266"/>
      <c r="H11" s="1266"/>
      <c r="I11" s="1266"/>
      <c r="J11" s="1266"/>
      <c r="K11" s="1266"/>
      <c r="L11" s="1266"/>
      <c r="M11" s="1010"/>
      <c r="N11" s="1010"/>
      <c r="O11" s="1010"/>
      <c r="P11" s="1010"/>
      <c r="Q11" s="1010"/>
      <c r="R11" s="1266"/>
      <c r="S11" s="1266"/>
      <c r="T11" s="1266"/>
      <c r="U11" s="1266"/>
      <c r="V11" s="1266"/>
      <c r="W11" s="1266"/>
      <c r="X11" s="1266"/>
      <c r="Y11" s="1266"/>
      <c r="Z11" s="1266"/>
      <c r="AA11" s="1266"/>
      <c r="AB11" s="1266"/>
      <c r="AC11" s="1266"/>
      <c r="AD11" s="1266"/>
    </row>
    <row r="12" spans="1:30" ht="12" customHeight="1">
      <c r="A12" s="1268"/>
      <c r="D12" s="1268"/>
      <c r="E12" s="1268"/>
      <c r="F12" s="1268"/>
      <c r="G12" s="1268"/>
      <c r="H12" s="1268"/>
      <c r="I12" s="1268"/>
      <c r="J12" s="1268"/>
      <c r="K12" s="1268"/>
      <c r="L12" s="1268"/>
      <c r="M12" s="1268"/>
      <c r="N12" s="1268"/>
      <c r="O12" s="1268"/>
      <c r="P12" s="1268"/>
      <c r="Q12" s="1268"/>
      <c r="V12" s="1268"/>
      <c r="W12" s="1268"/>
      <c r="X12" s="1268"/>
      <c r="Y12" s="1268"/>
      <c r="Z12" s="1268"/>
      <c r="AA12" s="1268"/>
      <c r="AB12" s="1268"/>
    </row>
    <row r="13" spans="1:30" ht="37.5" customHeight="1" thickBot="1">
      <c r="A13" s="1268"/>
      <c r="B13" s="299"/>
      <c r="C13" s="1268"/>
      <c r="D13" s="1268"/>
      <c r="E13" s="1268"/>
      <c r="F13" s="1268"/>
      <c r="G13" s="1268"/>
      <c r="H13" s="1268"/>
      <c r="I13" s="1268"/>
      <c r="J13" s="1268"/>
      <c r="K13" s="1268"/>
      <c r="L13" s="1268"/>
      <c r="M13" s="1268"/>
      <c r="N13" s="1268"/>
      <c r="O13" s="1268"/>
      <c r="P13" s="1268"/>
      <c r="Q13" s="1268"/>
      <c r="U13" s="1268"/>
      <c r="V13" s="1268"/>
      <c r="W13" s="1268"/>
      <c r="X13" s="1268"/>
      <c r="Y13" s="1268"/>
      <c r="Z13" s="1268"/>
      <c r="AA13" s="1268"/>
      <c r="AB13" s="1268"/>
    </row>
    <row r="14" spans="1:30" s="223" customFormat="1" ht="24.75" customHeight="1" thickBot="1">
      <c r="A14" s="299"/>
      <c r="B14" s="769" t="s">
        <v>526</v>
      </c>
      <c r="C14" s="770"/>
      <c r="D14" s="770"/>
      <c r="E14" s="770"/>
      <c r="F14" s="769"/>
      <c r="G14" s="770"/>
      <c r="H14" s="770"/>
      <c r="I14" s="770"/>
      <c r="J14" s="769"/>
      <c r="K14" s="770"/>
      <c r="L14" s="770"/>
      <c r="M14" s="769"/>
      <c r="N14" s="770"/>
      <c r="O14" s="770"/>
      <c r="P14" s="770"/>
      <c r="Q14" s="769"/>
      <c r="R14" s="1266"/>
      <c r="S14" s="1266"/>
      <c r="T14" s="1266"/>
      <c r="U14" s="769" t="s">
        <v>674</v>
      </c>
      <c r="V14" s="770"/>
      <c r="W14" s="770"/>
      <c r="X14" s="769"/>
      <c r="Y14" s="770"/>
      <c r="Z14" s="770"/>
      <c r="AA14" s="770"/>
      <c r="AB14" s="1303"/>
      <c r="AC14" s="1266"/>
      <c r="AD14" s="1266"/>
    </row>
    <row r="15" spans="1:30" s="223" customFormat="1" ht="24.75" customHeight="1" thickBot="1">
      <c r="A15" s="299"/>
      <c r="B15" s="2867" t="s">
        <v>380</v>
      </c>
      <c r="C15" s="1379"/>
      <c r="D15" s="1379"/>
      <c r="E15" s="1379"/>
      <c r="F15" s="1373"/>
      <c r="G15" s="1379"/>
      <c r="H15" s="1379"/>
      <c r="I15" s="1379"/>
      <c r="J15" s="1373"/>
      <c r="K15" s="1379"/>
      <c r="L15" s="1379"/>
      <c r="M15" s="1373"/>
      <c r="N15" s="1379"/>
      <c r="O15" s="1379"/>
      <c r="P15" s="1379"/>
      <c r="Q15" s="1374"/>
      <c r="R15" s="1266"/>
      <c r="S15" s="1266"/>
      <c r="T15" s="1266"/>
      <c r="U15" s="1878"/>
      <c r="V15" s="1379"/>
      <c r="W15" s="1379"/>
      <c r="X15" s="1373"/>
      <c r="Y15" s="1379"/>
      <c r="Z15" s="1379"/>
      <c r="AA15" s="1379"/>
      <c r="AB15" s="1374"/>
      <c r="AC15" s="1266"/>
      <c r="AD15" s="1266"/>
    </row>
    <row r="16" spans="1:30" s="124" customFormat="1" ht="17.25" customHeight="1">
      <c r="A16" s="709"/>
      <c r="B16" s="4569"/>
      <c r="C16" s="4186" t="s">
        <v>36</v>
      </c>
      <c r="D16" s="4137"/>
      <c r="E16" s="4137"/>
      <c r="F16" s="4137"/>
      <c r="G16" s="4137"/>
      <c r="H16" s="4187" t="s">
        <v>37</v>
      </c>
      <c r="I16" s="4188"/>
      <c r="J16" s="4188"/>
      <c r="K16" s="4188"/>
      <c r="L16" s="4188"/>
      <c r="M16" s="4105" t="s">
        <v>75</v>
      </c>
      <c r="N16" s="4105"/>
      <c r="O16" s="4105"/>
      <c r="P16" s="4105"/>
      <c r="Q16" s="4572"/>
      <c r="R16" s="1266"/>
      <c r="S16" s="1266"/>
      <c r="T16" s="1266"/>
      <c r="U16" s="4186" t="s">
        <v>36</v>
      </c>
      <c r="V16" s="4137"/>
      <c r="W16" s="4137"/>
      <c r="X16" s="4137"/>
      <c r="Y16" s="4137"/>
      <c r="Z16" s="4187" t="s">
        <v>37</v>
      </c>
      <c r="AA16" s="4188"/>
      <c r="AB16" s="4189"/>
      <c r="AC16" s="1266"/>
      <c r="AD16" s="1266"/>
    </row>
    <row r="17" spans="1:30" s="124" customFormat="1" ht="17.25" customHeight="1">
      <c r="A17" s="709"/>
      <c r="B17" s="4570"/>
      <c r="C17" s="4125" t="s">
        <v>569</v>
      </c>
      <c r="D17" s="4126"/>
      <c r="E17" s="4126"/>
      <c r="F17" s="4126"/>
      <c r="G17" s="4126"/>
      <c r="H17" s="4126"/>
      <c r="I17" s="4126"/>
      <c r="J17" s="4127"/>
      <c r="K17" s="4128" t="str">
        <f>CONCATENATE("$0's, real ",dms_DollarReal)</f>
        <v>$0's, real December 2017</v>
      </c>
      <c r="L17" s="4129"/>
      <c r="M17" s="4129"/>
      <c r="N17" s="4129"/>
      <c r="O17" s="4129"/>
      <c r="P17" s="4129"/>
      <c r="Q17" s="4475"/>
      <c r="R17" s="1266"/>
      <c r="S17" s="1266"/>
      <c r="T17" s="1266"/>
      <c r="U17" s="4217" t="str">
        <f>CONCATENATE("$0's, real ",dms_DollarReal)</f>
        <v>$0's, real December 2017</v>
      </c>
      <c r="V17" s="4129"/>
      <c r="W17" s="4129"/>
      <c r="X17" s="4129"/>
      <c r="Y17" s="4129"/>
      <c r="Z17" s="4129"/>
      <c r="AA17" s="4129"/>
      <c r="AB17" s="4130"/>
      <c r="AC17" s="1266"/>
      <c r="AD17" s="1266"/>
    </row>
    <row r="18" spans="1:30" s="124" customFormat="1" ht="17.25" customHeight="1">
      <c r="A18" s="709"/>
      <c r="B18" s="4570"/>
      <c r="C18" s="4125" t="s">
        <v>56</v>
      </c>
      <c r="D18" s="4126"/>
      <c r="E18" s="4126"/>
      <c r="F18" s="4126"/>
      <c r="G18" s="4126"/>
      <c r="H18" s="4126"/>
      <c r="I18" s="4126"/>
      <c r="J18" s="4127"/>
      <c r="K18" s="4128" t="s">
        <v>57</v>
      </c>
      <c r="L18" s="4129"/>
      <c r="M18" s="4129"/>
      <c r="N18" s="4129"/>
      <c r="O18" s="4129"/>
      <c r="P18" s="4129"/>
      <c r="Q18" s="4475"/>
      <c r="R18" s="1266"/>
      <c r="S18" s="1266"/>
      <c r="T18" s="1266"/>
      <c r="U18" s="4125" t="s">
        <v>56</v>
      </c>
      <c r="V18" s="4126"/>
      <c r="W18" s="4126"/>
      <c r="X18" s="4126"/>
      <c r="Y18" s="4126"/>
      <c r="Z18" s="4126"/>
      <c r="AA18" s="4126"/>
      <c r="AB18" s="4169"/>
      <c r="AC18" s="1266"/>
      <c r="AD18" s="1266"/>
    </row>
    <row r="19" spans="1:30" s="124" customFormat="1" ht="17.25" customHeight="1" thickBot="1">
      <c r="A19" s="709"/>
      <c r="B19" s="4571"/>
      <c r="C19" s="1521">
        <f t="array" ref="C19:G19">PRCP</f>
        <v>2008</v>
      </c>
      <c r="D19" s="374">
        <v>2009</v>
      </c>
      <c r="E19" s="374">
        <v>2010</v>
      </c>
      <c r="F19" s="374">
        <v>2011</v>
      </c>
      <c r="G19" s="374">
        <v>2012</v>
      </c>
      <c r="H19" s="376">
        <f>CRCP_y1</f>
        <v>2013</v>
      </c>
      <c r="I19" s="376">
        <f>CRCP_y2</f>
        <v>2014</v>
      </c>
      <c r="J19" s="376">
        <f>CRCP_y3</f>
        <v>2015</v>
      </c>
      <c r="K19" s="376">
        <f>CRCP_y4</f>
        <v>2016</v>
      </c>
      <c r="L19" s="376">
        <f>CRCP_y5</f>
        <v>2017</v>
      </c>
      <c r="M19" s="374" t="str">
        <f t="array" ref="M19:Q19">FRCP</f>
        <v>2018</v>
      </c>
      <c r="N19" s="374">
        <v>2019</v>
      </c>
      <c r="O19" s="374">
        <v>2020</v>
      </c>
      <c r="P19" s="374">
        <v>2021</v>
      </c>
      <c r="Q19" s="713">
        <v>2022</v>
      </c>
      <c r="R19" s="1266"/>
      <c r="S19" s="1266"/>
      <c r="T19" s="1266"/>
      <c r="U19" s="1521">
        <f t="array" ref="U19:Y19">PRCP</f>
        <v>2008</v>
      </c>
      <c r="V19" s="374">
        <v>2009</v>
      </c>
      <c r="W19" s="374">
        <v>2010</v>
      </c>
      <c r="X19" s="374">
        <v>2011</v>
      </c>
      <c r="Y19" s="374">
        <v>2012</v>
      </c>
      <c r="Z19" s="376">
        <f>CRCP_y1</f>
        <v>2013</v>
      </c>
      <c r="AA19" s="376">
        <f>CRCP_y2</f>
        <v>2014</v>
      </c>
      <c r="AB19" s="568">
        <f>CRCP_y3</f>
        <v>2015</v>
      </c>
      <c r="AC19" s="1266"/>
      <c r="AD19" s="1266"/>
    </row>
    <row r="20" spans="1:30" s="501" customFormat="1" ht="24.75" customHeight="1" thickBot="1">
      <c r="A20" s="299"/>
      <c r="B20" s="682" t="str">
        <f>CONCATENATE("Table 16.1.1 - ",'[10]17. Gross Capex '!B21)</f>
        <v>Table 16.1.1 - Transmission and distribution</v>
      </c>
      <c r="C20" s="306"/>
      <c r="D20" s="306"/>
      <c r="E20" s="306"/>
      <c r="F20" s="306"/>
      <c r="G20" s="306"/>
      <c r="H20" s="306"/>
      <c r="I20" s="306"/>
      <c r="J20" s="306"/>
      <c r="K20" s="306"/>
      <c r="L20" s="306"/>
      <c r="M20" s="306"/>
      <c r="N20" s="306"/>
      <c r="O20" s="306"/>
      <c r="P20" s="306"/>
      <c r="Q20" s="695"/>
      <c r="R20" s="1266"/>
      <c r="S20" s="1266"/>
      <c r="T20" s="1266"/>
      <c r="U20" s="292"/>
      <c r="V20" s="306"/>
      <c r="W20" s="306"/>
      <c r="X20" s="306"/>
      <c r="Y20" s="306"/>
      <c r="Z20" s="306"/>
      <c r="AA20" s="306"/>
      <c r="AB20" s="307"/>
      <c r="AC20" s="1266"/>
      <c r="AD20" s="1266"/>
    </row>
    <row r="21" spans="1:30" outlineLevel="2">
      <c r="A21" s="1268"/>
      <c r="B21" s="1966" t="s">
        <v>1443</v>
      </c>
      <c r="C21" s="3865">
        <v>9039479.8150000051</v>
      </c>
      <c r="D21" s="3866">
        <v>8965447.3430000059</v>
      </c>
      <c r="E21" s="3866">
        <v>5091464.2200000007</v>
      </c>
      <c r="F21" s="3866">
        <v>5580648.4599999897</v>
      </c>
      <c r="G21" s="3867">
        <v>4622606.2899999898</v>
      </c>
      <c r="H21" s="3599"/>
      <c r="I21" s="808"/>
      <c r="J21" s="808"/>
      <c r="K21" s="808"/>
      <c r="L21" s="808"/>
      <c r="M21" s="3599"/>
      <c r="N21" s="808"/>
      <c r="O21" s="808"/>
      <c r="P21" s="808"/>
      <c r="Q21" s="3600"/>
      <c r="U21" s="1868"/>
      <c r="V21" s="1869"/>
      <c r="W21" s="1869"/>
      <c r="X21" s="1869"/>
      <c r="Y21" s="1870"/>
      <c r="Z21" s="1868"/>
      <c r="AA21" s="1869"/>
      <c r="AB21" s="1870"/>
    </row>
    <row r="22" spans="1:30" outlineLevel="2">
      <c r="A22" s="1268"/>
      <c r="B22" s="1966" t="s">
        <v>466</v>
      </c>
      <c r="C22" s="3868">
        <v>5931023.2199999997</v>
      </c>
      <c r="D22" s="3869">
        <v>6717210.8500000006</v>
      </c>
      <c r="E22" s="3869">
        <v>8217899.7400000002</v>
      </c>
      <c r="F22" s="3869">
        <v>12876692.730000002</v>
      </c>
      <c r="G22" s="3870">
        <v>17301316.080000006</v>
      </c>
      <c r="H22" s="809"/>
      <c r="I22" s="723"/>
      <c r="J22" s="723"/>
      <c r="K22" s="723"/>
      <c r="L22" s="723"/>
      <c r="M22" s="809"/>
      <c r="N22" s="723"/>
      <c r="O22" s="723"/>
      <c r="P22" s="723"/>
      <c r="Q22" s="3601"/>
      <c r="U22" s="1871"/>
      <c r="V22" s="1872"/>
      <c r="W22" s="1872"/>
      <c r="X22" s="1872"/>
      <c r="Y22" s="1873"/>
      <c r="Z22" s="1871"/>
      <c r="AA22" s="1872"/>
      <c r="AB22" s="1873"/>
    </row>
    <row r="23" spans="1:30" outlineLevel="2">
      <c r="A23" s="1268"/>
      <c r="B23" s="1966" t="s">
        <v>467</v>
      </c>
      <c r="C23" s="3868">
        <v>7663403.4799999958</v>
      </c>
      <c r="D23" s="3869">
        <v>5029477.4500000011</v>
      </c>
      <c r="E23" s="3869">
        <v>4856500.3299999991</v>
      </c>
      <c r="F23" s="3869">
        <v>4484638.6900000004</v>
      </c>
      <c r="G23" s="3870">
        <v>9495444.8900000043</v>
      </c>
      <c r="H23" s="809"/>
      <c r="I23" s="723"/>
      <c r="J23" s="723"/>
      <c r="K23" s="723"/>
      <c r="L23" s="723"/>
      <c r="M23" s="809"/>
      <c r="N23" s="723"/>
      <c r="O23" s="723"/>
      <c r="P23" s="723"/>
      <c r="Q23" s="3601"/>
      <c r="U23" s="1871"/>
      <c r="V23" s="1872"/>
      <c r="W23" s="1872"/>
      <c r="X23" s="1872"/>
      <c r="Y23" s="1873"/>
      <c r="Z23" s="1871"/>
      <c r="AA23" s="1872"/>
      <c r="AB23" s="1873"/>
    </row>
    <row r="24" spans="1:30" outlineLevel="2">
      <c r="A24" s="1268"/>
      <c r="B24" s="1966" t="s">
        <v>468</v>
      </c>
      <c r="C24" s="3868"/>
      <c r="D24" s="3869"/>
      <c r="E24" s="3869"/>
      <c r="F24" s="3869"/>
      <c r="G24" s="3870"/>
      <c r="H24" s="809"/>
      <c r="I24" s="723"/>
      <c r="J24" s="723"/>
      <c r="K24" s="723"/>
      <c r="L24" s="723"/>
      <c r="M24" s="809"/>
      <c r="N24" s="723"/>
      <c r="O24" s="723"/>
      <c r="P24" s="723"/>
      <c r="Q24" s="3601"/>
      <c r="U24" s="1871"/>
      <c r="V24" s="1872"/>
      <c r="W24" s="1872"/>
      <c r="X24" s="1872"/>
      <c r="Y24" s="1873"/>
      <c r="Z24" s="1871"/>
      <c r="AA24" s="1872"/>
      <c r="AB24" s="1873"/>
    </row>
    <row r="25" spans="1:30" outlineLevel="2">
      <c r="A25" s="1268"/>
      <c r="B25" s="1966" t="s">
        <v>469</v>
      </c>
      <c r="C25" s="3868"/>
      <c r="D25" s="3869"/>
      <c r="E25" s="3869"/>
      <c r="F25" s="3869"/>
      <c r="G25" s="3870"/>
      <c r="H25" s="809"/>
      <c r="I25" s="723"/>
      <c r="J25" s="723"/>
      <c r="K25" s="723"/>
      <c r="L25" s="723"/>
      <c r="M25" s="809"/>
      <c r="N25" s="723"/>
      <c r="O25" s="723"/>
      <c r="P25" s="723"/>
      <c r="Q25" s="3601"/>
      <c r="U25" s="1871"/>
      <c r="V25" s="1872"/>
      <c r="W25" s="1872"/>
      <c r="X25" s="1872"/>
      <c r="Y25" s="1873"/>
      <c r="Z25" s="1871"/>
      <c r="AA25" s="1872"/>
      <c r="AB25" s="1873"/>
    </row>
    <row r="26" spans="1:30" outlineLevel="2">
      <c r="A26" s="1268"/>
      <c r="B26" s="1966" t="s">
        <v>1444</v>
      </c>
      <c r="C26" s="3868"/>
      <c r="D26" s="3869"/>
      <c r="E26" s="3869"/>
      <c r="F26" s="3869"/>
      <c r="G26" s="3870"/>
      <c r="H26" s="809"/>
      <c r="I26" s="723"/>
      <c r="J26" s="723"/>
      <c r="K26" s="723"/>
      <c r="L26" s="723"/>
      <c r="M26" s="809"/>
      <c r="N26" s="723"/>
      <c r="O26" s="723"/>
      <c r="P26" s="723"/>
      <c r="Q26" s="3601"/>
      <c r="U26" s="1871"/>
      <c r="V26" s="1872"/>
      <c r="W26" s="1872"/>
      <c r="X26" s="1872"/>
      <c r="Y26" s="1873"/>
      <c r="Z26" s="1871"/>
      <c r="AA26" s="1872"/>
      <c r="AB26" s="1873"/>
    </row>
    <row r="27" spans="1:30" outlineLevel="2">
      <c r="A27" s="1268"/>
      <c r="B27" s="1966" t="s">
        <v>58</v>
      </c>
      <c r="C27" s="3871"/>
      <c r="D27" s="3872"/>
      <c r="E27" s="3872"/>
      <c r="F27" s="3872"/>
      <c r="G27" s="3873"/>
      <c r="H27" s="810"/>
      <c r="I27" s="724"/>
      <c r="J27" s="724"/>
      <c r="K27" s="724"/>
      <c r="L27" s="724"/>
      <c r="M27" s="810"/>
      <c r="N27" s="724"/>
      <c r="O27" s="724"/>
      <c r="P27" s="724"/>
      <c r="Q27" s="3602"/>
      <c r="U27" s="1874"/>
      <c r="V27" s="1875"/>
      <c r="W27" s="1875"/>
      <c r="X27" s="1875"/>
      <c r="Y27" s="1876"/>
      <c r="Z27" s="1874"/>
      <c r="AA27" s="1875"/>
      <c r="AB27" s="1876"/>
    </row>
    <row r="28" spans="1:30" outlineLevel="2">
      <c r="A28" s="1268"/>
      <c r="B28" s="1966" t="s">
        <v>89</v>
      </c>
      <c r="C28" s="3871"/>
      <c r="D28" s="3872"/>
      <c r="E28" s="3872"/>
      <c r="F28" s="3872"/>
      <c r="G28" s="3873"/>
      <c r="H28" s="810"/>
      <c r="I28" s="724"/>
      <c r="J28" s="724"/>
      <c r="K28" s="724"/>
      <c r="L28" s="724"/>
      <c r="M28" s="810"/>
      <c r="N28" s="724"/>
      <c r="O28" s="724"/>
      <c r="P28" s="724"/>
      <c r="Q28" s="3602"/>
      <c r="U28" s="1874"/>
      <c r="V28" s="1875"/>
      <c r="W28" s="1875"/>
      <c r="X28" s="1875"/>
      <c r="Y28" s="1876"/>
      <c r="Z28" s="1874"/>
      <c r="AA28" s="1875"/>
      <c r="AB28" s="1876"/>
    </row>
    <row r="29" spans="1:30" ht="13.5" outlineLevel="2" thickBot="1">
      <c r="A29" s="1268"/>
      <c r="B29" s="807" t="s">
        <v>1445</v>
      </c>
      <c r="C29" s="3871"/>
      <c r="D29" s="3872"/>
      <c r="E29" s="3872"/>
      <c r="F29" s="3872"/>
      <c r="G29" s="3873"/>
      <c r="H29" s="810"/>
      <c r="I29" s="724"/>
      <c r="J29" s="724"/>
      <c r="K29" s="724"/>
      <c r="L29" s="724"/>
      <c r="M29" s="810"/>
      <c r="N29" s="724"/>
      <c r="O29" s="724"/>
      <c r="P29" s="724"/>
      <c r="Q29" s="3602"/>
      <c r="U29" s="1874"/>
      <c r="V29" s="1875"/>
      <c r="W29" s="1875"/>
      <c r="X29" s="1875"/>
      <c r="Y29" s="1876"/>
      <c r="Z29" s="1874"/>
      <c r="AA29" s="1875"/>
      <c r="AB29" s="1876"/>
    </row>
    <row r="30" spans="1:30" ht="13.5" outlineLevel="1" thickBot="1">
      <c r="A30" s="1268"/>
      <c r="B30" s="727" t="s">
        <v>65</v>
      </c>
      <c r="C30" s="3874">
        <f t="shared" ref="C30:Q30" si="0">SUM(C21:C29)</f>
        <v>22633906.515000001</v>
      </c>
      <c r="D30" s="3874">
        <f t="shared" si="0"/>
        <v>20712135.643000007</v>
      </c>
      <c r="E30" s="3874">
        <f t="shared" si="0"/>
        <v>18165864.289999999</v>
      </c>
      <c r="F30" s="3874">
        <f t="shared" si="0"/>
        <v>22941979.879999992</v>
      </c>
      <c r="G30" s="3874">
        <f t="shared" si="0"/>
        <v>31419367.260000002</v>
      </c>
      <c r="H30" s="728">
        <f t="shared" si="0"/>
        <v>0</v>
      </c>
      <c r="I30" s="728">
        <f t="shared" si="0"/>
        <v>0</v>
      </c>
      <c r="J30" s="728">
        <f t="shared" si="0"/>
        <v>0</v>
      </c>
      <c r="K30" s="728">
        <f t="shared" si="0"/>
        <v>0</v>
      </c>
      <c r="L30" s="728">
        <f t="shared" si="0"/>
        <v>0</v>
      </c>
      <c r="M30" s="728">
        <f t="shared" si="0"/>
        <v>0</v>
      </c>
      <c r="N30" s="728">
        <f t="shared" si="0"/>
        <v>0</v>
      </c>
      <c r="O30" s="728">
        <f t="shared" si="0"/>
        <v>0</v>
      </c>
      <c r="P30" s="728">
        <f t="shared" si="0"/>
        <v>0</v>
      </c>
      <c r="Q30" s="729">
        <f t="shared" si="0"/>
        <v>0</v>
      </c>
      <c r="U30" s="727">
        <f t="shared" ref="U30:AB30" si="1">SUM(U21:U29)</f>
        <v>0</v>
      </c>
      <c r="V30" s="728">
        <f t="shared" si="1"/>
        <v>0</v>
      </c>
      <c r="W30" s="728">
        <f t="shared" si="1"/>
        <v>0</v>
      </c>
      <c r="X30" s="728">
        <f t="shared" si="1"/>
        <v>0</v>
      </c>
      <c r="Y30" s="728">
        <f t="shared" si="1"/>
        <v>0</v>
      </c>
      <c r="Z30" s="728">
        <f t="shared" si="1"/>
        <v>0</v>
      </c>
      <c r="AA30" s="728">
        <f t="shared" si="1"/>
        <v>0</v>
      </c>
      <c r="AB30" s="729">
        <f t="shared" si="1"/>
        <v>0</v>
      </c>
    </row>
    <row r="31" spans="1:30" s="1268" customFormat="1" ht="23.25" customHeight="1" outlineLevel="1" thickBot="1">
      <c r="R31" s="1266"/>
      <c r="S31" s="1266"/>
      <c r="T31" s="1266"/>
      <c r="AC31" s="1266"/>
      <c r="AD31" s="1266"/>
    </row>
    <row r="32" spans="1:30" s="501" customFormat="1" ht="24.75" customHeight="1" thickBot="1">
      <c r="A32" s="299"/>
      <c r="B32" s="682" t="str">
        <f>CONCATENATE("Table 16.1.2 - ",'[10]17. Gross Capex '!B22)</f>
        <v>Table 16.1.2 - Services</v>
      </c>
      <c r="C32" s="306"/>
      <c r="D32" s="306"/>
      <c r="E32" s="306"/>
      <c r="F32" s="306"/>
      <c r="G32" s="306"/>
      <c r="H32" s="306"/>
      <c r="I32" s="306"/>
      <c r="J32" s="306"/>
      <c r="K32" s="306"/>
      <c r="L32" s="306"/>
      <c r="M32" s="306"/>
      <c r="N32" s="306"/>
      <c r="O32" s="306"/>
      <c r="P32" s="306"/>
      <c r="Q32" s="695"/>
      <c r="R32" s="1266"/>
      <c r="S32" s="1266"/>
      <c r="T32" s="1266"/>
      <c r="U32" s="292"/>
      <c r="V32" s="306"/>
      <c r="W32" s="306"/>
      <c r="X32" s="306"/>
      <c r="Y32" s="306"/>
      <c r="Z32" s="306"/>
      <c r="AA32" s="306"/>
      <c r="AB32" s="307"/>
      <c r="AC32" s="1266"/>
      <c r="AD32" s="1266"/>
    </row>
    <row r="33" spans="1:30" outlineLevel="2">
      <c r="A33" s="1268"/>
      <c r="B33" s="1966" t="s">
        <v>1443</v>
      </c>
      <c r="C33" s="3865">
        <v>6989385.6500000004</v>
      </c>
      <c r="D33" s="3866">
        <v>8695007.4869999979</v>
      </c>
      <c r="E33" s="3866">
        <v>8329443.9600000093</v>
      </c>
      <c r="F33" s="3866">
        <v>9442900.3399999905</v>
      </c>
      <c r="G33" s="3867">
        <v>11286695.009999981</v>
      </c>
      <c r="H33" s="3599"/>
      <c r="I33" s="808"/>
      <c r="J33" s="808"/>
      <c r="K33" s="808"/>
      <c r="L33" s="808"/>
      <c r="M33" s="3599"/>
      <c r="N33" s="808"/>
      <c r="O33" s="808"/>
      <c r="P33" s="808"/>
      <c r="Q33" s="3600"/>
      <c r="U33" s="1868"/>
      <c r="V33" s="1869"/>
      <c r="W33" s="1869"/>
      <c r="X33" s="1869"/>
      <c r="Y33" s="1870"/>
      <c r="Z33" s="1868"/>
      <c r="AA33" s="1869"/>
      <c r="AB33" s="1870"/>
    </row>
    <row r="34" spans="1:30" outlineLevel="2">
      <c r="A34" s="1268"/>
      <c r="B34" s="1966" t="s">
        <v>466</v>
      </c>
      <c r="C34" s="3868"/>
      <c r="D34" s="3869"/>
      <c r="E34" s="3869"/>
      <c r="F34" s="3869"/>
      <c r="G34" s="3870"/>
      <c r="H34" s="809"/>
      <c r="I34" s="723"/>
      <c r="J34" s="723"/>
      <c r="K34" s="723"/>
      <c r="L34" s="723"/>
      <c r="M34" s="809"/>
      <c r="N34" s="723"/>
      <c r="O34" s="723"/>
      <c r="P34" s="723"/>
      <c r="Q34" s="3601"/>
      <c r="U34" s="1871"/>
      <c r="V34" s="1872"/>
      <c r="W34" s="1872"/>
      <c r="X34" s="1872"/>
      <c r="Y34" s="1873"/>
      <c r="Z34" s="1871"/>
      <c r="AA34" s="1872"/>
      <c r="AB34" s="1873"/>
    </row>
    <row r="35" spans="1:30" outlineLevel="2">
      <c r="A35" s="1268"/>
      <c r="B35" s="1966" t="s">
        <v>467</v>
      </c>
      <c r="C35" s="3868"/>
      <c r="D35" s="3869"/>
      <c r="E35" s="3869"/>
      <c r="F35" s="3869"/>
      <c r="G35" s="3870"/>
      <c r="H35" s="809"/>
      <c r="I35" s="723"/>
      <c r="J35" s="723"/>
      <c r="K35" s="723"/>
      <c r="L35" s="723"/>
      <c r="M35" s="809"/>
      <c r="N35" s="723"/>
      <c r="O35" s="723"/>
      <c r="P35" s="723"/>
      <c r="Q35" s="3601"/>
      <c r="U35" s="1871"/>
      <c r="V35" s="1872"/>
      <c r="W35" s="1872"/>
      <c r="X35" s="1872"/>
      <c r="Y35" s="1873"/>
      <c r="Z35" s="1871"/>
      <c r="AA35" s="1872"/>
      <c r="AB35" s="1873"/>
    </row>
    <row r="36" spans="1:30" outlineLevel="2">
      <c r="A36" s="1268"/>
      <c r="B36" s="1966" t="s">
        <v>468</v>
      </c>
      <c r="C36" s="3868"/>
      <c r="D36" s="3869"/>
      <c r="E36" s="3869"/>
      <c r="F36" s="3869"/>
      <c r="G36" s="3870"/>
      <c r="H36" s="809"/>
      <c r="I36" s="723"/>
      <c r="J36" s="723"/>
      <c r="K36" s="723"/>
      <c r="L36" s="723"/>
      <c r="M36" s="809"/>
      <c r="N36" s="723"/>
      <c r="O36" s="723"/>
      <c r="P36" s="723"/>
      <c r="Q36" s="3601"/>
      <c r="U36" s="1871"/>
      <c r="V36" s="1872"/>
      <c r="W36" s="1872"/>
      <c r="X36" s="1872"/>
      <c r="Y36" s="1873"/>
      <c r="Z36" s="1871"/>
      <c r="AA36" s="1872"/>
      <c r="AB36" s="1873"/>
    </row>
    <row r="37" spans="1:30" outlineLevel="2">
      <c r="A37" s="1268"/>
      <c r="B37" s="1966" t="s">
        <v>469</v>
      </c>
      <c r="C37" s="3868"/>
      <c r="D37" s="3869"/>
      <c r="E37" s="3869"/>
      <c r="F37" s="3869"/>
      <c r="G37" s="3870"/>
      <c r="H37" s="809"/>
      <c r="I37" s="723"/>
      <c r="J37" s="723"/>
      <c r="K37" s="723"/>
      <c r="L37" s="723"/>
      <c r="M37" s="809"/>
      <c r="N37" s="723"/>
      <c r="O37" s="723"/>
      <c r="P37" s="723"/>
      <c r="Q37" s="3601"/>
      <c r="U37" s="1871"/>
      <c r="V37" s="1872"/>
      <c r="W37" s="1872"/>
      <c r="X37" s="1872"/>
      <c r="Y37" s="1873"/>
      <c r="Z37" s="1871"/>
      <c r="AA37" s="1872"/>
      <c r="AB37" s="1873"/>
    </row>
    <row r="38" spans="1:30" outlineLevel="2">
      <c r="A38" s="1268"/>
      <c r="B38" s="1966" t="s">
        <v>1444</v>
      </c>
      <c r="C38" s="3868">
        <v>666614.34999999986</v>
      </c>
      <c r="D38" s="3869">
        <v>685873.3</v>
      </c>
      <c r="E38" s="3869">
        <v>872542.03</v>
      </c>
      <c r="F38" s="3869">
        <v>820055.30999999982</v>
      </c>
      <c r="G38" s="3870">
        <v>0</v>
      </c>
      <c r="H38" s="809"/>
      <c r="I38" s="723"/>
      <c r="J38" s="723"/>
      <c r="K38" s="723"/>
      <c r="L38" s="723"/>
      <c r="M38" s="809"/>
      <c r="N38" s="723"/>
      <c r="O38" s="723"/>
      <c r="P38" s="723"/>
      <c r="Q38" s="3601"/>
      <c r="U38" s="1871"/>
      <c r="V38" s="1872"/>
      <c r="W38" s="1872"/>
      <c r="X38" s="1872"/>
      <c r="Y38" s="1873"/>
      <c r="Z38" s="1871"/>
      <c r="AA38" s="1872"/>
      <c r="AB38" s="1873"/>
    </row>
    <row r="39" spans="1:30" outlineLevel="2">
      <c r="A39" s="1268"/>
      <c r="B39" s="1966" t="s">
        <v>58</v>
      </c>
      <c r="C39" s="3871"/>
      <c r="D39" s="3872"/>
      <c r="E39" s="3872"/>
      <c r="F39" s="3872"/>
      <c r="G39" s="3873"/>
      <c r="H39" s="810"/>
      <c r="I39" s="724"/>
      <c r="J39" s="724"/>
      <c r="K39" s="724"/>
      <c r="L39" s="724"/>
      <c r="M39" s="810"/>
      <c r="N39" s="724"/>
      <c r="O39" s="724"/>
      <c r="P39" s="724"/>
      <c r="Q39" s="3602"/>
      <c r="U39" s="1874"/>
      <c r="V39" s="1875"/>
      <c r="W39" s="1875"/>
      <c r="X39" s="1875"/>
      <c r="Y39" s="1876"/>
      <c r="Z39" s="1874"/>
      <c r="AA39" s="1875"/>
      <c r="AB39" s="1876"/>
    </row>
    <row r="40" spans="1:30" outlineLevel="2">
      <c r="A40" s="1268"/>
      <c r="B40" s="1966" t="s">
        <v>89</v>
      </c>
      <c r="C40" s="3871"/>
      <c r="D40" s="3872"/>
      <c r="E40" s="3872"/>
      <c r="F40" s="3872"/>
      <c r="G40" s="3873"/>
      <c r="H40" s="810"/>
      <c r="I40" s="724"/>
      <c r="J40" s="724"/>
      <c r="K40" s="724"/>
      <c r="L40" s="724"/>
      <c r="M40" s="810"/>
      <c r="N40" s="724"/>
      <c r="O40" s="724"/>
      <c r="P40" s="724"/>
      <c r="Q40" s="3602"/>
      <c r="U40" s="1874"/>
      <c r="V40" s="1875"/>
      <c r="W40" s="1875"/>
      <c r="X40" s="1875"/>
      <c r="Y40" s="1876"/>
      <c r="Z40" s="1874"/>
      <c r="AA40" s="1875"/>
      <c r="AB40" s="1876"/>
    </row>
    <row r="41" spans="1:30" ht="13.5" outlineLevel="2" thickBot="1">
      <c r="A41" s="1268"/>
      <c r="B41" s="807" t="s">
        <v>1445</v>
      </c>
      <c r="C41" s="3871"/>
      <c r="D41" s="3872"/>
      <c r="E41" s="3872"/>
      <c r="F41" s="3872"/>
      <c r="G41" s="3873"/>
      <c r="H41" s="810"/>
      <c r="I41" s="724"/>
      <c r="J41" s="724"/>
      <c r="K41" s="724"/>
      <c r="L41" s="724"/>
      <c r="M41" s="810"/>
      <c r="N41" s="724"/>
      <c r="O41" s="724"/>
      <c r="P41" s="724"/>
      <c r="Q41" s="3602"/>
      <c r="U41" s="1874"/>
      <c r="V41" s="1875"/>
      <c r="W41" s="1875"/>
      <c r="X41" s="1875"/>
      <c r="Y41" s="1876"/>
      <c r="Z41" s="1874"/>
      <c r="AA41" s="1875"/>
      <c r="AB41" s="1876"/>
    </row>
    <row r="42" spans="1:30" ht="13.5" outlineLevel="1" thickBot="1">
      <c r="A42" s="1268"/>
      <c r="B42" s="727" t="s">
        <v>65</v>
      </c>
      <c r="C42" s="3874">
        <f t="shared" ref="C42:Q42" si="2">SUM(C33:C41)</f>
        <v>7656000</v>
      </c>
      <c r="D42" s="3874">
        <f t="shared" si="2"/>
        <v>9380880.7869999986</v>
      </c>
      <c r="E42" s="3874">
        <f t="shared" si="2"/>
        <v>9201985.9900000095</v>
      </c>
      <c r="F42" s="3874">
        <f t="shared" si="2"/>
        <v>10262955.649999991</v>
      </c>
      <c r="G42" s="3874">
        <f t="shared" si="2"/>
        <v>11286695.009999981</v>
      </c>
      <c r="H42" s="728">
        <f t="shared" si="2"/>
        <v>0</v>
      </c>
      <c r="I42" s="728">
        <f t="shared" si="2"/>
        <v>0</v>
      </c>
      <c r="J42" s="728">
        <f t="shared" si="2"/>
        <v>0</v>
      </c>
      <c r="K42" s="728">
        <f t="shared" si="2"/>
        <v>0</v>
      </c>
      <c r="L42" s="728">
        <f t="shared" si="2"/>
        <v>0</v>
      </c>
      <c r="M42" s="728">
        <f t="shared" si="2"/>
        <v>0</v>
      </c>
      <c r="N42" s="728">
        <f t="shared" si="2"/>
        <v>0</v>
      </c>
      <c r="O42" s="728">
        <f t="shared" si="2"/>
        <v>0</v>
      </c>
      <c r="P42" s="728">
        <f t="shared" si="2"/>
        <v>0</v>
      </c>
      <c r="Q42" s="729">
        <f t="shared" si="2"/>
        <v>0</v>
      </c>
      <c r="U42" s="727">
        <f t="shared" ref="U42:AB42" si="3">SUM(U33:U41)</f>
        <v>0</v>
      </c>
      <c r="V42" s="728">
        <f t="shared" si="3"/>
        <v>0</v>
      </c>
      <c r="W42" s="728">
        <f t="shared" si="3"/>
        <v>0</v>
      </c>
      <c r="X42" s="728">
        <f t="shared" si="3"/>
        <v>0</v>
      </c>
      <c r="Y42" s="728">
        <f t="shared" si="3"/>
        <v>0</v>
      </c>
      <c r="Z42" s="728">
        <f t="shared" si="3"/>
        <v>0</v>
      </c>
      <c r="AA42" s="728">
        <f t="shared" si="3"/>
        <v>0</v>
      </c>
      <c r="AB42" s="729">
        <f t="shared" si="3"/>
        <v>0</v>
      </c>
    </row>
    <row r="43" spans="1:30" s="1268" customFormat="1" ht="23.25" customHeight="1" outlineLevel="1" thickBot="1">
      <c r="R43" s="1266"/>
      <c r="S43" s="1266"/>
      <c r="T43" s="1266"/>
      <c r="AC43" s="1266"/>
      <c r="AD43" s="1266"/>
    </row>
    <row r="44" spans="1:30" s="501" customFormat="1" ht="24.75" customHeight="1" thickBot="1">
      <c r="A44" s="299"/>
      <c r="B44" s="682" t="str">
        <f>CONCATENATE("Table 16.1.3 - ",'[10]17. Gross Capex '!B23)</f>
        <v>Table 16.1.3 - Cathodic Protection</v>
      </c>
      <c r="C44" s="306"/>
      <c r="D44" s="306"/>
      <c r="E44" s="306"/>
      <c r="F44" s="306"/>
      <c r="G44" s="306"/>
      <c r="H44" s="306"/>
      <c r="I44" s="306"/>
      <c r="J44" s="306"/>
      <c r="K44" s="306"/>
      <c r="L44" s="306"/>
      <c r="M44" s="306"/>
      <c r="N44" s="306"/>
      <c r="O44" s="306"/>
      <c r="P44" s="306"/>
      <c r="Q44" s="695"/>
      <c r="R44" s="1266"/>
      <c r="S44" s="1266"/>
      <c r="T44" s="1266"/>
      <c r="U44" s="292"/>
      <c r="V44" s="306"/>
      <c r="W44" s="306"/>
      <c r="X44" s="306"/>
      <c r="Y44" s="306"/>
      <c r="Z44" s="306"/>
      <c r="AA44" s="306"/>
      <c r="AB44" s="307"/>
      <c r="AC44" s="1266"/>
      <c r="AD44" s="1266"/>
    </row>
    <row r="45" spans="1:30" outlineLevel="2">
      <c r="A45" s="1268"/>
      <c r="B45" s="1966" t="s">
        <v>1443</v>
      </c>
      <c r="C45" s="3865"/>
      <c r="D45" s="3866"/>
      <c r="E45" s="3866"/>
      <c r="F45" s="3866"/>
      <c r="G45" s="3867"/>
      <c r="H45" s="3599"/>
      <c r="I45" s="808"/>
      <c r="J45" s="808"/>
      <c r="K45" s="808"/>
      <c r="L45" s="808"/>
      <c r="M45" s="3599"/>
      <c r="N45" s="808"/>
      <c r="O45" s="808"/>
      <c r="P45" s="808"/>
      <c r="Q45" s="3600"/>
      <c r="U45" s="1868"/>
      <c r="V45" s="1869"/>
      <c r="W45" s="1869"/>
      <c r="X45" s="1869"/>
      <c r="Y45" s="1870"/>
      <c r="Z45" s="1868"/>
      <c r="AA45" s="1869"/>
      <c r="AB45" s="1870"/>
    </row>
    <row r="46" spans="1:30" outlineLevel="2">
      <c r="A46" s="1268"/>
      <c r="B46" s="1966" t="s">
        <v>466</v>
      </c>
      <c r="C46" s="3868"/>
      <c r="D46" s="3869"/>
      <c r="E46" s="3869"/>
      <c r="F46" s="3869"/>
      <c r="G46" s="3870"/>
      <c r="H46" s="809"/>
      <c r="I46" s="723"/>
      <c r="J46" s="723"/>
      <c r="K46" s="723"/>
      <c r="L46" s="723"/>
      <c r="M46" s="809"/>
      <c r="N46" s="723"/>
      <c r="O46" s="723"/>
      <c r="P46" s="723"/>
      <c r="Q46" s="3601"/>
      <c r="U46" s="1871"/>
      <c r="V46" s="1872"/>
      <c r="W46" s="1872"/>
      <c r="X46" s="1872"/>
      <c r="Y46" s="1873"/>
      <c r="Z46" s="1871"/>
      <c r="AA46" s="1872"/>
      <c r="AB46" s="1873"/>
    </row>
    <row r="47" spans="1:30" outlineLevel="2">
      <c r="A47" s="1268"/>
      <c r="B47" s="1966" t="s">
        <v>467</v>
      </c>
      <c r="C47" s="3868"/>
      <c r="D47" s="3869"/>
      <c r="E47" s="3869"/>
      <c r="F47" s="3869"/>
      <c r="G47" s="3870"/>
      <c r="H47" s="809"/>
      <c r="I47" s="723"/>
      <c r="J47" s="723"/>
      <c r="K47" s="723"/>
      <c r="L47" s="723"/>
      <c r="M47" s="809"/>
      <c r="N47" s="723"/>
      <c r="O47" s="723"/>
      <c r="P47" s="723"/>
      <c r="Q47" s="3601"/>
      <c r="U47" s="1871"/>
      <c r="V47" s="1872"/>
      <c r="W47" s="1872"/>
      <c r="X47" s="1872"/>
      <c r="Y47" s="1873"/>
      <c r="Z47" s="1871"/>
      <c r="AA47" s="1872"/>
      <c r="AB47" s="1873"/>
    </row>
    <row r="48" spans="1:30" outlineLevel="2">
      <c r="A48" s="1268"/>
      <c r="B48" s="1966" t="s">
        <v>468</v>
      </c>
      <c r="C48" s="3868"/>
      <c r="D48" s="3869"/>
      <c r="E48" s="3869"/>
      <c r="F48" s="3869"/>
      <c r="G48" s="3870"/>
      <c r="H48" s="809"/>
      <c r="I48" s="723"/>
      <c r="J48" s="723"/>
      <c r="K48" s="723"/>
      <c r="L48" s="723"/>
      <c r="M48" s="809"/>
      <c r="N48" s="723"/>
      <c r="O48" s="723"/>
      <c r="P48" s="723"/>
      <c r="Q48" s="3601"/>
      <c r="U48" s="1871"/>
      <c r="V48" s="1872"/>
      <c r="W48" s="1872"/>
      <c r="X48" s="1872"/>
      <c r="Y48" s="1873"/>
      <c r="Z48" s="1871"/>
      <c r="AA48" s="1872"/>
      <c r="AB48" s="1873"/>
    </row>
    <row r="49" spans="1:30" outlineLevel="2">
      <c r="A49" s="1268"/>
      <c r="B49" s="1966" t="s">
        <v>469</v>
      </c>
      <c r="C49" s="3868"/>
      <c r="D49" s="3869"/>
      <c r="E49" s="3869"/>
      <c r="F49" s="3869"/>
      <c r="G49" s="3870"/>
      <c r="H49" s="809"/>
      <c r="I49" s="723"/>
      <c r="J49" s="723"/>
      <c r="K49" s="723"/>
      <c r="L49" s="723"/>
      <c r="M49" s="809"/>
      <c r="N49" s="723"/>
      <c r="O49" s="723"/>
      <c r="P49" s="723"/>
      <c r="Q49" s="3601"/>
      <c r="U49" s="1871"/>
      <c r="V49" s="1872"/>
      <c r="W49" s="1872"/>
      <c r="X49" s="1872"/>
      <c r="Y49" s="1873"/>
      <c r="Z49" s="1871"/>
      <c r="AA49" s="1872"/>
      <c r="AB49" s="1873"/>
    </row>
    <row r="50" spans="1:30" outlineLevel="2">
      <c r="A50" s="1268"/>
      <c r="B50" s="1966" t="s">
        <v>1444</v>
      </c>
      <c r="C50" s="3868">
        <v>105640.65</v>
      </c>
      <c r="D50" s="3869">
        <v>171702.81</v>
      </c>
      <c r="E50" s="3869">
        <v>62424.95</v>
      </c>
      <c r="F50" s="3869">
        <v>123092.04000000001</v>
      </c>
      <c r="G50" s="3870">
        <v>46795.240000000005</v>
      </c>
      <c r="H50" s="809"/>
      <c r="I50" s="723"/>
      <c r="J50" s="723"/>
      <c r="K50" s="723"/>
      <c r="L50" s="723"/>
      <c r="M50" s="809"/>
      <c r="N50" s="723"/>
      <c r="O50" s="723"/>
      <c r="P50" s="723"/>
      <c r="Q50" s="3601"/>
      <c r="U50" s="1871"/>
      <c r="V50" s="1872"/>
      <c r="W50" s="1872"/>
      <c r="X50" s="1872"/>
      <c r="Y50" s="1873"/>
      <c r="Z50" s="1871"/>
      <c r="AA50" s="1872"/>
      <c r="AB50" s="1873"/>
    </row>
    <row r="51" spans="1:30" outlineLevel="2">
      <c r="A51" s="1268"/>
      <c r="B51" s="1966" t="s">
        <v>58</v>
      </c>
      <c r="C51" s="3871"/>
      <c r="D51" s="3872"/>
      <c r="E51" s="3872"/>
      <c r="F51" s="3872"/>
      <c r="G51" s="3873"/>
      <c r="H51" s="810"/>
      <c r="I51" s="724"/>
      <c r="J51" s="724"/>
      <c r="K51" s="724"/>
      <c r="L51" s="724"/>
      <c r="M51" s="810"/>
      <c r="N51" s="724"/>
      <c r="O51" s="724"/>
      <c r="P51" s="724"/>
      <c r="Q51" s="3602"/>
      <c r="U51" s="1874"/>
      <c r="V51" s="1875"/>
      <c r="W51" s="1875"/>
      <c r="X51" s="1875"/>
      <c r="Y51" s="1876"/>
      <c r="Z51" s="1874"/>
      <c r="AA51" s="1875"/>
      <c r="AB51" s="1876"/>
    </row>
    <row r="52" spans="1:30" outlineLevel="2">
      <c r="A52" s="1268"/>
      <c r="B52" s="1966" t="s">
        <v>89</v>
      </c>
      <c r="C52" s="3871"/>
      <c r="D52" s="3872"/>
      <c r="E52" s="3872"/>
      <c r="F52" s="3872"/>
      <c r="G52" s="3873"/>
      <c r="H52" s="810"/>
      <c r="I52" s="724"/>
      <c r="J52" s="724"/>
      <c r="K52" s="724"/>
      <c r="L52" s="724"/>
      <c r="M52" s="810"/>
      <c r="N52" s="724"/>
      <c r="O52" s="724"/>
      <c r="P52" s="724"/>
      <c r="Q52" s="3602"/>
      <c r="U52" s="1874"/>
      <c r="V52" s="1875"/>
      <c r="W52" s="1875"/>
      <c r="X52" s="1875"/>
      <c r="Y52" s="1876"/>
      <c r="Z52" s="1874"/>
      <c r="AA52" s="1875"/>
      <c r="AB52" s="1876"/>
    </row>
    <row r="53" spans="1:30" ht="13.5" outlineLevel="2" thickBot="1">
      <c r="A53" s="1268"/>
      <c r="B53" s="807" t="s">
        <v>1445</v>
      </c>
      <c r="C53" s="3871"/>
      <c r="D53" s="3872"/>
      <c r="E53" s="3872"/>
      <c r="F53" s="3872"/>
      <c r="G53" s="3873"/>
      <c r="H53" s="810"/>
      <c r="I53" s="724"/>
      <c r="J53" s="724"/>
      <c r="K53" s="724"/>
      <c r="L53" s="724"/>
      <c r="M53" s="810"/>
      <c r="N53" s="724"/>
      <c r="O53" s="724"/>
      <c r="P53" s="724"/>
      <c r="Q53" s="3602"/>
      <c r="U53" s="1874"/>
      <c r="V53" s="1875"/>
      <c r="W53" s="1875"/>
      <c r="X53" s="1875"/>
      <c r="Y53" s="1876"/>
      <c r="Z53" s="1874"/>
      <c r="AA53" s="1875"/>
      <c r="AB53" s="1876"/>
    </row>
    <row r="54" spans="1:30" ht="13.5" outlineLevel="1" thickBot="1">
      <c r="A54" s="1268"/>
      <c r="B54" s="727" t="s">
        <v>65</v>
      </c>
      <c r="C54" s="3874">
        <f t="shared" ref="C54:Q54" si="4">SUM(C45:C53)</f>
        <v>105640.65</v>
      </c>
      <c r="D54" s="3874">
        <f t="shared" si="4"/>
        <v>171702.81</v>
      </c>
      <c r="E54" s="3874">
        <f t="shared" si="4"/>
        <v>62424.95</v>
      </c>
      <c r="F54" s="3874">
        <f t="shared" si="4"/>
        <v>123092.04000000001</v>
      </c>
      <c r="G54" s="3874">
        <f t="shared" si="4"/>
        <v>46795.240000000005</v>
      </c>
      <c r="H54" s="728">
        <f t="shared" si="4"/>
        <v>0</v>
      </c>
      <c r="I54" s="728">
        <f t="shared" si="4"/>
        <v>0</v>
      </c>
      <c r="J54" s="728">
        <f t="shared" si="4"/>
        <v>0</v>
      </c>
      <c r="K54" s="728">
        <f t="shared" si="4"/>
        <v>0</v>
      </c>
      <c r="L54" s="728">
        <f t="shared" si="4"/>
        <v>0</v>
      </c>
      <c r="M54" s="728">
        <f t="shared" si="4"/>
        <v>0</v>
      </c>
      <c r="N54" s="728">
        <f t="shared" si="4"/>
        <v>0</v>
      </c>
      <c r="O54" s="728">
        <f t="shared" si="4"/>
        <v>0</v>
      </c>
      <c r="P54" s="728">
        <f t="shared" si="4"/>
        <v>0</v>
      </c>
      <c r="Q54" s="729">
        <f t="shared" si="4"/>
        <v>0</v>
      </c>
      <c r="U54" s="727">
        <f t="shared" ref="U54:AB54" si="5">SUM(U45:U53)</f>
        <v>0</v>
      </c>
      <c r="V54" s="728">
        <f t="shared" si="5"/>
        <v>0</v>
      </c>
      <c r="W54" s="728">
        <f t="shared" si="5"/>
        <v>0</v>
      </c>
      <c r="X54" s="728">
        <f t="shared" si="5"/>
        <v>0</v>
      </c>
      <c r="Y54" s="728">
        <f t="shared" si="5"/>
        <v>0</v>
      </c>
      <c r="Z54" s="728">
        <f t="shared" si="5"/>
        <v>0</v>
      </c>
      <c r="AA54" s="728">
        <f t="shared" si="5"/>
        <v>0</v>
      </c>
      <c r="AB54" s="729">
        <f t="shared" si="5"/>
        <v>0</v>
      </c>
    </row>
    <row r="55" spans="1:30" s="1268" customFormat="1" ht="23.25" customHeight="1" outlineLevel="1" thickBot="1">
      <c r="R55" s="1266"/>
      <c r="S55" s="1266"/>
      <c r="T55" s="1266"/>
      <c r="AC55" s="1266"/>
      <c r="AD55" s="1266"/>
    </row>
    <row r="56" spans="1:30" s="501" customFormat="1" ht="24.75" customHeight="1" thickBot="1">
      <c r="A56" s="299"/>
      <c r="B56" s="682" t="str">
        <f>CONCATENATE("Table 16.1.4 - ",'[10]17. Gross Capex '!B24)</f>
        <v>Table 16.1.4 - Supply Regs/Valve stations</v>
      </c>
      <c r="C56" s="306"/>
      <c r="D56" s="306"/>
      <c r="E56" s="306"/>
      <c r="F56" s="306"/>
      <c r="G56" s="306"/>
      <c r="H56" s="306"/>
      <c r="I56" s="306"/>
      <c r="J56" s="306"/>
      <c r="K56" s="306"/>
      <c r="L56" s="306"/>
      <c r="M56" s="306"/>
      <c r="N56" s="306"/>
      <c r="O56" s="306"/>
      <c r="P56" s="306"/>
      <c r="Q56" s="695"/>
      <c r="R56" s="1266"/>
      <c r="S56" s="1266"/>
      <c r="T56" s="1266"/>
      <c r="U56" s="292"/>
      <c r="V56" s="306"/>
      <c r="W56" s="306"/>
      <c r="X56" s="306"/>
      <c r="Y56" s="306"/>
      <c r="Z56" s="306"/>
      <c r="AA56" s="306"/>
      <c r="AB56" s="307"/>
      <c r="AC56" s="1266"/>
      <c r="AD56" s="1266"/>
    </row>
    <row r="57" spans="1:30" outlineLevel="2">
      <c r="A57" s="1268"/>
      <c r="B57" s="1966" t="s">
        <v>1443</v>
      </c>
      <c r="C57" s="3865">
        <v>1976572.4299999997</v>
      </c>
      <c r="D57" s="3866">
        <v>958792.32</v>
      </c>
      <c r="E57" s="3866">
        <v>589498.26</v>
      </c>
      <c r="F57" s="3866">
        <v>431021.429999999</v>
      </c>
      <c r="G57" s="3867">
        <v>505968.23999999987</v>
      </c>
      <c r="H57" s="3599"/>
      <c r="I57" s="808"/>
      <c r="J57" s="808"/>
      <c r="K57" s="808"/>
      <c r="L57" s="808"/>
      <c r="M57" s="3599"/>
      <c r="N57" s="808"/>
      <c r="O57" s="808"/>
      <c r="P57" s="808"/>
      <c r="Q57" s="3600"/>
      <c r="U57" s="1868"/>
      <c r="V57" s="1869"/>
      <c r="W57" s="1869"/>
      <c r="X57" s="1869"/>
      <c r="Y57" s="1870"/>
      <c r="Z57" s="1868"/>
      <c r="AA57" s="1869"/>
      <c r="AB57" s="1870"/>
    </row>
    <row r="58" spans="1:30" outlineLevel="2">
      <c r="A58" s="1268"/>
      <c r="B58" s="1966" t="s">
        <v>466</v>
      </c>
      <c r="C58" s="3868"/>
      <c r="D58" s="3869"/>
      <c r="E58" s="3869"/>
      <c r="F58" s="3869"/>
      <c r="G58" s="3870"/>
      <c r="H58" s="809"/>
      <c r="I58" s="723"/>
      <c r="J58" s="723"/>
      <c r="K58" s="723"/>
      <c r="L58" s="723"/>
      <c r="M58" s="809"/>
      <c r="N58" s="723"/>
      <c r="O58" s="723"/>
      <c r="P58" s="723"/>
      <c r="Q58" s="3601"/>
      <c r="U58" s="1871"/>
      <c r="V58" s="1872"/>
      <c r="W58" s="1872"/>
      <c r="X58" s="1872"/>
      <c r="Y58" s="1873"/>
      <c r="Z58" s="1871"/>
      <c r="AA58" s="1872"/>
      <c r="AB58" s="1873"/>
    </row>
    <row r="59" spans="1:30" outlineLevel="2">
      <c r="A59" s="1268"/>
      <c r="B59" s="1966" t="s">
        <v>467</v>
      </c>
      <c r="C59" s="3868"/>
      <c r="D59" s="3869"/>
      <c r="E59" s="3869"/>
      <c r="F59" s="3869"/>
      <c r="G59" s="3870"/>
      <c r="H59" s="809"/>
      <c r="I59" s="723"/>
      <c r="J59" s="723"/>
      <c r="K59" s="723"/>
      <c r="L59" s="723"/>
      <c r="M59" s="809"/>
      <c r="N59" s="723"/>
      <c r="O59" s="723"/>
      <c r="P59" s="723"/>
      <c r="Q59" s="3601"/>
      <c r="U59" s="1871"/>
      <c r="V59" s="1872"/>
      <c r="W59" s="1872"/>
      <c r="X59" s="1872"/>
      <c r="Y59" s="1873"/>
      <c r="Z59" s="1871"/>
      <c r="AA59" s="1872"/>
      <c r="AB59" s="1873"/>
    </row>
    <row r="60" spans="1:30" outlineLevel="2">
      <c r="A60" s="1268"/>
      <c r="B60" s="1966" t="s">
        <v>468</v>
      </c>
      <c r="C60" s="3868"/>
      <c r="D60" s="3869"/>
      <c r="E60" s="3869"/>
      <c r="F60" s="3869"/>
      <c r="G60" s="3870"/>
      <c r="H60" s="809"/>
      <c r="I60" s="723"/>
      <c r="J60" s="723"/>
      <c r="K60" s="723"/>
      <c r="L60" s="723"/>
      <c r="M60" s="809"/>
      <c r="N60" s="723"/>
      <c r="O60" s="723"/>
      <c r="P60" s="723"/>
      <c r="Q60" s="3601"/>
      <c r="U60" s="1871"/>
      <c r="V60" s="1872"/>
      <c r="W60" s="1872"/>
      <c r="X60" s="1872"/>
      <c r="Y60" s="1873"/>
      <c r="Z60" s="1871"/>
      <c r="AA60" s="1872"/>
      <c r="AB60" s="1873"/>
    </row>
    <row r="61" spans="1:30" outlineLevel="2">
      <c r="A61" s="1268"/>
      <c r="B61" s="1966" t="s">
        <v>469</v>
      </c>
      <c r="C61" s="3868"/>
      <c r="D61" s="3869"/>
      <c r="E61" s="3869"/>
      <c r="F61" s="3869"/>
      <c r="G61" s="3870"/>
      <c r="H61" s="809"/>
      <c r="I61" s="723"/>
      <c r="J61" s="723"/>
      <c r="K61" s="723"/>
      <c r="L61" s="723"/>
      <c r="M61" s="809"/>
      <c r="N61" s="723"/>
      <c r="O61" s="723"/>
      <c r="P61" s="723"/>
      <c r="Q61" s="3601"/>
      <c r="U61" s="1871"/>
      <c r="V61" s="1872"/>
      <c r="W61" s="1872"/>
      <c r="X61" s="1872"/>
      <c r="Y61" s="1873"/>
      <c r="Z61" s="1871"/>
      <c r="AA61" s="1872"/>
      <c r="AB61" s="1873"/>
    </row>
    <row r="62" spans="1:30" outlineLevel="2">
      <c r="A62" s="1268"/>
      <c r="B62" s="1966" t="s">
        <v>1444</v>
      </c>
      <c r="C62" s="3868">
        <v>420309</v>
      </c>
      <c r="D62" s="3869">
        <v>527947.81999999995</v>
      </c>
      <c r="E62" s="3869">
        <v>333841.45</v>
      </c>
      <c r="F62" s="3869">
        <v>656209.16000000038</v>
      </c>
      <c r="G62" s="3870">
        <v>408564</v>
      </c>
      <c r="H62" s="809"/>
      <c r="I62" s="723"/>
      <c r="J62" s="723"/>
      <c r="K62" s="723"/>
      <c r="L62" s="723"/>
      <c r="M62" s="809"/>
      <c r="N62" s="723"/>
      <c r="O62" s="723"/>
      <c r="P62" s="723"/>
      <c r="Q62" s="3601"/>
      <c r="U62" s="1871"/>
      <c r="V62" s="1872"/>
      <c r="W62" s="1872"/>
      <c r="X62" s="1872"/>
      <c r="Y62" s="1873"/>
      <c r="Z62" s="1871"/>
      <c r="AA62" s="1872"/>
      <c r="AB62" s="1873"/>
    </row>
    <row r="63" spans="1:30" outlineLevel="2">
      <c r="A63" s="1268"/>
      <c r="B63" s="1966" t="s">
        <v>58</v>
      </c>
      <c r="C63" s="3871"/>
      <c r="D63" s="3872"/>
      <c r="E63" s="3872"/>
      <c r="F63" s="3872"/>
      <c r="G63" s="3873"/>
      <c r="H63" s="810"/>
      <c r="I63" s="724"/>
      <c r="J63" s="724"/>
      <c r="K63" s="724"/>
      <c r="L63" s="724"/>
      <c r="M63" s="810"/>
      <c r="N63" s="724"/>
      <c r="O63" s="724"/>
      <c r="P63" s="724"/>
      <c r="Q63" s="3602"/>
      <c r="U63" s="1874"/>
      <c r="V63" s="1875"/>
      <c r="W63" s="1875"/>
      <c r="X63" s="1875"/>
      <c r="Y63" s="1876"/>
      <c r="Z63" s="1874"/>
      <c r="AA63" s="1875"/>
      <c r="AB63" s="1876"/>
    </row>
    <row r="64" spans="1:30" outlineLevel="2">
      <c r="A64" s="1268"/>
      <c r="B64" s="1966" t="s">
        <v>89</v>
      </c>
      <c r="C64" s="3871"/>
      <c r="D64" s="3872"/>
      <c r="E64" s="3872"/>
      <c r="F64" s="3872"/>
      <c r="G64" s="3873"/>
      <c r="H64" s="810"/>
      <c r="I64" s="724"/>
      <c r="J64" s="724"/>
      <c r="K64" s="724"/>
      <c r="L64" s="724"/>
      <c r="M64" s="810"/>
      <c r="N64" s="724"/>
      <c r="O64" s="724"/>
      <c r="P64" s="724"/>
      <c r="Q64" s="3602"/>
      <c r="U64" s="1874"/>
      <c r="V64" s="1875"/>
      <c r="W64" s="1875"/>
      <c r="X64" s="1875"/>
      <c r="Y64" s="1876"/>
      <c r="Z64" s="1874"/>
      <c r="AA64" s="1875"/>
      <c r="AB64" s="1876"/>
    </row>
    <row r="65" spans="1:30" ht="13.5" outlineLevel="2" thickBot="1">
      <c r="A65" s="1268"/>
      <c r="B65" s="807" t="s">
        <v>1445</v>
      </c>
      <c r="C65" s="3871"/>
      <c r="D65" s="3872"/>
      <c r="E65" s="3872"/>
      <c r="F65" s="3872"/>
      <c r="G65" s="3873"/>
      <c r="H65" s="810"/>
      <c r="I65" s="724"/>
      <c r="J65" s="724"/>
      <c r="K65" s="724"/>
      <c r="L65" s="724"/>
      <c r="M65" s="810"/>
      <c r="N65" s="724"/>
      <c r="O65" s="724"/>
      <c r="P65" s="724"/>
      <c r="Q65" s="3602"/>
      <c r="U65" s="1874"/>
      <c r="V65" s="1875"/>
      <c r="W65" s="1875"/>
      <c r="X65" s="1875"/>
      <c r="Y65" s="1876"/>
      <c r="Z65" s="1874"/>
      <c r="AA65" s="1875"/>
      <c r="AB65" s="1876"/>
    </row>
    <row r="66" spans="1:30" ht="13.5" outlineLevel="1" thickBot="1">
      <c r="A66" s="1268"/>
      <c r="B66" s="727" t="s">
        <v>65</v>
      </c>
      <c r="C66" s="3874">
        <f t="shared" ref="C66:Q66" si="6">SUM(C57:C65)</f>
        <v>2396881.4299999997</v>
      </c>
      <c r="D66" s="3874">
        <f t="shared" si="6"/>
        <v>1486740.14</v>
      </c>
      <c r="E66" s="3874">
        <f t="shared" si="6"/>
        <v>923339.71</v>
      </c>
      <c r="F66" s="3874">
        <f t="shared" si="6"/>
        <v>1087230.5899999994</v>
      </c>
      <c r="G66" s="3874">
        <f t="shared" si="6"/>
        <v>914532.23999999987</v>
      </c>
      <c r="H66" s="728">
        <f t="shared" si="6"/>
        <v>0</v>
      </c>
      <c r="I66" s="728">
        <f t="shared" si="6"/>
        <v>0</v>
      </c>
      <c r="J66" s="728">
        <f t="shared" si="6"/>
        <v>0</v>
      </c>
      <c r="K66" s="728">
        <f t="shared" si="6"/>
        <v>0</v>
      </c>
      <c r="L66" s="728">
        <f t="shared" si="6"/>
        <v>0</v>
      </c>
      <c r="M66" s="728">
        <f t="shared" si="6"/>
        <v>0</v>
      </c>
      <c r="N66" s="728">
        <f t="shared" si="6"/>
        <v>0</v>
      </c>
      <c r="O66" s="728">
        <f t="shared" si="6"/>
        <v>0</v>
      </c>
      <c r="P66" s="728">
        <f t="shared" si="6"/>
        <v>0</v>
      </c>
      <c r="Q66" s="729">
        <f t="shared" si="6"/>
        <v>0</v>
      </c>
      <c r="U66" s="727">
        <f t="shared" ref="U66:AB66" si="7">SUM(U57:U65)</f>
        <v>0</v>
      </c>
      <c r="V66" s="728">
        <f t="shared" si="7"/>
        <v>0</v>
      </c>
      <c r="W66" s="728">
        <f t="shared" si="7"/>
        <v>0</v>
      </c>
      <c r="X66" s="728">
        <f t="shared" si="7"/>
        <v>0</v>
      </c>
      <c r="Y66" s="728">
        <f t="shared" si="7"/>
        <v>0</v>
      </c>
      <c r="Z66" s="728">
        <f t="shared" si="7"/>
        <v>0</v>
      </c>
      <c r="AA66" s="728">
        <f t="shared" si="7"/>
        <v>0</v>
      </c>
      <c r="AB66" s="729">
        <f t="shared" si="7"/>
        <v>0</v>
      </c>
    </row>
    <row r="67" spans="1:30" s="1268" customFormat="1" ht="23.25" customHeight="1" outlineLevel="1" thickBot="1">
      <c r="R67" s="1266"/>
      <c r="S67" s="1266"/>
      <c r="T67" s="1266"/>
      <c r="AC67" s="1266"/>
      <c r="AD67" s="1266"/>
    </row>
    <row r="68" spans="1:30" s="501" customFormat="1" ht="24.75" customHeight="1" thickBot="1">
      <c r="A68" s="299"/>
      <c r="B68" s="682" t="str">
        <f>CONCATENATE("Table 16.1.5 - ",'[10]17. Gross Capex '!B25)</f>
        <v>Table 16.1.5 - Meters</v>
      </c>
      <c r="C68" s="306"/>
      <c r="D68" s="306"/>
      <c r="E68" s="306"/>
      <c r="F68" s="306"/>
      <c r="G68" s="306"/>
      <c r="H68" s="306"/>
      <c r="I68" s="306"/>
      <c r="J68" s="306"/>
      <c r="K68" s="306"/>
      <c r="L68" s="306"/>
      <c r="M68" s="306"/>
      <c r="N68" s="306"/>
      <c r="O68" s="306"/>
      <c r="P68" s="306"/>
      <c r="Q68" s="695"/>
      <c r="R68" s="1266"/>
      <c r="S68" s="1266"/>
      <c r="T68" s="1266"/>
      <c r="U68" s="292"/>
      <c r="V68" s="306"/>
      <c r="W68" s="306"/>
      <c r="X68" s="306"/>
      <c r="Y68" s="306"/>
      <c r="Z68" s="306"/>
      <c r="AA68" s="306"/>
      <c r="AB68" s="307"/>
      <c r="AC68" s="1266"/>
      <c r="AD68" s="1266"/>
    </row>
    <row r="69" spans="1:30" outlineLevel="2">
      <c r="A69" s="1268"/>
      <c r="B69" s="1966" t="s">
        <v>1443</v>
      </c>
      <c r="C69" s="3865">
        <v>997447.86999999988</v>
      </c>
      <c r="D69" s="3866">
        <v>1266033.3500000001</v>
      </c>
      <c r="E69" s="3866">
        <v>1114088.9899999993</v>
      </c>
      <c r="F69" s="3866">
        <v>2258678.7754833829</v>
      </c>
      <c r="G69" s="3867">
        <v>1855949.7401517702</v>
      </c>
      <c r="H69" s="3599"/>
      <c r="I69" s="808"/>
      <c r="J69" s="808"/>
      <c r="K69" s="808"/>
      <c r="L69" s="808"/>
      <c r="M69" s="3599"/>
      <c r="N69" s="808"/>
      <c r="O69" s="808"/>
      <c r="P69" s="808"/>
      <c r="Q69" s="3600"/>
      <c r="U69" s="1868"/>
      <c r="V69" s="1869"/>
      <c r="W69" s="1869"/>
      <c r="X69" s="1869"/>
      <c r="Y69" s="1870"/>
      <c r="Z69" s="1868"/>
      <c r="AA69" s="1869"/>
      <c r="AB69" s="1870"/>
    </row>
    <row r="70" spans="1:30" outlineLevel="2">
      <c r="A70" s="1268"/>
      <c r="B70" s="1966" t="s">
        <v>466</v>
      </c>
      <c r="C70" s="3868"/>
      <c r="D70" s="3869"/>
      <c r="E70" s="3869"/>
      <c r="F70" s="3869"/>
      <c r="G70" s="3870"/>
      <c r="H70" s="809"/>
      <c r="I70" s="723"/>
      <c r="J70" s="723"/>
      <c r="K70" s="723"/>
      <c r="L70" s="723"/>
      <c r="M70" s="809"/>
      <c r="N70" s="723"/>
      <c r="O70" s="723"/>
      <c r="P70" s="723"/>
      <c r="Q70" s="3601"/>
      <c r="U70" s="1871"/>
      <c r="V70" s="1872"/>
      <c r="W70" s="1872"/>
      <c r="X70" s="1872"/>
      <c r="Y70" s="1873"/>
      <c r="Z70" s="1871"/>
      <c r="AA70" s="1872"/>
      <c r="AB70" s="1873"/>
    </row>
    <row r="71" spans="1:30" outlineLevel="2">
      <c r="A71" s="1268"/>
      <c r="B71" s="1966" t="s">
        <v>467</v>
      </c>
      <c r="C71" s="3868"/>
      <c r="D71" s="3869"/>
      <c r="E71" s="3869"/>
      <c r="F71" s="3869"/>
      <c r="G71" s="3870"/>
      <c r="H71" s="809"/>
      <c r="I71" s="723"/>
      <c r="J71" s="723"/>
      <c r="K71" s="723"/>
      <c r="L71" s="723"/>
      <c r="M71" s="809"/>
      <c r="N71" s="723"/>
      <c r="O71" s="723"/>
      <c r="P71" s="723"/>
      <c r="Q71" s="3601"/>
      <c r="U71" s="1871"/>
      <c r="V71" s="1872"/>
      <c r="W71" s="1872"/>
      <c r="X71" s="1872"/>
      <c r="Y71" s="1873"/>
      <c r="Z71" s="1871"/>
      <c r="AA71" s="1872"/>
      <c r="AB71" s="1873"/>
    </row>
    <row r="72" spans="1:30" outlineLevel="2">
      <c r="A72" s="1268"/>
      <c r="B72" s="1966" t="s">
        <v>468</v>
      </c>
      <c r="C72" s="3868"/>
      <c r="D72" s="3869"/>
      <c r="E72" s="3869"/>
      <c r="F72" s="3869"/>
      <c r="G72" s="3870"/>
      <c r="H72" s="809"/>
      <c r="I72" s="723"/>
      <c r="J72" s="723"/>
      <c r="K72" s="723"/>
      <c r="L72" s="723"/>
      <c r="M72" s="809"/>
      <c r="N72" s="723"/>
      <c r="O72" s="723"/>
      <c r="P72" s="723"/>
      <c r="Q72" s="3601"/>
      <c r="U72" s="1871"/>
      <c r="V72" s="1872"/>
      <c r="W72" s="1872"/>
      <c r="X72" s="1872"/>
      <c r="Y72" s="1873"/>
      <c r="Z72" s="1871"/>
      <c r="AA72" s="1872"/>
      <c r="AB72" s="1873"/>
    </row>
    <row r="73" spans="1:30" outlineLevel="2">
      <c r="A73" s="1268"/>
      <c r="B73" s="1966" t="s">
        <v>469</v>
      </c>
      <c r="C73" s="3868">
        <v>1780552.1300000001</v>
      </c>
      <c r="D73" s="3869">
        <v>2051966.65</v>
      </c>
      <c r="E73" s="3869">
        <v>2606307.9000000008</v>
      </c>
      <c r="F73" s="3869">
        <v>1910697.9445166162</v>
      </c>
      <c r="G73" s="3870">
        <v>1917154.1798482297</v>
      </c>
      <c r="H73" s="809"/>
      <c r="I73" s="723"/>
      <c r="J73" s="723"/>
      <c r="K73" s="723"/>
      <c r="L73" s="723"/>
      <c r="M73" s="809"/>
      <c r="N73" s="723"/>
      <c r="O73" s="723"/>
      <c r="P73" s="723"/>
      <c r="Q73" s="3601"/>
      <c r="U73" s="1871"/>
      <c r="V73" s="1872"/>
      <c r="W73" s="1872"/>
      <c r="X73" s="1872"/>
      <c r="Y73" s="1873"/>
      <c r="Z73" s="1871"/>
      <c r="AA73" s="1872"/>
      <c r="AB73" s="1873"/>
    </row>
    <row r="74" spans="1:30" outlineLevel="2">
      <c r="A74" s="1268"/>
      <c r="B74" s="1966" t="s">
        <v>1444</v>
      </c>
      <c r="C74" s="3868"/>
      <c r="D74" s="3869"/>
      <c r="E74" s="3869"/>
      <c r="F74" s="3869"/>
      <c r="G74" s="3870"/>
      <c r="H74" s="809"/>
      <c r="I74" s="723"/>
      <c r="J74" s="723"/>
      <c r="K74" s="723"/>
      <c r="L74" s="723"/>
      <c r="M74" s="809"/>
      <c r="N74" s="723"/>
      <c r="O74" s="723"/>
      <c r="P74" s="723"/>
      <c r="Q74" s="3601"/>
      <c r="U74" s="1871"/>
      <c r="V74" s="1872"/>
      <c r="W74" s="1872"/>
      <c r="X74" s="1872"/>
      <c r="Y74" s="1873"/>
      <c r="Z74" s="1871"/>
      <c r="AA74" s="1872"/>
      <c r="AB74" s="1873"/>
    </row>
    <row r="75" spans="1:30" outlineLevel="2">
      <c r="A75" s="1268"/>
      <c r="B75" s="1966" t="s">
        <v>58</v>
      </c>
      <c r="C75" s="3871"/>
      <c r="D75" s="3872"/>
      <c r="E75" s="3872"/>
      <c r="F75" s="3872"/>
      <c r="G75" s="3873"/>
      <c r="H75" s="810"/>
      <c r="I75" s="724"/>
      <c r="J75" s="724"/>
      <c r="K75" s="724"/>
      <c r="L75" s="724"/>
      <c r="M75" s="810"/>
      <c r="N75" s="724"/>
      <c r="O75" s="724"/>
      <c r="P75" s="724"/>
      <c r="Q75" s="3602"/>
      <c r="U75" s="1874"/>
      <c r="V75" s="1875"/>
      <c r="W75" s="1875"/>
      <c r="X75" s="1875"/>
      <c r="Y75" s="1876"/>
      <c r="Z75" s="1874"/>
      <c r="AA75" s="1875"/>
      <c r="AB75" s="1876"/>
    </row>
    <row r="76" spans="1:30" outlineLevel="2">
      <c r="A76" s="1268"/>
      <c r="B76" s="1966" t="s">
        <v>89</v>
      </c>
      <c r="C76" s="3871"/>
      <c r="D76" s="3872"/>
      <c r="E76" s="3872"/>
      <c r="F76" s="3872"/>
      <c r="G76" s="3873"/>
      <c r="H76" s="810"/>
      <c r="I76" s="724"/>
      <c r="J76" s="724"/>
      <c r="K76" s="724"/>
      <c r="L76" s="724"/>
      <c r="M76" s="810"/>
      <c r="N76" s="724"/>
      <c r="O76" s="724"/>
      <c r="P76" s="724"/>
      <c r="Q76" s="3602"/>
      <c r="U76" s="1874"/>
      <c r="V76" s="1875"/>
      <c r="W76" s="1875"/>
      <c r="X76" s="1875"/>
      <c r="Y76" s="1876"/>
      <c r="Z76" s="1874"/>
      <c r="AA76" s="1875"/>
      <c r="AB76" s="1876"/>
    </row>
    <row r="77" spans="1:30" ht="13.5" outlineLevel="2" thickBot="1">
      <c r="A77" s="1268"/>
      <c r="B77" s="807" t="s">
        <v>1445</v>
      </c>
      <c r="C77" s="3871"/>
      <c r="D77" s="3872"/>
      <c r="E77" s="3872"/>
      <c r="F77" s="3872"/>
      <c r="G77" s="3873"/>
      <c r="H77" s="810"/>
      <c r="I77" s="724"/>
      <c r="J77" s="724"/>
      <c r="K77" s="724"/>
      <c r="L77" s="724"/>
      <c r="M77" s="810"/>
      <c r="N77" s="724"/>
      <c r="O77" s="724"/>
      <c r="P77" s="724"/>
      <c r="Q77" s="3602"/>
      <c r="U77" s="1874"/>
      <c r="V77" s="1875"/>
      <c r="W77" s="1875"/>
      <c r="X77" s="1875"/>
      <c r="Y77" s="1876"/>
      <c r="Z77" s="1874"/>
      <c r="AA77" s="1875"/>
      <c r="AB77" s="1876"/>
    </row>
    <row r="78" spans="1:30" ht="13.5" outlineLevel="1" thickBot="1">
      <c r="A78" s="1268"/>
      <c r="B78" s="727" t="s">
        <v>65</v>
      </c>
      <c r="C78" s="3874">
        <f t="shared" ref="C78:Q78" si="8">SUM(C69:C77)</f>
        <v>2778000</v>
      </c>
      <c r="D78" s="3874">
        <f t="shared" si="8"/>
        <v>3318000</v>
      </c>
      <c r="E78" s="3874">
        <f t="shared" si="8"/>
        <v>3720396.89</v>
      </c>
      <c r="F78" s="3874">
        <f t="shared" si="8"/>
        <v>4169376.7199999988</v>
      </c>
      <c r="G78" s="3874">
        <f t="shared" si="8"/>
        <v>3773103.92</v>
      </c>
      <c r="H78" s="728">
        <f t="shared" si="8"/>
        <v>0</v>
      </c>
      <c r="I78" s="728">
        <f t="shared" si="8"/>
        <v>0</v>
      </c>
      <c r="J78" s="728">
        <f t="shared" si="8"/>
        <v>0</v>
      </c>
      <c r="K78" s="728">
        <f t="shared" si="8"/>
        <v>0</v>
      </c>
      <c r="L78" s="728">
        <f t="shared" si="8"/>
        <v>0</v>
      </c>
      <c r="M78" s="728">
        <f t="shared" si="8"/>
        <v>0</v>
      </c>
      <c r="N78" s="728">
        <f t="shared" si="8"/>
        <v>0</v>
      </c>
      <c r="O78" s="728">
        <f t="shared" si="8"/>
        <v>0</v>
      </c>
      <c r="P78" s="728">
        <f t="shared" si="8"/>
        <v>0</v>
      </c>
      <c r="Q78" s="729">
        <f t="shared" si="8"/>
        <v>0</v>
      </c>
      <c r="U78" s="727" t="e">
        <f>SUM(U71:U77)-#REF!</f>
        <v>#REF!</v>
      </c>
      <c r="V78" s="728" t="e">
        <f>SUM(V71:V77)-#REF!</f>
        <v>#REF!</v>
      </c>
      <c r="W78" s="728" t="e">
        <f>SUM(W71:W77)-#REF!</f>
        <v>#REF!</v>
      </c>
      <c r="X78" s="728" t="e">
        <f>SUM(X71:X77)-#REF!</f>
        <v>#REF!</v>
      </c>
      <c r="Y78" s="728" t="e">
        <f>SUM(Y71:Y77)-#REF!</f>
        <v>#REF!</v>
      </c>
      <c r="Z78" s="728" t="e">
        <f>SUM(Z71:Z77)-#REF!</f>
        <v>#REF!</v>
      </c>
      <c r="AA78" s="728" t="e">
        <f>SUM(AA71:AA77)-#REF!</f>
        <v>#REF!</v>
      </c>
      <c r="AB78" s="729" t="e">
        <f>SUM(AB71:AB77)-#REF!</f>
        <v>#REF!</v>
      </c>
    </row>
    <row r="79" spans="1:30" s="1268" customFormat="1" ht="23.25" customHeight="1" outlineLevel="1" thickBot="1">
      <c r="R79" s="1266"/>
      <c r="S79" s="1266"/>
      <c r="T79" s="1266"/>
      <c r="AC79" s="1266"/>
      <c r="AD79" s="1266"/>
    </row>
    <row r="80" spans="1:30" s="501" customFormat="1" ht="24.75" customHeight="1" thickBot="1">
      <c r="A80" s="299"/>
      <c r="B80" s="682" t="str">
        <f>CONCATENATE("Table 16.1.6 - ",'[10]17. Gross Capex '!B26)</f>
        <v>Table 16.1.6 - Land</v>
      </c>
      <c r="C80" s="306"/>
      <c r="D80" s="306"/>
      <c r="E80" s="306"/>
      <c r="F80" s="306"/>
      <c r="G80" s="306"/>
      <c r="H80" s="306"/>
      <c r="I80" s="306"/>
      <c r="J80" s="306"/>
      <c r="K80" s="306"/>
      <c r="L80" s="306"/>
      <c r="M80" s="306"/>
      <c r="N80" s="306"/>
      <c r="O80" s="306"/>
      <c r="P80" s="306"/>
      <c r="Q80" s="695"/>
      <c r="R80" s="1266"/>
      <c r="S80" s="1266"/>
      <c r="T80" s="1266"/>
      <c r="U80" s="292"/>
      <c r="V80" s="306"/>
      <c r="W80" s="306"/>
      <c r="X80" s="306"/>
      <c r="Y80" s="306"/>
      <c r="Z80" s="306"/>
      <c r="AA80" s="306"/>
      <c r="AB80" s="307"/>
      <c r="AC80" s="1266"/>
      <c r="AD80" s="1266"/>
    </row>
    <row r="81" spans="1:30" outlineLevel="2">
      <c r="A81" s="1268"/>
      <c r="B81" s="1966" t="s">
        <v>1443</v>
      </c>
      <c r="C81" s="3865"/>
      <c r="D81" s="3866"/>
      <c r="E81" s="3866"/>
      <c r="F81" s="3866"/>
      <c r="G81" s="3867"/>
      <c r="H81" s="3599"/>
      <c r="I81" s="808"/>
      <c r="J81" s="808"/>
      <c r="K81" s="808"/>
      <c r="L81" s="808"/>
      <c r="M81" s="3599"/>
      <c r="N81" s="808"/>
      <c r="O81" s="808"/>
      <c r="P81" s="808"/>
      <c r="Q81" s="3600"/>
      <c r="U81" s="1868"/>
      <c r="V81" s="1869"/>
      <c r="W81" s="1869"/>
      <c r="X81" s="1869"/>
      <c r="Y81" s="1870"/>
      <c r="Z81" s="1868"/>
      <c r="AA81" s="1869"/>
      <c r="AB81" s="1870"/>
    </row>
    <row r="82" spans="1:30" outlineLevel="2">
      <c r="A82" s="1268"/>
      <c r="B82" s="1966" t="s">
        <v>466</v>
      </c>
      <c r="C82" s="3868"/>
      <c r="D82" s="3869"/>
      <c r="E82" s="3869"/>
      <c r="F82" s="3869"/>
      <c r="G82" s="3870"/>
      <c r="H82" s="809"/>
      <c r="I82" s="723"/>
      <c r="J82" s="723"/>
      <c r="K82" s="723"/>
      <c r="L82" s="723"/>
      <c r="M82" s="809"/>
      <c r="N82" s="723"/>
      <c r="O82" s="723"/>
      <c r="P82" s="723"/>
      <c r="Q82" s="3601"/>
      <c r="U82" s="1871"/>
      <c r="V82" s="1872"/>
      <c r="W82" s="1872"/>
      <c r="X82" s="1872"/>
      <c r="Y82" s="1873"/>
      <c r="Z82" s="1871"/>
      <c r="AA82" s="1872"/>
      <c r="AB82" s="1873"/>
    </row>
    <row r="83" spans="1:30" outlineLevel="2">
      <c r="A83" s="1268"/>
      <c r="B83" s="1966" t="s">
        <v>467</v>
      </c>
      <c r="C83" s="3868"/>
      <c r="D83" s="3869"/>
      <c r="E83" s="3869"/>
      <c r="F83" s="3869"/>
      <c r="G83" s="3870"/>
      <c r="H83" s="809"/>
      <c r="I83" s="723"/>
      <c r="J83" s="723"/>
      <c r="K83" s="723"/>
      <c r="L83" s="723"/>
      <c r="M83" s="809"/>
      <c r="N83" s="723"/>
      <c r="O83" s="723"/>
      <c r="P83" s="723"/>
      <c r="Q83" s="3601"/>
      <c r="U83" s="1871"/>
      <c r="V83" s="1872"/>
      <c r="W83" s="1872"/>
      <c r="X83" s="1872"/>
      <c r="Y83" s="1873"/>
      <c r="Z83" s="1871"/>
      <c r="AA83" s="1872"/>
      <c r="AB83" s="1873"/>
    </row>
    <row r="84" spans="1:30" outlineLevel="2">
      <c r="A84" s="1268"/>
      <c r="B84" s="1966" t="s">
        <v>468</v>
      </c>
      <c r="C84" s="3868"/>
      <c r="D84" s="3869"/>
      <c r="E84" s="3869"/>
      <c r="F84" s="3869"/>
      <c r="G84" s="3870"/>
      <c r="H84" s="809"/>
      <c r="I84" s="723"/>
      <c r="J84" s="723"/>
      <c r="K84" s="723"/>
      <c r="L84" s="723"/>
      <c r="M84" s="809"/>
      <c r="N84" s="723"/>
      <c r="O84" s="723"/>
      <c r="P84" s="723"/>
      <c r="Q84" s="3601"/>
      <c r="U84" s="1871"/>
      <c r="V84" s="1872"/>
      <c r="W84" s="1872"/>
      <c r="X84" s="1872"/>
      <c r="Y84" s="1873"/>
      <c r="Z84" s="1871"/>
      <c r="AA84" s="1872"/>
      <c r="AB84" s="1873"/>
    </row>
    <row r="85" spans="1:30" outlineLevel="2">
      <c r="A85" s="1268"/>
      <c r="B85" s="1966" t="s">
        <v>469</v>
      </c>
      <c r="C85" s="3868"/>
      <c r="D85" s="3869"/>
      <c r="E85" s="3869"/>
      <c r="F85" s="3869"/>
      <c r="G85" s="3870"/>
      <c r="H85" s="809"/>
      <c r="I85" s="723"/>
      <c r="J85" s="723"/>
      <c r="K85" s="723"/>
      <c r="L85" s="723"/>
      <c r="M85" s="809"/>
      <c r="N85" s="723"/>
      <c r="O85" s="723"/>
      <c r="P85" s="723"/>
      <c r="Q85" s="3601"/>
      <c r="U85" s="1871"/>
      <c r="V85" s="1872"/>
      <c r="W85" s="1872"/>
      <c r="X85" s="1872"/>
      <c r="Y85" s="1873"/>
      <c r="Z85" s="1871"/>
      <c r="AA85" s="1872"/>
      <c r="AB85" s="1873"/>
    </row>
    <row r="86" spans="1:30" outlineLevel="2">
      <c r="A86" s="1268"/>
      <c r="B86" s="1966" t="s">
        <v>1444</v>
      </c>
      <c r="C86" s="3868"/>
      <c r="D86" s="3869"/>
      <c r="E86" s="3869"/>
      <c r="F86" s="3869"/>
      <c r="G86" s="3870"/>
      <c r="H86" s="809"/>
      <c r="I86" s="723"/>
      <c r="J86" s="723"/>
      <c r="K86" s="723"/>
      <c r="L86" s="723"/>
      <c r="M86" s="809"/>
      <c r="N86" s="723"/>
      <c r="O86" s="723"/>
      <c r="P86" s="723"/>
      <c r="Q86" s="3601"/>
      <c r="U86" s="1871"/>
      <c r="V86" s="1872"/>
      <c r="W86" s="1872"/>
      <c r="X86" s="1872"/>
      <c r="Y86" s="1873"/>
      <c r="Z86" s="1871"/>
      <c r="AA86" s="1872"/>
      <c r="AB86" s="1873"/>
    </row>
    <row r="87" spans="1:30" outlineLevel="2">
      <c r="A87" s="1268"/>
      <c r="B87" s="1966" t="s">
        <v>58</v>
      </c>
      <c r="C87" s="3871"/>
      <c r="D87" s="3872"/>
      <c r="E87" s="3872"/>
      <c r="F87" s="3872"/>
      <c r="G87" s="3873"/>
      <c r="H87" s="810"/>
      <c r="I87" s="724"/>
      <c r="J87" s="724"/>
      <c r="K87" s="724"/>
      <c r="L87" s="724"/>
      <c r="M87" s="810"/>
      <c r="N87" s="724"/>
      <c r="O87" s="724"/>
      <c r="P87" s="724"/>
      <c r="Q87" s="3602"/>
      <c r="U87" s="1874"/>
      <c r="V87" s="1875"/>
      <c r="W87" s="1875"/>
      <c r="X87" s="1875"/>
      <c r="Y87" s="1876"/>
      <c r="Z87" s="1874"/>
      <c r="AA87" s="1875"/>
      <c r="AB87" s="1876"/>
    </row>
    <row r="88" spans="1:30" outlineLevel="2">
      <c r="A88" s="1268"/>
      <c r="B88" s="1966" t="s">
        <v>89</v>
      </c>
      <c r="C88" s="3871"/>
      <c r="D88" s="3872"/>
      <c r="E88" s="3872"/>
      <c r="F88" s="3872"/>
      <c r="G88" s="3873"/>
      <c r="H88" s="810"/>
      <c r="I88" s="724"/>
      <c r="J88" s="724"/>
      <c r="K88" s="724"/>
      <c r="L88" s="724"/>
      <c r="M88" s="810"/>
      <c r="N88" s="724"/>
      <c r="O88" s="724"/>
      <c r="P88" s="724"/>
      <c r="Q88" s="3602"/>
      <c r="U88" s="1874"/>
      <c r="V88" s="1875"/>
      <c r="W88" s="1875"/>
      <c r="X88" s="1875"/>
      <c r="Y88" s="1876"/>
      <c r="Z88" s="1874"/>
      <c r="AA88" s="1875"/>
      <c r="AB88" s="1876"/>
    </row>
    <row r="89" spans="1:30" ht="13.5" outlineLevel="2" thickBot="1">
      <c r="A89" s="1268"/>
      <c r="B89" s="807" t="s">
        <v>1445</v>
      </c>
      <c r="C89" s="3871"/>
      <c r="D89" s="3872"/>
      <c r="E89" s="3872"/>
      <c r="F89" s="3872"/>
      <c r="G89" s="3873"/>
      <c r="H89" s="810"/>
      <c r="I89" s="724"/>
      <c r="J89" s="724"/>
      <c r="K89" s="724"/>
      <c r="L89" s="724"/>
      <c r="M89" s="810"/>
      <c r="N89" s="724"/>
      <c r="O89" s="724"/>
      <c r="P89" s="724"/>
      <c r="Q89" s="3602"/>
      <c r="U89" s="1874"/>
      <c r="V89" s="1875"/>
      <c r="W89" s="1875"/>
      <c r="X89" s="1875"/>
      <c r="Y89" s="1876"/>
      <c r="Z89" s="1874"/>
      <c r="AA89" s="1875"/>
      <c r="AB89" s="1876"/>
    </row>
    <row r="90" spans="1:30" ht="13.5" outlineLevel="1" thickBot="1">
      <c r="A90" s="1268"/>
      <c r="B90" s="727" t="s">
        <v>65</v>
      </c>
      <c r="C90" s="3874">
        <f t="shared" ref="C90:Q90" si="9">SUM(C81:C89)</f>
        <v>0</v>
      </c>
      <c r="D90" s="3874">
        <f t="shared" si="9"/>
        <v>0</v>
      </c>
      <c r="E90" s="3874">
        <f t="shared" si="9"/>
        <v>0</v>
      </c>
      <c r="F90" s="3874">
        <f t="shared" si="9"/>
        <v>0</v>
      </c>
      <c r="G90" s="3874">
        <f t="shared" si="9"/>
        <v>0</v>
      </c>
      <c r="H90" s="728">
        <f t="shared" si="9"/>
        <v>0</v>
      </c>
      <c r="I90" s="728">
        <f t="shared" si="9"/>
        <v>0</v>
      </c>
      <c r="J90" s="728">
        <f t="shared" si="9"/>
        <v>0</v>
      </c>
      <c r="K90" s="728">
        <f t="shared" si="9"/>
        <v>0</v>
      </c>
      <c r="L90" s="728">
        <f t="shared" si="9"/>
        <v>0</v>
      </c>
      <c r="M90" s="728">
        <f t="shared" si="9"/>
        <v>0</v>
      </c>
      <c r="N90" s="728">
        <f t="shared" si="9"/>
        <v>0</v>
      </c>
      <c r="O90" s="728">
        <f t="shared" si="9"/>
        <v>0</v>
      </c>
      <c r="P90" s="728">
        <f t="shared" si="9"/>
        <v>0</v>
      </c>
      <c r="Q90" s="729">
        <f t="shared" si="9"/>
        <v>0</v>
      </c>
      <c r="U90" s="727">
        <f t="shared" ref="U90:AB90" si="10">SUM(U81:U89)</f>
        <v>0</v>
      </c>
      <c r="V90" s="728">
        <f t="shared" si="10"/>
        <v>0</v>
      </c>
      <c r="W90" s="728">
        <f t="shared" si="10"/>
        <v>0</v>
      </c>
      <c r="X90" s="728">
        <f t="shared" si="10"/>
        <v>0</v>
      </c>
      <c r="Y90" s="728">
        <f t="shared" si="10"/>
        <v>0</v>
      </c>
      <c r="Z90" s="728">
        <f t="shared" si="10"/>
        <v>0</v>
      </c>
      <c r="AA90" s="728">
        <f t="shared" si="10"/>
        <v>0</v>
      </c>
      <c r="AB90" s="729">
        <f t="shared" si="10"/>
        <v>0</v>
      </c>
    </row>
    <row r="91" spans="1:30" s="1268" customFormat="1" ht="23.25" customHeight="1" outlineLevel="1" thickBot="1">
      <c r="R91" s="1266"/>
      <c r="S91" s="1266"/>
      <c r="T91" s="1266"/>
      <c r="AC91" s="1266"/>
      <c r="AD91" s="1266"/>
    </row>
    <row r="92" spans="1:30" s="501" customFormat="1" ht="24.75" customHeight="1" thickBot="1">
      <c r="A92" s="299"/>
      <c r="B92" s="682" t="str">
        <f>CONCATENATE("Table 16.1.7 - ",'[10]17. Gross Capex '!B27)</f>
        <v>Table 16.1.7 - IT system</v>
      </c>
      <c r="C92" s="306"/>
      <c r="D92" s="306"/>
      <c r="E92" s="306"/>
      <c r="F92" s="306"/>
      <c r="G92" s="306"/>
      <c r="H92" s="306"/>
      <c r="I92" s="306"/>
      <c r="J92" s="306"/>
      <c r="K92" s="306"/>
      <c r="L92" s="306"/>
      <c r="M92" s="306"/>
      <c r="N92" s="306"/>
      <c r="O92" s="306"/>
      <c r="P92" s="306"/>
      <c r="Q92" s="695"/>
      <c r="R92" s="1266"/>
      <c r="S92" s="1266"/>
      <c r="T92" s="1266"/>
      <c r="U92" s="292"/>
      <c r="V92" s="306"/>
      <c r="W92" s="306"/>
      <c r="X92" s="306"/>
      <c r="Y92" s="306"/>
      <c r="Z92" s="306"/>
      <c r="AA92" s="306"/>
      <c r="AB92" s="307"/>
      <c r="AC92" s="1266"/>
      <c r="AD92" s="1266"/>
    </row>
    <row r="93" spans="1:30" outlineLevel="2">
      <c r="A93" s="1268"/>
      <c r="B93" s="1966" t="s">
        <v>1443</v>
      </c>
      <c r="C93" s="3865"/>
      <c r="D93" s="3866"/>
      <c r="E93" s="3866"/>
      <c r="F93" s="3866"/>
      <c r="G93" s="3867"/>
      <c r="H93" s="3599"/>
      <c r="I93" s="808"/>
      <c r="J93" s="808"/>
      <c r="K93" s="808"/>
      <c r="L93" s="808"/>
      <c r="M93" s="3599"/>
      <c r="N93" s="808"/>
      <c r="O93" s="808"/>
      <c r="P93" s="808"/>
      <c r="Q93" s="3600"/>
      <c r="U93" s="1868"/>
      <c r="V93" s="1869"/>
      <c r="W93" s="1869"/>
      <c r="X93" s="1869"/>
      <c r="Y93" s="1870"/>
      <c r="Z93" s="1868"/>
      <c r="AA93" s="1869"/>
      <c r="AB93" s="1870"/>
    </row>
    <row r="94" spans="1:30" outlineLevel="2">
      <c r="A94" s="1268"/>
      <c r="B94" s="1966" t="s">
        <v>466</v>
      </c>
      <c r="C94" s="3868"/>
      <c r="D94" s="3869"/>
      <c r="E94" s="3869"/>
      <c r="F94" s="3869"/>
      <c r="G94" s="3870"/>
      <c r="H94" s="809"/>
      <c r="I94" s="723"/>
      <c r="J94" s="723"/>
      <c r="K94" s="723"/>
      <c r="L94" s="723"/>
      <c r="M94" s="809"/>
      <c r="N94" s="723"/>
      <c r="O94" s="723"/>
      <c r="P94" s="723"/>
      <c r="Q94" s="3601"/>
      <c r="U94" s="1871"/>
      <c r="V94" s="1872"/>
      <c r="W94" s="1872"/>
      <c r="X94" s="1872"/>
      <c r="Y94" s="1873"/>
      <c r="Z94" s="1871"/>
      <c r="AA94" s="1872"/>
      <c r="AB94" s="1873"/>
    </row>
    <row r="95" spans="1:30" outlineLevel="2">
      <c r="A95" s="1268"/>
      <c r="B95" s="1966" t="s">
        <v>467</v>
      </c>
      <c r="C95" s="3868"/>
      <c r="D95" s="3869"/>
      <c r="E95" s="3869"/>
      <c r="F95" s="3869"/>
      <c r="G95" s="3870"/>
      <c r="H95" s="809"/>
      <c r="I95" s="723"/>
      <c r="J95" s="723"/>
      <c r="K95" s="723"/>
      <c r="L95" s="723"/>
      <c r="M95" s="809"/>
      <c r="N95" s="723"/>
      <c r="O95" s="723"/>
      <c r="P95" s="723"/>
      <c r="Q95" s="3601"/>
      <c r="U95" s="1871"/>
      <c r="V95" s="1872"/>
      <c r="W95" s="1872"/>
      <c r="X95" s="1872"/>
      <c r="Y95" s="1873"/>
      <c r="Z95" s="1871"/>
      <c r="AA95" s="1872"/>
      <c r="AB95" s="1873"/>
    </row>
    <row r="96" spans="1:30" outlineLevel="2">
      <c r="A96" s="1268"/>
      <c r="B96" s="1966" t="s">
        <v>468</v>
      </c>
      <c r="C96" s="3871">
        <v>782956</v>
      </c>
      <c r="D96" s="3872">
        <v>1170101</v>
      </c>
      <c r="E96" s="3872">
        <v>6040700</v>
      </c>
      <c r="F96" s="3872">
        <v>23491297.829999998</v>
      </c>
      <c r="G96" s="3873">
        <v>29980987</v>
      </c>
      <c r="H96" s="809"/>
      <c r="I96" s="723"/>
      <c r="J96" s="723"/>
      <c r="K96" s="723"/>
      <c r="L96" s="723"/>
      <c r="M96" s="809"/>
      <c r="N96" s="723"/>
      <c r="O96" s="723"/>
      <c r="P96" s="723"/>
      <c r="Q96" s="3601"/>
      <c r="U96" s="1871"/>
      <c r="V96" s="1872"/>
      <c r="W96" s="1872"/>
      <c r="X96" s="1872"/>
      <c r="Y96" s="1873"/>
      <c r="Z96" s="1871"/>
      <c r="AA96" s="1872"/>
      <c r="AB96" s="1873"/>
    </row>
    <row r="97" spans="1:30" outlineLevel="2">
      <c r="A97" s="1268"/>
      <c r="B97" s="1966" t="s">
        <v>469</v>
      </c>
      <c r="C97" s="3868"/>
      <c r="D97" s="3869"/>
      <c r="E97" s="3869"/>
      <c r="F97" s="3869"/>
      <c r="G97" s="3870"/>
      <c r="H97" s="809"/>
      <c r="I97" s="723"/>
      <c r="J97" s="723"/>
      <c r="K97" s="723"/>
      <c r="L97" s="723"/>
      <c r="M97" s="809"/>
      <c r="N97" s="723"/>
      <c r="O97" s="723"/>
      <c r="P97" s="723"/>
      <c r="Q97" s="3601"/>
      <c r="U97" s="1871"/>
      <c r="V97" s="1872"/>
      <c r="W97" s="1872"/>
      <c r="X97" s="1872"/>
      <c r="Y97" s="1873"/>
      <c r="Z97" s="1871"/>
      <c r="AA97" s="1872"/>
      <c r="AB97" s="1873"/>
    </row>
    <row r="98" spans="1:30" outlineLevel="2">
      <c r="A98" s="1268"/>
      <c r="B98" s="1966" t="s">
        <v>1444</v>
      </c>
      <c r="C98" s="3868"/>
      <c r="D98" s="3869"/>
      <c r="E98" s="3869"/>
      <c r="F98" s="3869"/>
      <c r="G98" s="3870"/>
      <c r="H98" s="809"/>
      <c r="I98" s="723"/>
      <c r="J98" s="723"/>
      <c r="K98" s="723"/>
      <c r="L98" s="723"/>
      <c r="M98" s="809"/>
      <c r="N98" s="723"/>
      <c r="O98" s="723"/>
      <c r="P98" s="723"/>
      <c r="Q98" s="3601"/>
      <c r="U98" s="1871"/>
      <c r="V98" s="1872"/>
      <c r="W98" s="1872"/>
      <c r="X98" s="1872"/>
      <c r="Y98" s="1873"/>
      <c r="Z98" s="1871"/>
      <c r="AA98" s="1872"/>
      <c r="AB98" s="1873"/>
    </row>
    <row r="99" spans="1:30" outlineLevel="2">
      <c r="A99" s="1268"/>
      <c r="B99" s="1966" t="s">
        <v>58</v>
      </c>
      <c r="C99" s="3871"/>
      <c r="D99" s="3872"/>
      <c r="E99" s="3872"/>
      <c r="F99" s="3872"/>
      <c r="G99" s="3873"/>
      <c r="H99" s="810"/>
      <c r="I99" s="724"/>
      <c r="J99" s="724"/>
      <c r="K99" s="724"/>
      <c r="L99" s="724"/>
      <c r="M99" s="810"/>
      <c r="N99" s="724"/>
      <c r="O99" s="724"/>
      <c r="P99" s="724"/>
      <c r="Q99" s="3602"/>
      <c r="U99" s="1874"/>
      <c r="V99" s="1875"/>
      <c r="W99" s="1875"/>
      <c r="X99" s="1875"/>
      <c r="Y99" s="1876"/>
      <c r="Z99" s="1874"/>
      <c r="AA99" s="1875"/>
      <c r="AB99" s="1876"/>
    </row>
    <row r="100" spans="1:30" outlineLevel="2">
      <c r="A100" s="1268"/>
      <c r="B100" s="1966" t="s">
        <v>89</v>
      </c>
      <c r="C100" s="3871"/>
      <c r="D100" s="3872"/>
      <c r="E100" s="3872"/>
      <c r="F100" s="3872"/>
      <c r="G100" s="3873"/>
      <c r="H100" s="810"/>
      <c r="I100" s="724"/>
      <c r="J100" s="724"/>
      <c r="K100" s="724"/>
      <c r="L100" s="724"/>
      <c r="M100" s="810"/>
      <c r="N100" s="724"/>
      <c r="O100" s="724"/>
      <c r="P100" s="724"/>
      <c r="Q100" s="3602"/>
      <c r="U100" s="1874"/>
      <c r="V100" s="1875"/>
      <c r="W100" s="1875"/>
      <c r="X100" s="1875"/>
      <c r="Y100" s="1876"/>
      <c r="Z100" s="1874"/>
      <c r="AA100" s="1875"/>
      <c r="AB100" s="1876"/>
    </row>
    <row r="101" spans="1:30" ht="13.5" outlineLevel="2" thickBot="1">
      <c r="A101" s="1268"/>
      <c r="B101" s="807" t="s">
        <v>1445</v>
      </c>
      <c r="C101" s="3871"/>
      <c r="D101" s="3872"/>
      <c r="E101" s="3872"/>
      <c r="F101" s="3872"/>
      <c r="G101" s="3873"/>
      <c r="H101" s="810"/>
      <c r="I101" s="724"/>
      <c r="J101" s="724"/>
      <c r="K101" s="724"/>
      <c r="L101" s="724"/>
      <c r="M101" s="810"/>
      <c r="N101" s="724"/>
      <c r="O101" s="724"/>
      <c r="P101" s="724"/>
      <c r="Q101" s="3602"/>
      <c r="U101" s="1874"/>
      <c r="V101" s="1875"/>
      <c r="W101" s="1875"/>
      <c r="X101" s="1875"/>
      <c r="Y101" s="1876"/>
      <c r="Z101" s="1874"/>
      <c r="AA101" s="1875"/>
      <c r="AB101" s="1876"/>
    </row>
    <row r="102" spans="1:30" ht="13.5" outlineLevel="1" thickBot="1">
      <c r="A102" s="1268"/>
      <c r="B102" s="727" t="s">
        <v>65</v>
      </c>
      <c r="C102" s="3874">
        <f t="shared" ref="C102:Q102" si="11">SUM(C93:C101)</f>
        <v>782956</v>
      </c>
      <c r="D102" s="3874">
        <f t="shared" si="11"/>
        <v>1170101</v>
      </c>
      <c r="E102" s="3874">
        <f t="shared" si="11"/>
        <v>6040700</v>
      </c>
      <c r="F102" s="3874">
        <f t="shared" si="11"/>
        <v>23491297.829999998</v>
      </c>
      <c r="G102" s="3874">
        <f t="shared" si="11"/>
        <v>29980987</v>
      </c>
      <c r="H102" s="728">
        <f t="shared" si="11"/>
        <v>0</v>
      </c>
      <c r="I102" s="728">
        <f t="shared" si="11"/>
        <v>0</v>
      </c>
      <c r="J102" s="728">
        <f t="shared" si="11"/>
        <v>0</v>
      </c>
      <c r="K102" s="728">
        <f t="shared" si="11"/>
        <v>0</v>
      </c>
      <c r="L102" s="728">
        <f t="shared" si="11"/>
        <v>0</v>
      </c>
      <c r="M102" s="728">
        <f t="shared" si="11"/>
        <v>0</v>
      </c>
      <c r="N102" s="728">
        <f t="shared" si="11"/>
        <v>0</v>
      </c>
      <c r="O102" s="728">
        <f t="shared" si="11"/>
        <v>0</v>
      </c>
      <c r="P102" s="728">
        <f t="shared" si="11"/>
        <v>0</v>
      </c>
      <c r="Q102" s="729">
        <f t="shared" si="11"/>
        <v>0</v>
      </c>
      <c r="U102" s="727">
        <f t="shared" ref="U102:AB102" si="12">SUM(U93:U101)</f>
        <v>0</v>
      </c>
      <c r="V102" s="728">
        <f t="shared" si="12"/>
        <v>0</v>
      </c>
      <c r="W102" s="728">
        <f t="shared" si="12"/>
        <v>0</v>
      </c>
      <c r="X102" s="728">
        <f t="shared" si="12"/>
        <v>0</v>
      </c>
      <c r="Y102" s="728">
        <f t="shared" si="12"/>
        <v>0</v>
      </c>
      <c r="Z102" s="728">
        <f t="shared" si="12"/>
        <v>0</v>
      </c>
      <c r="AA102" s="728">
        <f t="shared" si="12"/>
        <v>0</v>
      </c>
      <c r="AB102" s="729">
        <f t="shared" si="12"/>
        <v>0</v>
      </c>
    </row>
    <row r="103" spans="1:30" s="1268" customFormat="1" ht="23.25" customHeight="1" outlineLevel="1" thickBot="1">
      <c r="R103" s="1266"/>
      <c r="S103" s="1266"/>
      <c r="T103" s="1266"/>
      <c r="AC103" s="1266"/>
      <c r="AD103" s="1266"/>
    </row>
    <row r="104" spans="1:30" s="501" customFormat="1" ht="24.75" customHeight="1" thickBot="1">
      <c r="A104" s="299"/>
      <c r="B104" s="682" t="str">
        <f>CONCATENATE("Table 16.1.8 - ",'[10]17. Gross Capex '!B28)</f>
        <v>Table 16.1.8 - SCADA</v>
      </c>
      <c r="C104" s="306"/>
      <c r="D104" s="306"/>
      <c r="E104" s="306"/>
      <c r="F104" s="306"/>
      <c r="G104" s="306"/>
      <c r="H104" s="306"/>
      <c r="I104" s="306"/>
      <c r="J104" s="306"/>
      <c r="K104" s="306"/>
      <c r="L104" s="306"/>
      <c r="M104" s="306"/>
      <c r="N104" s="306"/>
      <c r="O104" s="306"/>
      <c r="P104" s="306"/>
      <c r="Q104" s="695"/>
      <c r="R104" s="1266"/>
      <c r="S104" s="1266"/>
      <c r="T104" s="1266"/>
      <c r="U104" s="292"/>
      <c r="V104" s="306"/>
      <c r="W104" s="306"/>
      <c r="X104" s="306"/>
      <c r="Y104" s="306"/>
      <c r="Z104" s="306"/>
      <c r="AA104" s="306"/>
      <c r="AB104" s="307"/>
      <c r="AC104" s="1266"/>
      <c r="AD104" s="1266"/>
    </row>
    <row r="105" spans="1:30" outlineLevel="2">
      <c r="A105" s="1268"/>
      <c r="B105" s="1966" t="s">
        <v>1443</v>
      </c>
      <c r="C105" s="3865"/>
      <c r="D105" s="3866"/>
      <c r="E105" s="3866"/>
      <c r="F105" s="3866"/>
      <c r="G105" s="3867"/>
      <c r="H105" s="3599"/>
      <c r="I105" s="808"/>
      <c r="J105" s="808"/>
      <c r="K105" s="808"/>
      <c r="L105" s="808"/>
      <c r="M105" s="3599"/>
      <c r="N105" s="808"/>
      <c r="O105" s="808"/>
      <c r="P105" s="808"/>
      <c r="Q105" s="3600"/>
      <c r="U105" s="1868"/>
      <c r="V105" s="1869"/>
      <c r="W105" s="1869"/>
      <c r="X105" s="1869"/>
      <c r="Y105" s="1870"/>
      <c r="Z105" s="1868"/>
      <c r="AA105" s="1869"/>
      <c r="AB105" s="1870"/>
    </row>
    <row r="106" spans="1:30" outlineLevel="2">
      <c r="A106" s="1268"/>
      <c r="B106" s="1966" t="s">
        <v>466</v>
      </c>
      <c r="C106" s="3868"/>
      <c r="D106" s="3869"/>
      <c r="E106" s="3869"/>
      <c r="F106" s="3869"/>
      <c r="G106" s="3870"/>
      <c r="H106" s="809"/>
      <c r="I106" s="723"/>
      <c r="J106" s="723"/>
      <c r="K106" s="723"/>
      <c r="L106" s="723"/>
      <c r="M106" s="809"/>
      <c r="N106" s="723"/>
      <c r="O106" s="723"/>
      <c r="P106" s="723"/>
      <c r="Q106" s="3601"/>
      <c r="U106" s="1871"/>
      <c r="V106" s="1872"/>
      <c r="W106" s="1872"/>
      <c r="X106" s="1872"/>
      <c r="Y106" s="1873"/>
      <c r="Z106" s="1871"/>
      <c r="AA106" s="1872"/>
      <c r="AB106" s="1873"/>
    </row>
    <row r="107" spans="1:30" outlineLevel="2">
      <c r="A107" s="1268"/>
      <c r="B107" s="1966" t="s">
        <v>467</v>
      </c>
      <c r="C107" s="3868"/>
      <c r="D107" s="3869"/>
      <c r="E107" s="3869"/>
      <c r="F107" s="3869"/>
      <c r="G107" s="3870"/>
      <c r="H107" s="809"/>
      <c r="I107" s="723"/>
      <c r="J107" s="723"/>
      <c r="K107" s="723"/>
      <c r="L107" s="723"/>
      <c r="M107" s="809"/>
      <c r="N107" s="723"/>
      <c r="O107" s="723"/>
      <c r="P107" s="723"/>
      <c r="Q107" s="3601"/>
      <c r="U107" s="1871"/>
      <c r="V107" s="1872"/>
      <c r="W107" s="1872"/>
      <c r="X107" s="1872"/>
      <c r="Y107" s="1873"/>
      <c r="Z107" s="1871"/>
      <c r="AA107" s="1872"/>
      <c r="AB107" s="1873"/>
    </row>
    <row r="108" spans="1:30" outlineLevel="2">
      <c r="A108" s="1268"/>
      <c r="B108" s="1966" t="s">
        <v>468</v>
      </c>
      <c r="C108" s="3868"/>
      <c r="D108" s="3869"/>
      <c r="E108" s="3869"/>
      <c r="F108" s="3869"/>
      <c r="G108" s="3870"/>
      <c r="H108" s="809"/>
      <c r="I108" s="723"/>
      <c r="J108" s="723"/>
      <c r="K108" s="723"/>
      <c r="L108" s="723"/>
      <c r="M108" s="809"/>
      <c r="N108" s="723"/>
      <c r="O108" s="723"/>
      <c r="P108" s="723"/>
      <c r="Q108" s="3601"/>
      <c r="U108" s="1871"/>
      <c r="V108" s="1872"/>
      <c r="W108" s="1872"/>
      <c r="X108" s="1872"/>
      <c r="Y108" s="1873"/>
      <c r="Z108" s="1871"/>
      <c r="AA108" s="1872"/>
      <c r="AB108" s="1873"/>
    </row>
    <row r="109" spans="1:30" outlineLevel="2">
      <c r="A109" s="1268"/>
      <c r="B109" s="1966" t="s">
        <v>469</v>
      </c>
      <c r="C109" s="3868"/>
      <c r="D109" s="3869"/>
      <c r="E109" s="3869"/>
      <c r="F109" s="3869"/>
      <c r="G109" s="3870"/>
      <c r="H109" s="809"/>
      <c r="I109" s="723"/>
      <c r="J109" s="723"/>
      <c r="K109" s="723"/>
      <c r="L109" s="723"/>
      <c r="M109" s="809"/>
      <c r="N109" s="723"/>
      <c r="O109" s="723"/>
      <c r="P109" s="723"/>
      <c r="Q109" s="3601"/>
      <c r="U109" s="1871"/>
      <c r="V109" s="1872"/>
      <c r="W109" s="1872"/>
      <c r="X109" s="1872"/>
      <c r="Y109" s="1873"/>
      <c r="Z109" s="1871"/>
      <c r="AA109" s="1872"/>
      <c r="AB109" s="1873"/>
    </row>
    <row r="110" spans="1:30" outlineLevel="2">
      <c r="A110" s="1268"/>
      <c r="B110" s="1966" t="s">
        <v>1444</v>
      </c>
      <c r="C110" s="3868">
        <v>99429.94</v>
      </c>
      <c r="D110" s="3869">
        <v>80137.89999999998</v>
      </c>
      <c r="E110" s="3869">
        <v>3996.88</v>
      </c>
      <c r="F110" s="3869">
        <v>69257.39</v>
      </c>
      <c r="G110" s="3870">
        <v>91820.09</v>
      </c>
      <c r="H110" s="809"/>
      <c r="I110" s="723"/>
      <c r="J110" s="723"/>
      <c r="K110" s="723"/>
      <c r="L110" s="723"/>
      <c r="M110" s="809"/>
      <c r="N110" s="723"/>
      <c r="O110" s="723"/>
      <c r="P110" s="723"/>
      <c r="Q110" s="3601"/>
      <c r="U110" s="1871"/>
      <c r="V110" s="1872"/>
      <c r="W110" s="1872"/>
      <c r="X110" s="1872"/>
      <c r="Y110" s="1873"/>
      <c r="Z110" s="1871"/>
      <c r="AA110" s="1872"/>
      <c r="AB110" s="1873"/>
    </row>
    <row r="111" spans="1:30" outlineLevel="2">
      <c r="A111" s="1268"/>
      <c r="B111" s="1966" t="s">
        <v>58</v>
      </c>
      <c r="C111" s="3871"/>
      <c r="D111" s="3872"/>
      <c r="E111" s="3872"/>
      <c r="F111" s="3872"/>
      <c r="G111" s="3873"/>
      <c r="H111" s="810"/>
      <c r="I111" s="724"/>
      <c r="J111" s="724"/>
      <c r="K111" s="724"/>
      <c r="L111" s="724"/>
      <c r="M111" s="810"/>
      <c r="N111" s="724"/>
      <c r="O111" s="724"/>
      <c r="P111" s="724"/>
      <c r="Q111" s="3602"/>
      <c r="U111" s="1874"/>
      <c r="V111" s="1875"/>
      <c r="W111" s="1875"/>
      <c r="X111" s="1875"/>
      <c r="Y111" s="1876"/>
      <c r="Z111" s="1874"/>
      <c r="AA111" s="1875"/>
      <c r="AB111" s="1876"/>
    </row>
    <row r="112" spans="1:30" outlineLevel="2">
      <c r="A112" s="1268"/>
      <c r="B112" s="1966" t="s">
        <v>89</v>
      </c>
      <c r="C112" s="3871"/>
      <c r="D112" s="3872"/>
      <c r="E112" s="3872"/>
      <c r="F112" s="3872"/>
      <c r="G112" s="3873"/>
      <c r="H112" s="810"/>
      <c r="I112" s="724"/>
      <c r="J112" s="724"/>
      <c r="K112" s="724"/>
      <c r="L112" s="724"/>
      <c r="M112" s="810"/>
      <c r="N112" s="724"/>
      <c r="O112" s="724"/>
      <c r="P112" s="724"/>
      <c r="Q112" s="3602"/>
      <c r="U112" s="1874"/>
      <c r="V112" s="1875"/>
      <c r="W112" s="1875"/>
      <c r="X112" s="1875"/>
      <c r="Y112" s="1876"/>
      <c r="Z112" s="1874"/>
      <c r="AA112" s="1875"/>
      <c r="AB112" s="1876"/>
    </row>
    <row r="113" spans="1:30" ht="13.5" outlineLevel="2" thickBot="1">
      <c r="A113" s="1268"/>
      <c r="B113" s="807" t="s">
        <v>1445</v>
      </c>
      <c r="C113" s="3871"/>
      <c r="D113" s="3872"/>
      <c r="E113" s="3872"/>
      <c r="F113" s="3872"/>
      <c r="G113" s="3873"/>
      <c r="H113" s="810"/>
      <c r="I113" s="724"/>
      <c r="J113" s="724"/>
      <c r="K113" s="724"/>
      <c r="L113" s="724"/>
      <c r="M113" s="810"/>
      <c r="N113" s="724"/>
      <c r="O113" s="724"/>
      <c r="P113" s="724"/>
      <c r="Q113" s="3602"/>
      <c r="U113" s="1874"/>
      <c r="V113" s="1875"/>
      <c r="W113" s="1875"/>
      <c r="X113" s="1875"/>
      <c r="Y113" s="1876"/>
      <c r="Z113" s="1874"/>
      <c r="AA113" s="1875"/>
      <c r="AB113" s="1876"/>
    </row>
    <row r="114" spans="1:30" ht="13.5" outlineLevel="1" thickBot="1">
      <c r="A114" s="1268"/>
      <c r="B114" s="727" t="s">
        <v>65</v>
      </c>
      <c r="C114" s="3874">
        <f t="shared" ref="C114:Q114" si="13">SUM(C105:C113)</f>
        <v>99429.94</v>
      </c>
      <c r="D114" s="3874">
        <f t="shared" si="13"/>
        <v>80137.89999999998</v>
      </c>
      <c r="E114" s="3874">
        <f t="shared" si="13"/>
        <v>3996.88</v>
      </c>
      <c r="F114" s="3874">
        <f t="shared" si="13"/>
        <v>69257.39</v>
      </c>
      <c r="G114" s="3874">
        <f t="shared" si="13"/>
        <v>91820.09</v>
      </c>
      <c r="H114" s="728">
        <f t="shared" si="13"/>
        <v>0</v>
      </c>
      <c r="I114" s="728">
        <f t="shared" si="13"/>
        <v>0</v>
      </c>
      <c r="J114" s="728">
        <f t="shared" si="13"/>
        <v>0</v>
      </c>
      <c r="K114" s="728">
        <f t="shared" si="13"/>
        <v>0</v>
      </c>
      <c r="L114" s="728">
        <f t="shared" si="13"/>
        <v>0</v>
      </c>
      <c r="M114" s="728">
        <f t="shared" si="13"/>
        <v>0</v>
      </c>
      <c r="N114" s="728">
        <f t="shared" si="13"/>
        <v>0</v>
      </c>
      <c r="O114" s="728">
        <f t="shared" si="13"/>
        <v>0</v>
      </c>
      <c r="P114" s="728">
        <f t="shared" si="13"/>
        <v>0</v>
      </c>
      <c r="Q114" s="729">
        <f t="shared" si="13"/>
        <v>0</v>
      </c>
      <c r="U114" s="727" t="e">
        <f>SUM(U107:U113)-#REF!</f>
        <v>#REF!</v>
      </c>
      <c r="V114" s="728" t="e">
        <f>SUM(V107:V113)-#REF!</f>
        <v>#REF!</v>
      </c>
      <c r="W114" s="728" t="e">
        <f>SUM(W107:W113)-#REF!</f>
        <v>#REF!</v>
      </c>
      <c r="X114" s="728" t="e">
        <f>SUM(X107:X113)-#REF!</f>
        <v>#REF!</v>
      </c>
      <c r="Y114" s="728" t="e">
        <f>SUM(Y107:Y113)-#REF!</f>
        <v>#REF!</v>
      </c>
      <c r="Z114" s="728" t="e">
        <f>SUM(Z107:Z113)-#REF!</f>
        <v>#REF!</v>
      </c>
      <c r="AA114" s="728" t="e">
        <f>SUM(AA107:AA113)-#REF!</f>
        <v>#REF!</v>
      </c>
      <c r="AB114" s="729" t="e">
        <f>SUM(AB107:AB113)-#REF!</f>
        <v>#REF!</v>
      </c>
    </row>
    <row r="115" spans="1:30" s="1268" customFormat="1" ht="23.25" customHeight="1" outlineLevel="1" thickBot="1">
      <c r="R115" s="1266"/>
      <c r="S115" s="1266"/>
      <c r="T115" s="1266"/>
      <c r="AC115" s="1266"/>
      <c r="AD115" s="1266"/>
    </row>
    <row r="116" spans="1:30" s="501" customFormat="1" ht="24.75" customHeight="1" thickBot="1">
      <c r="A116" s="299"/>
      <c r="B116" s="682" t="str">
        <f>CONCATENATE("Table 16.1.9 - ",'[10]17. Gross Capex '!B29)</f>
        <v>Table 16.1.9 - Other</v>
      </c>
      <c r="C116" s="306"/>
      <c r="D116" s="306"/>
      <c r="E116" s="306"/>
      <c r="F116" s="306"/>
      <c r="G116" s="306"/>
      <c r="H116" s="306"/>
      <c r="I116" s="306"/>
      <c r="J116" s="306"/>
      <c r="K116" s="306"/>
      <c r="L116" s="306"/>
      <c r="M116" s="306"/>
      <c r="N116" s="306"/>
      <c r="O116" s="306"/>
      <c r="P116" s="306"/>
      <c r="Q116" s="695"/>
      <c r="R116" s="1266"/>
      <c r="S116" s="1266"/>
      <c r="T116" s="1266"/>
      <c r="U116" s="292"/>
      <c r="V116" s="306"/>
      <c r="W116" s="306"/>
      <c r="X116" s="306"/>
      <c r="Y116" s="306"/>
      <c r="Z116" s="306"/>
      <c r="AA116" s="306"/>
      <c r="AB116" s="307"/>
      <c r="AC116" s="1266"/>
      <c r="AD116" s="1266"/>
    </row>
    <row r="117" spans="1:30" outlineLevel="2">
      <c r="A117" s="1268"/>
      <c r="B117" s="1966" t="s">
        <v>1443</v>
      </c>
      <c r="C117" s="3865"/>
      <c r="D117" s="3866"/>
      <c r="E117" s="3866"/>
      <c r="F117" s="3866"/>
      <c r="G117" s="3867"/>
      <c r="H117" s="3599"/>
      <c r="I117" s="808"/>
      <c r="J117" s="808"/>
      <c r="K117" s="808"/>
      <c r="L117" s="808"/>
      <c r="M117" s="3599"/>
      <c r="N117" s="808"/>
      <c r="O117" s="808"/>
      <c r="P117" s="808"/>
      <c r="Q117" s="3600"/>
      <c r="U117" s="1868"/>
      <c r="V117" s="1869"/>
      <c r="W117" s="1869"/>
      <c r="X117" s="1869"/>
      <c r="Y117" s="1870"/>
      <c r="Z117" s="1868"/>
      <c r="AA117" s="1869"/>
      <c r="AB117" s="1870"/>
    </row>
    <row r="118" spans="1:30" outlineLevel="2">
      <c r="A118" s="1268"/>
      <c r="B118" s="1966" t="s">
        <v>466</v>
      </c>
      <c r="C118" s="3868"/>
      <c r="D118" s="3869"/>
      <c r="E118" s="3869"/>
      <c r="F118" s="3869"/>
      <c r="G118" s="3870"/>
      <c r="H118" s="809"/>
      <c r="I118" s="723"/>
      <c r="J118" s="723"/>
      <c r="K118" s="723"/>
      <c r="L118" s="723"/>
      <c r="M118" s="809"/>
      <c r="N118" s="723"/>
      <c r="O118" s="723"/>
      <c r="P118" s="723"/>
      <c r="Q118" s="3601"/>
      <c r="U118" s="1871"/>
      <c r="V118" s="1872"/>
      <c r="W118" s="1872"/>
      <c r="X118" s="1872"/>
      <c r="Y118" s="1873"/>
      <c r="Z118" s="1871"/>
      <c r="AA118" s="1872"/>
      <c r="AB118" s="1873"/>
    </row>
    <row r="119" spans="1:30" outlineLevel="2">
      <c r="A119" s="1268"/>
      <c r="B119" s="1966" t="s">
        <v>467</v>
      </c>
      <c r="C119" s="3868"/>
      <c r="D119" s="3869"/>
      <c r="E119" s="3869"/>
      <c r="F119" s="3869"/>
      <c r="G119" s="3870"/>
      <c r="H119" s="809"/>
      <c r="I119" s="723"/>
      <c r="J119" s="723"/>
      <c r="K119" s="723"/>
      <c r="L119" s="723"/>
      <c r="M119" s="809"/>
      <c r="N119" s="723"/>
      <c r="O119" s="723"/>
      <c r="P119" s="723"/>
      <c r="Q119" s="3601"/>
      <c r="U119" s="1871"/>
      <c r="V119" s="1872"/>
      <c r="W119" s="1872"/>
      <c r="X119" s="1872"/>
      <c r="Y119" s="1873"/>
      <c r="Z119" s="1871"/>
      <c r="AA119" s="1872"/>
      <c r="AB119" s="1873"/>
    </row>
    <row r="120" spans="1:30" outlineLevel="2">
      <c r="A120" s="1268"/>
      <c r="B120" s="1966" t="s">
        <v>468</v>
      </c>
      <c r="C120" s="3868"/>
      <c r="D120" s="3869"/>
      <c r="E120" s="3869"/>
      <c r="F120" s="3869"/>
      <c r="G120" s="3870"/>
      <c r="H120" s="809"/>
      <c r="I120" s="723"/>
      <c r="J120" s="723"/>
      <c r="K120" s="723"/>
      <c r="L120" s="723"/>
      <c r="M120" s="809"/>
      <c r="N120" s="723"/>
      <c r="O120" s="723"/>
      <c r="P120" s="723"/>
      <c r="Q120" s="3601"/>
      <c r="U120" s="1871"/>
      <c r="V120" s="1872"/>
      <c r="W120" s="1872"/>
      <c r="X120" s="1872"/>
      <c r="Y120" s="1873"/>
      <c r="Z120" s="1871"/>
      <c r="AA120" s="1872"/>
      <c r="AB120" s="1873"/>
    </row>
    <row r="121" spans="1:30" outlineLevel="2">
      <c r="A121" s="1268"/>
      <c r="B121" s="1966" t="s">
        <v>469</v>
      </c>
      <c r="C121" s="3868"/>
      <c r="D121" s="3869"/>
      <c r="E121" s="3869"/>
      <c r="F121" s="3869"/>
      <c r="G121" s="3870"/>
      <c r="H121" s="809"/>
      <c r="I121" s="723"/>
      <c r="J121" s="723"/>
      <c r="K121" s="723"/>
      <c r="L121" s="723"/>
      <c r="M121" s="809"/>
      <c r="N121" s="723"/>
      <c r="O121" s="723"/>
      <c r="P121" s="723"/>
      <c r="Q121" s="3601"/>
      <c r="U121" s="1871"/>
      <c r="V121" s="1872"/>
      <c r="W121" s="1872"/>
      <c r="X121" s="1872"/>
      <c r="Y121" s="1873"/>
      <c r="Z121" s="1871"/>
      <c r="AA121" s="1872"/>
      <c r="AB121" s="1873"/>
    </row>
    <row r="122" spans="1:30" outlineLevel="2">
      <c r="A122" s="1268"/>
      <c r="B122" s="1966" t="s">
        <v>1444</v>
      </c>
      <c r="C122" s="3868">
        <v>0</v>
      </c>
      <c r="D122" s="3869">
        <v>0</v>
      </c>
      <c r="E122" s="3869">
        <v>165912.13</v>
      </c>
      <c r="F122" s="3869">
        <v>24079.699999999997</v>
      </c>
      <c r="G122" s="3870">
        <v>620480.96</v>
      </c>
      <c r="H122" s="809"/>
      <c r="I122" s="723"/>
      <c r="J122" s="723"/>
      <c r="K122" s="723"/>
      <c r="L122" s="723"/>
      <c r="M122" s="809"/>
      <c r="N122" s="723"/>
      <c r="O122" s="723"/>
      <c r="P122" s="723"/>
      <c r="Q122" s="3601"/>
      <c r="U122" s="1871"/>
      <c r="V122" s="1872"/>
      <c r="W122" s="1872"/>
      <c r="X122" s="1872"/>
      <c r="Y122" s="1873"/>
      <c r="Z122" s="1871"/>
      <c r="AA122" s="1872"/>
      <c r="AB122" s="1873"/>
    </row>
    <row r="123" spans="1:30" outlineLevel="2">
      <c r="A123" s="1268"/>
      <c r="B123" s="1966" t="s">
        <v>58</v>
      </c>
      <c r="C123" s="3871"/>
      <c r="D123" s="3872"/>
      <c r="E123" s="3872"/>
      <c r="F123" s="3872"/>
      <c r="G123" s="3873"/>
      <c r="H123" s="810"/>
      <c r="I123" s="724"/>
      <c r="J123" s="724"/>
      <c r="K123" s="724"/>
      <c r="L123" s="724"/>
      <c r="M123" s="810"/>
      <c r="N123" s="724"/>
      <c r="O123" s="724"/>
      <c r="P123" s="724"/>
      <c r="Q123" s="3602"/>
      <c r="U123" s="1874"/>
      <c r="V123" s="1875"/>
      <c r="W123" s="1875"/>
      <c r="X123" s="1875"/>
      <c r="Y123" s="1876"/>
      <c r="Z123" s="1874"/>
      <c r="AA123" s="1875"/>
      <c r="AB123" s="1876"/>
    </row>
    <row r="124" spans="1:30" outlineLevel="2">
      <c r="A124" s="1268"/>
      <c r="B124" s="1966" t="s">
        <v>89</v>
      </c>
      <c r="C124" s="3871"/>
      <c r="D124" s="3872"/>
      <c r="E124" s="3872"/>
      <c r="F124" s="3872"/>
      <c r="G124" s="3873"/>
      <c r="H124" s="810"/>
      <c r="I124" s="724"/>
      <c r="J124" s="724"/>
      <c r="K124" s="724"/>
      <c r="L124" s="724"/>
      <c r="M124" s="810"/>
      <c r="N124" s="724"/>
      <c r="O124" s="724"/>
      <c r="P124" s="724"/>
      <c r="Q124" s="3602"/>
      <c r="U124" s="1874"/>
      <c r="V124" s="1875"/>
      <c r="W124" s="1875"/>
      <c r="X124" s="1875"/>
      <c r="Y124" s="1876"/>
      <c r="Z124" s="1874"/>
      <c r="AA124" s="1875"/>
      <c r="AB124" s="1876"/>
    </row>
    <row r="125" spans="1:30" ht="13.5" outlineLevel="2" thickBot="1">
      <c r="A125" s="1268"/>
      <c r="B125" s="807" t="s">
        <v>1445</v>
      </c>
      <c r="C125" s="3871"/>
      <c r="D125" s="3872"/>
      <c r="E125" s="3872"/>
      <c r="F125" s="3872"/>
      <c r="G125" s="3873"/>
      <c r="H125" s="810"/>
      <c r="I125" s="724"/>
      <c r="J125" s="724"/>
      <c r="K125" s="724"/>
      <c r="L125" s="724"/>
      <c r="M125" s="810"/>
      <c r="N125" s="724"/>
      <c r="O125" s="724"/>
      <c r="P125" s="724"/>
      <c r="Q125" s="3602"/>
      <c r="U125" s="1874"/>
      <c r="V125" s="1875"/>
      <c r="W125" s="1875"/>
      <c r="X125" s="1875"/>
      <c r="Y125" s="1876"/>
      <c r="Z125" s="1874"/>
      <c r="AA125" s="1875"/>
      <c r="AB125" s="1876"/>
    </row>
    <row r="126" spans="1:30" ht="13.5" outlineLevel="1" thickBot="1">
      <c r="A126" s="1268"/>
      <c r="B126" s="727" t="s">
        <v>65</v>
      </c>
      <c r="C126" s="3874">
        <f t="shared" ref="C126:Q126" si="14">SUM(C117:C125)</f>
        <v>0</v>
      </c>
      <c r="D126" s="3874">
        <f t="shared" si="14"/>
        <v>0</v>
      </c>
      <c r="E126" s="3874">
        <f t="shared" si="14"/>
        <v>165912.13</v>
      </c>
      <c r="F126" s="3874">
        <f t="shared" si="14"/>
        <v>24079.699999999997</v>
      </c>
      <c r="G126" s="3874">
        <f t="shared" si="14"/>
        <v>620480.96</v>
      </c>
      <c r="H126" s="728">
        <f t="shared" si="14"/>
        <v>0</v>
      </c>
      <c r="I126" s="728">
        <f t="shared" si="14"/>
        <v>0</v>
      </c>
      <c r="J126" s="728">
        <f t="shared" si="14"/>
        <v>0</v>
      </c>
      <c r="K126" s="728">
        <f t="shared" si="14"/>
        <v>0</v>
      </c>
      <c r="L126" s="728">
        <f t="shared" si="14"/>
        <v>0</v>
      </c>
      <c r="M126" s="728">
        <f t="shared" si="14"/>
        <v>0</v>
      </c>
      <c r="N126" s="728">
        <f t="shared" si="14"/>
        <v>0</v>
      </c>
      <c r="O126" s="728">
        <f t="shared" si="14"/>
        <v>0</v>
      </c>
      <c r="P126" s="728">
        <f t="shared" si="14"/>
        <v>0</v>
      </c>
      <c r="Q126" s="729">
        <f t="shared" si="14"/>
        <v>0</v>
      </c>
      <c r="U126" s="727">
        <f t="shared" ref="U126:AB126" si="15">SUM(U117:U125)</f>
        <v>0</v>
      </c>
      <c r="V126" s="728">
        <f t="shared" si="15"/>
        <v>0</v>
      </c>
      <c r="W126" s="728">
        <f t="shared" si="15"/>
        <v>0</v>
      </c>
      <c r="X126" s="728">
        <f t="shared" si="15"/>
        <v>0</v>
      </c>
      <c r="Y126" s="728">
        <f t="shared" si="15"/>
        <v>0</v>
      </c>
      <c r="Z126" s="728">
        <f t="shared" si="15"/>
        <v>0</v>
      </c>
      <c r="AA126" s="728">
        <f t="shared" si="15"/>
        <v>0</v>
      </c>
      <c r="AB126" s="729">
        <f t="shared" si="15"/>
        <v>0</v>
      </c>
    </row>
    <row r="127" spans="1:30" s="1268" customFormat="1" ht="23.25" customHeight="1" outlineLevel="1" thickBot="1">
      <c r="R127" s="1266"/>
      <c r="S127" s="1266"/>
      <c r="T127" s="1266"/>
      <c r="AC127" s="1266"/>
      <c r="AD127" s="1266"/>
    </row>
    <row r="128" spans="1:30" s="501" customFormat="1" ht="24.75" customHeight="1" thickBot="1">
      <c r="A128" s="299"/>
      <c r="B128" s="682" t="str">
        <f>CONCATENATE("Table 16.1.10 - ",'[10]17. Gross Capex '!B30)</f>
        <v>Table 16.1.10 - Buildings</v>
      </c>
      <c r="C128" s="306"/>
      <c r="D128" s="306"/>
      <c r="E128" s="306"/>
      <c r="F128" s="306"/>
      <c r="G128" s="306"/>
      <c r="H128" s="306"/>
      <c r="I128" s="306"/>
      <c r="J128" s="306"/>
      <c r="K128" s="306"/>
      <c r="L128" s="306"/>
      <c r="M128" s="306"/>
      <c r="N128" s="306"/>
      <c r="O128" s="306"/>
      <c r="P128" s="306"/>
      <c r="Q128" s="695"/>
      <c r="R128" s="1266"/>
      <c r="S128" s="1266"/>
      <c r="T128" s="1266"/>
      <c r="U128" s="292"/>
      <c r="V128" s="306"/>
      <c r="W128" s="306"/>
      <c r="X128" s="306"/>
      <c r="Y128" s="306"/>
      <c r="Z128" s="306"/>
      <c r="AA128" s="306"/>
      <c r="AB128" s="307"/>
      <c r="AC128" s="1266"/>
      <c r="AD128" s="1266"/>
    </row>
    <row r="129" spans="1:28" outlineLevel="2">
      <c r="A129" s="1268"/>
      <c r="B129" s="1966" t="s">
        <v>1443</v>
      </c>
      <c r="C129" s="3865"/>
      <c r="D129" s="3866"/>
      <c r="E129" s="3866"/>
      <c r="F129" s="3866"/>
      <c r="G129" s="3867"/>
      <c r="H129" s="3599"/>
      <c r="I129" s="808"/>
      <c r="J129" s="808"/>
      <c r="K129" s="808"/>
      <c r="L129" s="808"/>
      <c r="M129" s="3599"/>
      <c r="N129" s="808"/>
      <c r="O129" s="808"/>
      <c r="P129" s="808"/>
      <c r="Q129" s="3600"/>
      <c r="U129" s="1868"/>
      <c r="V129" s="1869"/>
      <c r="W129" s="1869"/>
      <c r="X129" s="1869"/>
      <c r="Y129" s="1870"/>
      <c r="Z129" s="1868"/>
      <c r="AA129" s="1869"/>
      <c r="AB129" s="1870"/>
    </row>
    <row r="130" spans="1:28" outlineLevel="2">
      <c r="A130" s="1268"/>
      <c r="B130" s="1966" t="s">
        <v>466</v>
      </c>
      <c r="C130" s="3868"/>
      <c r="D130" s="3869"/>
      <c r="E130" s="3869"/>
      <c r="F130" s="3869"/>
      <c r="G130" s="3870"/>
      <c r="H130" s="809"/>
      <c r="I130" s="723"/>
      <c r="J130" s="723"/>
      <c r="K130" s="723"/>
      <c r="L130" s="723"/>
      <c r="M130" s="809"/>
      <c r="N130" s="723"/>
      <c r="O130" s="723"/>
      <c r="P130" s="723"/>
      <c r="Q130" s="3601"/>
      <c r="U130" s="1871"/>
      <c r="V130" s="1872"/>
      <c r="W130" s="1872"/>
      <c r="X130" s="1872"/>
      <c r="Y130" s="1873"/>
      <c r="Z130" s="1871"/>
      <c r="AA130" s="1872"/>
      <c r="AB130" s="1873"/>
    </row>
    <row r="131" spans="1:28" outlineLevel="2">
      <c r="A131" s="1268"/>
      <c r="B131" s="1966" t="s">
        <v>467</v>
      </c>
      <c r="C131" s="3868"/>
      <c r="D131" s="3869"/>
      <c r="E131" s="3869"/>
      <c r="F131" s="3869"/>
      <c r="G131" s="3870"/>
      <c r="H131" s="809"/>
      <c r="I131" s="723"/>
      <c r="J131" s="723"/>
      <c r="K131" s="723"/>
      <c r="L131" s="723"/>
      <c r="M131" s="809"/>
      <c r="N131" s="723"/>
      <c r="O131" s="723"/>
      <c r="P131" s="723"/>
      <c r="Q131" s="3601"/>
      <c r="U131" s="1871"/>
      <c r="V131" s="1872"/>
      <c r="W131" s="1872"/>
      <c r="X131" s="1872"/>
      <c r="Y131" s="1873"/>
      <c r="Z131" s="1871"/>
      <c r="AA131" s="1872"/>
      <c r="AB131" s="1873"/>
    </row>
    <row r="132" spans="1:28" outlineLevel="2">
      <c r="A132" s="1268"/>
      <c r="B132" s="1966" t="s">
        <v>468</v>
      </c>
      <c r="C132" s="3868"/>
      <c r="D132" s="3869"/>
      <c r="E132" s="3869"/>
      <c r="F132" s="3869"/>
      <c r="G132" s="3870"/>
      <c r="H132" s="809"/>
      <c r="I132" s="723"/>
      <c r="J132" s="723"/>
      <c r="K132" s="723"/>
      <c r="L132" s="723"/>
      <c r="M132" s="809"/>
      <c r="N132" s="723"/>
      <c r="O132" s="723"/>
      <c r="P132" s="723"/>
      <c r="Q132" s="3601"/>
      <c r="U132" s="1871"/>
      <c r="V132" s="1872"/>
      <c r="W132" s="1872"/>
      <c r="X132" s="1872"/>
      <c r="Y132" s="1873"/>
      <c r="Z132" s="1871"/>
      <c r="AA132" s="1872"/>
      <c r="AB132" s="1873"/>
    </row>
    <row r="133" spans="1:28" outlineLevel="2">
      <c r="A133" s="1268"/>
      <c r="B133" s="1966" t="s">
        <v>469</v>
      </c>
      <c r="C133" s="3868"/>
      <c r="D133" s="3869"/>
      <c r="E133" s="3869"/>
      <c r="F133" s="3869"/>
      <c r="G133" s="3870"/>
      <c r="H133" s="809"/>
      <c r="I133" s="723"/>
      <c r="J133" s="723"/>
      <c r="K133" s="723"/>
      <c r="L133" s="723"/>
      <c r="M133" s="809"/>
      <c r="N133" s="723"/>
      <c r="O133" s="723"/>
      <c r="P133" s="723"/>
      <c r="Q133" s="3601"/>
      <c r="U133" s="1871"/>
      <c r="V133" s="1872"/>
      <c r="W133" s="1872"/>
      <c r="X133" s="1872"/>
      <c r="Y133" s="1873"/>
      <c r="Z133" s="1871"/>
      <c r="AA133" s="1872"/>
      <c r="AB133" s="1873"/>
    </row>
    <row r="134" spans="1:28" outlineLevel="2">
      <c r="A134" s="1268"/>
      <c r="B134" s="1966" t="s">
        <v>1444</v>
      </c>
      <c r="C134" s="3868">
        <v>0</v>
      </c>
      <c r="D134" s="3869">
        <v>0</v>
      </c>
      <c r="E134" s="3869">
        <v>12191.57</v>
      </c>
      <c r="F134" s="3869">
        <v>97130.159999999989</v>
      </c>
      <c r="G134" s="3870">
        <v>0</v>
      </c>
      <c r="H134" s="809"/>
      <c r="I134" s="723"/>
      <c r="J134" s="723"/>
      <c r="K134" s="723"/>
      <c r="L134" s="723"/>
      <c r="M134" s="809"/>
      <c r="N134" s="723"/>
      <c r="O134" s="723"/>
      <c r="P134" s="723"/>
      <c r="Q134" s="3601"/>
      <c r="U134" s="1871"/>
      <c r="V134" s="1872"/>
      <c r="W134" s="1872"/>
      <c r="X134" s="1872"/>
      <c r="Y134" s="1873"/>
      <c r="Z134" s="1871"/>
      <c r="AA134" s="1872"/>
      <c r="AB134" s="1873"/>
    </row>
    <row r="135" spans="1:28" outlineLevel="2">
      <c r="A135" s="1268"/>
      <c r="B135" s="1966" t="s">
        <v>58</v>
      </c>
      <c r="C135" s="3871"/>
      <c r="D135" s="3872"/>
      <c r="E135" s="3872"/>
      <c r="F135" s="3872"/>
      <c r="G135" s="3873"/>
      <c r="H135" s="810"/>
      <c r="I135" s="724"/>
      <c r="J135" s="724"/>
      <c r="K135" s="724"/>
      <c r="L135" s="724"/>
      <c r="M135" s="810"/>
      <c r="N135" s="724"/>
      <c r="O135" s="724"/>
      <c r="P135" s="724"/>
      <c r="Q135" s="3602"/>
      <c r="U135" s="1874"/>
      <c r="V135" s="1875"/>
      <c r="W135" s="1875"/>
      <c r="X135" s="1875"/>
      <c r="Y135" s="1876"/>
      <c r="Z135" s="1874"/>
      <c r="AA135" s="1875"/>
      <c r="AB135" s="1876"/>
    </row>
    <row r="136" spans="1:28" outlineLevel="2">
      <c r="A136" s="1268"/>
      <c r="B136" s="1966" t="s">
        <v>89</v>
      </c>
      <c r="C136" s="3871"/>
      <c r="D136" s="3872"/>
      <c r="E136" s="3872"/>
      <c r="F136" s="3872"/>
      <c r="G136" s="3873"/>
      <c r="H136" s="810"/>
      <c r="I136" s="724"/>
      <c r="J136" s="724"/>
      <c r="K136" s="724"/>
      <c r="L136" s="724"/>
      <c r="M136" s="810"/>
      <c r="N136" s="724"/>
      <c r="O136" s="724"/>
      <c r="P136" s="724"/>
      <c r="Q136" s="3602"/>
      <c r="U136" s="1874"/>
      <c r="V136" s="1875"/>
      <c r="W136" s="1875"/>
      <c r="X136" s="1875"/>
      <c r="Y136" s="1876"/>
      <c r="Z136" s="1874"/>
      <c r="AA136" s="1875"/>
      <c r="AB136" s="1876"/>
    </row>
    <row r="137" spans="1:28" ht="13.5" outlineLevel="2" thickBot="1">
      <c r="A137" s="1268"/>
      <c r="B137" s="807" t="s">
        <v>1445</v>
      </c>
      <c r="C137" s="3871"/>
      <c r="D137" s="3872"/>
      <c r="E137" s="3872"/>
      <c r="F137" s="3872"/>
      <c r="G137" s="3873"/>
      <c r="H137" s="810"/>
      <c r="I137" s="724"/>
      <c r="J137" s="724"/>
      <c r="K137" s="724"/>
      <c r="L137" s="724"/>
      <c r="M137" s="810"/>
      <c r="N137" s="724"/>
      <c r="O137" s="724"/>
      <c r="P137" s="724"/>
      <c r="Q137" s="3602"/>
      <c r="U137" s="1874"/>
      <c r="V137" s="1875"/>
      <c r="W137" s="1875"/>
      <c r="X137" s="1875"/>
      <c r="Y137" s="1876"/>
      <c r="Z137" s="1874"/>
      <c r="AA137" s="1875"/>
      <c r="AB137" s="1876"/>
    </row>
    <row r="138" spans="1:28" ht="13.5" outlineLevel="1" thickBot="1">
      <c r="A138" s="1268"/>
      <c r="B138" s="727" t="s">
        <v>65</v>
      </c>
      <c r="C138" s="3874">
        <f t="shared" ref="C138:Q138" si="16">SUM(C129:C137)</f>
        <v>0</v>
      </c>
      <c r="D138" s="3874">
        <f t="shared" si="16"/>
        <v>0</v>
      </c>
      <c r="E138" s="3874">
        <f t="shared" si="16"/>
        <v>12191.57</v>
      </c>
      <c r="F138" s="3874">
        <f t="shared" si="16"/>
        <v>97130.159999999989</v>
      </c>
      <c r="G138" s="3874">
        <f t="shared" si="16"/>
        <v>0</v>
      </c>
      <c r="H138" s="728">
        <f t="shared" si="16"/>
        <v>0</v>
      </c>
      <c r="I138" s="728">
        <f t="shared" si="16"/>
        <v>0</v>
      </c>
      <c r="J138" s="728">
        <f t="shared" si="16"/>
        <v>0</v>
      </c>
      <c r="K138" s="728">
        <f t="shared" si="16"/>
        <v>0</v>
      </c>
      <c r="L138" s="728">
        <f t="shared" si="16"/>
        <v>0</v>
      </c>
      <c r="M138" s="728">
        <f t="shared" si="16"/>
        <v>0</v>
      </c>
      <c r="N138" s="728">
        <f t="shared" si="16"/>
        <v>0</v>
      </c>
      <c r="O138" s="728">
        <f t="shared" si="16"/>
        <v>0</v>
      </c>
      <c r="P138" s="728">
        <f t="shared" si="16"/>
        <v>0</v>
      </c>
      <c r="Q138" s="729">
        <f t="shared" si="16"/>
        <v>0</v>
      </c>
      <c r="U138" s="727">
        <f t="shared" ref="U138:AB138" si="17">SUM(U129:U137)</f>
        <v>0</v>
      </c>
      <c r="V138" s="728">
        <f t="shared" si="17"/>
        <v>0</v>
      </c>
      <c r="W138" s="728">
        <f t="shared" si="17"/>
        <v>0</v>
      </c>
      <c r="X138" s="728">
        <f t="shared" si="17"/>
        <v>0</v>
      </c>
      <c r="Y138" s="728">
        <f t="shared" si="17"/>
        <v>0</v>
      </c>
      <c r="Z138" s="728">
        <f t="shared" si="17"/>
        <v>0</v>
      </c>
      <c r="AA138" s="728">
        <f t="shared" si="17"/>
        <v>0</v>
      </c>
      <c r="AB138" s="729">
        <f t="shared" si="17"/>
        <v>0</v>
      </c>
    </row>
    <row r="139" spans="1:28" ht="28.5" customHeight="1" thickBot="1">
      <c r="A139" s="974"/>
      <c r="B139" s="3469" t="s">
        <v>127</v>
      </c>
      <c r="C139" s="687"/>
      <c r="D139" s="301"/>
      <c r="E139" s="301"/>
      <c r="F139" s="301"/>
      <c r="G139" s="301"/>
      <c r="H139" s="301"/>
      <c r="I139" s="301"/>
      <c r="J139" s="301"/>
      <c r="K139" s="301"/>
      <c r="L139" s="301"/>
      <c r="M139" s="301"/>
      <c r="N139" s="301"/>
      <c r="O139" s="301"/>
      <c r="P139" s="301"/>
      <c r="Q139" s="436"/>
      <c r="U139" s="1790"/>
      <c r="V139" s="1771"/>
      <c r="W139" s="1771"/>
      <c r="X139" s="1771"/>
      <c r="Y139" s="1771"/>
      <c r="Z139" s="1771"/>
      <c r="AA139" s="1771"/>
      <c r="AB139" s="1774"/>
    </row>
  </sheetData>
  <mergeCells count="16">
    <mergeCell ref="U16:Y16"/>
    <mergeCell ref="Z16:AB16"/>
    <mergeCell ref="U17:AB17"/>
    <mergeCell ref="U18:AB18"/>
    <mergeCell ref="B8:E8"/>
    <mergeCell ref="B9:E9"/>
    <mergeCell ref="B10:E10"/>
    <mergeCell ref="B11:E11"/>
    <mergeCell ref="B16:B19"/>
    <mergeCell ref="C16:G16"/>
    <mergeCell ref="H16:L16"/>
    <mergeCell ref="M16:Q16"/>
    <mergeCell ref="C17:J17"/>
    <mergeCell ref="K17:Q17"/>
    <mergeCell ref="C18:J18"/>
    <mergeCell ref="K18:Q18"/>
  </mergeCells>
  <pageMargins left="0.75" right="0.75" top="1" bottom="1" header="0.5" footer="0.5"/>
  <pageSetup paperSize="9" orientation="portrait" r:id="rId1"/>
  <headerFooter alignWithMargins="0"/>
  <customProperties>
    <customPr name="layoutContexts" r:id="rId2"/>
    <customPr name="SaveUndoMode" r:id="rId3"/>
  </customProperties>
  <drawing r:id="rId4"/>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tabColor rgb="FF92D050"/>
    <pageSetUpPr autoPageBreaks="0" fitToPage="1"/>
  </sheetPr>
  <dimension ref="A1:AE116"/>
  <sheetViews>
    <sheetView showGridLines="0" zoomScale="70" zoomScaleNormal="70" zoomScaleSheetLayoutView="40" workbookViewId="0">
      <selection activeCell="K40" sqref="K40"/>
    </sheetView>
  </sheetViews>
  <sheetFormatPr defaultColWidth="9.140625" defaultRowHeight="12.75"/>
  <cols>
    <col min="1" max="1" width="16.28515625" style="69" bestFit="1" customWidth="1"/>
    <col min="2" max="2" width="52" style="69" customWidth="1"/>
    <col min="3" max="11" width="15.7109375" style="69" customWidth="1"/>
    <col min="12" max="12" width="15.5703125" style="69" customWidth="1"/>
    <col min="13" max="17" width="15.7109375" style="69" customWidth="1"/>
    <col min="18" max="18" width="12.42578125" bestFit="1" customWidth="1"/>
    <col min="19" max="20" width="8.7109375"/>
    <col min="21" max="28" width="15.7109375" style="1266" customWidth="1"/>
    <col min="29" max="29" width="8.7109375" customWidth="1"/>
    <col min="30" max="16384" width="9.140625" style="69"/>
  </cols>
  <sheetData>
    <row r="1" spans="1:31" s="217" customFormat="1" ht="24" customHeight="1">
      <c r="B1" s="2272" t="str">
        <f>IF(dms_DataQuality="backcast",INDEX(dms_Worksheet_List,MATCH(dms_Model,dms_Model_List))&amp;" BACKCAST",INDEX(dms_Worksheet_List,MATCH(dms_Model,dms_Model_List)))</f>
        <v>REGULATORY REPORTING STATEMENT</v>
      </c>
      <c r="C1" s="518"/>
      <c r="D1" s="518"/>
      <c r="E1" s="518"/>
      <c r="F1" s="518"/>
      <c r="G1" s="518"/>
      <c r="H1" s="219"/>
      <c r="I1" s="219"/>
      <c r="J1" s="219"/>
      <c r="K1" s="219"/>
      <c r="L1" s="219"/>
      <c r="M1" s="219" t="s">
        <v>401</v>
      </c>
      <c r="N1" s="219"/>
      <c r="O1" s="219"/>
      <c r="P1" s="219"/>
      <c r="Q1" s="219"/>
      <c r="R1" s="219"/>
      <c r="S1" s="219"/>
      <c r="T1" s="219"/>
      <c r="U1" s="518"/>
      <c r="V1" s="518"/>
      <c r="W1" s="518"/>
      <c r="X1" s="518"/>
      <c r="Y1" s="518"/>
      <c r="Z1" s="219"/>
      <c r="AA1" s="219"/>
      <c r="AB1" s="219"/>
      <c r="AC1"/>
    </row>
    <row r="2" spans="1:31" s="217" customFormat="1" ht="24" customHeight="1">
      <c r="B2" s="2277" t="str">
        <f>INDEX(dms_TradingNameFull_List,MATCH(dms_TradingName,dms_TradingName_List))</f>
        <v>Multinet Gas (DB No.1) Pty Ltd (ACN 086 026 986), Multinet Gas (DB No.2) Pty Ltd (ACN 086 230 122)</v>
      </c>
      <c r="C2" s="220"/>
      <c r="D2" s="220"/>
      <c r="E2" s="220"/>
      <c r="F2" s="220"/>
      <c r="G2" s="220"/>
      <c r="H2" s="219"/>
      <c r="I2" s="219"/>
      <c r="J2" s="219"/>
      <c r="K2" s="219"/>
      <c r="L2" s="219"/>
      <c r="M2" s="219"/>
      <c r="N2" s="219"/>
      <c r="O2" s="219"/>
      <c r="P2" s="219"/>
      <c r="Q2" s="219"/>
      <c r="R2" s="219"/>
      <c r="S2" s="219"/>
      <c r="T2" s="219"/>
      <c r="U2" s="1267"/>
      <c r="V2" s="1267"/>
      <c r="W2" s="1267"/>
      <c r="X2" s="1267"/>
      <c r="Y2" s="1267"/>
      <c r="Z2" s="219"/>
      <c r="AA2" s="219"/>
      <c r="AB2" s="219"/>
      <c r="AC2"/>
    </row>
    <row r="3" spans="1:31" s="217" customFormat="1" ht="24" customHeight="1">
      <c r="B3" s="2277" t="str">
        <f ca="1">IF(SUM(dms_SingleYear_Model)&gt;0,CRY,CONCATENATE(FRCP_y1," to ",dms_MultiYear_FinalYear_Result))</f>
        <v>2018 to 2022</v>
      </c>
      <c r="C3" s="221"/>
      <c r="D3" s="221"/>
      <c r="E3" s="221"/>
      <c r="F3" s="221"/>
      <c r="G3" s="221"/>
      <c r="H3" s="222" t="str">
        <f>CONCATENATE(LEFT(FRCP_y1,4),"-",LEFT(FRCP_y5,2),RIGHT(FRCP_y5,2))</f>
        <v>2018-2022</v>
      </c>
      <c r="I3" s="222" t="str">
        <f>CONCATENATE(LEFT(FRCP_y1,4),"-",LEFT(FRCP_y5,2),RIGHT(FRCP_y5,2))</f>
        <v>2018-2022</v>
      </c>
      <c r="J3" s="221"/>
      <c r="K3" s="221"/>
      <c r="L3" s="221"/>
      <c r="M3" s="221"/>
      <c r="N3" s="221"/>
      <c r="O3" s="221"/>
      <c r="P3" s="221"/>
      <c r="Q3" s="221"/>
      <c r="R3" s="1265"/>
      <c r="S3" s="1265"/>
      <c r="T3" s="1265"/>
      <c r="U3" s="1265"/>
      <c r="V3" s="1265"/>
      <c r="W3" s="1265"/>
      <c r="X3" s="1265"/>
      <c r="Y3" s="1265"/>
      <c r="Z3" s="222"/>
      <c r="AA3" s="222"/>
      <c r="AB3" s="1265"/>
      <c r="AC3"/>
    </row>
    <row r="4" spans="1:31" s="159" customFormat="1" ht="24" customHeight="1">
      <c r="B4" s="10" t="s">
        <v>369</v>
      </c>
      <c r="C4" s="12"/>
      <c r="D4" s="12"/>
      <c r="E4" s="12"/>
      <c r="F4" s="12"/>
      <c r="G4" s="12"/>
      <c r="H4" s="12"/>
      <c r="I4" s="12"/>
      <c r="J4" s="12"/>
      <c r="K4" s="12"/>
      <c r="L4" s="12"/>
      <c r="M4" s="12"/>
      <c r="N4" s="12"/>
      <c r="O4" s="12"/>
      <c r="P4" s="12"/>
      <c r="Q4" s="12"/>
      <c r="R4" s="12"/>
      <c r="S4" s="12"/>
      <c r="T4" s="12"/>
      <c r="U4" s="12"/>
      <c r="V4" s="12"/>
      <c r="W4" s="12"/>
      <c r="X4" s="12"/>
      <c r="Y4" s="12"/>
      <c r="Z4" s="12"/>
      <c r="AA4" s="12"/>
      <c r="AB4" s="12"/>
      <c r="AC4"/>
    </row>
    <row r="5" spans="1:31" customFormat="1"/>
    <row r="6" spans="1:31" customFormat="1"/>
    <row r="7" spans="1:31">
      <c r="A7" s="731"/>
      <c r="B7" s="14" t="s">
        <v>61</v>
      </c>
      <c r="C7" s="14"/>
      <c r="D7" s="14"/>
      <c r="E7" s="14"/>
      <c r="F7" s="14"/>
      <c r="G7" s="14"/>
      <c r="H7" s="14"/>
      <c r="I7" s="14"/>
      <c r="J7" s="734"/>
      <c r="K7" s="734"/>
      <c r="L7" s="734"/>
      <c r="M7" s="392"/>
      <c r="N7" s="392"/>
      <c r="O7" s="392"/>
      <c r="P7" s="392"/>
      <c r="Q7" s="392"/>
      <c r="U7"/>
      <c r="V7"/>
      <c r="W7"/>
      <c r="X7"/>
      <c r="Y7"/>
      <c r="Z7"/>
      <c r="AA7"/>
      <c r="AB7"/>
    </row>
    <row r="8" spans="1:31">
      <c r="A8" s="731"/>
      <c r="B8" s="73" t="s">
        <v>233</v>
      </c>
      <c r="C8" s="73"/>
      <c r="D8" s="73"/>
      <c r="E8" s="73"/>
      <c r="F8" s="73"/>
      <c r="G8" s="73"/>
      <c r="H8" s="73"/>
      <c r="I8" s="73"/>
      <c r="J8" s="734"/>
      <c r="K8" s="734"/>
      <c r="L8" s="734"/>
      <c r="M8" s="392"/>
      <c r="N8" s="392"/>
      <c r="O8" s="392"/>
      <c r="P8" s="392"/>
      <c r="Q8" s="392"/>
      <c r="U8"/>
      <c r="V8"/>
      <c r="W8"/>
      <c r="X8"/>
      <c r="Y8"/>
      <c r="Z8"/>
      <c r="AA8"/>
      <c r="AB8"/>
    </row>
    <row r="9" spans="1:31">
      <c r="A9" s="731"/>
      <c r="B9" s="73"/>
      <c r="C9" s="73"/>
      <c r="D9" s="73"/>
      <c r="E9" s="73"/>
      <c r="F9" s="73"/>
      <c r="G9" s="73"/>
      <c r="H9" s="73"/>
      <c r="I9" s="73"/>
      <c r="J9" s="734"/>
      <c r="K9" s="734"/>
      <c r="L9" s="734"/>
      <c r="M9" s="392"/>
      <c r="N9" s="392"/>
      <c r="O9" s="392"/>
      <c r="P9" s="392"/>
      <c r="Q9" s="392"/>
      <c r="U9"/>
      <c r="V9"/>
      <c r="W9"/>
      <c r="X9"/>
      <c r="Y9"/>
      <c r="Z9"/>
      <c r="AA9"/>
      <c r="AB9"/>
    </row>
    <row r="10" spans="1:31">
      <c r="A10" s="392"/>
      <c r="B10" s="73" t="s">
        <v>242</v>
      </c>
      <c r="C10" s="73"/>
      <c r="D10" s="73"/>
      <c r="E10" s="73"/>
      <c r="F10" s="73"/>
      <c r="G10" s="73"/>
      <c r="H10" s="73"/>
      <c r="I10" s="73"/>
      <c r="J10" s="734"/>
      <c r="K10" s="734"/>
      <c r="L10" s="734"/>
      <c r="M10" s="731"/>
      <c r="N10" s="731"/>
      <c r="O10" s="731"/>
      <c r="P10" s="731"/>
      <c r="Q10" s="731"/>
      <c r="U10"/>
      <c r="V10"/>
      <c r="W10"/>
      <c r="X10"/>
      <c r="Y10"/>
      <c r="Z10"/>
      <c r="AA10"/>
      <c r="AB10"/>
    </row>
    <row r="11" spans="1:31" ht="12.75" customHeight="1">
      <c r="A11" s="392"/>
      <c r="B11" s="107"/>
      <c r="C11" s="107"/>
      <c r="D11" s="107"/>
      <c r="E11" s="107"/>
      <c r="F11" s="107"/>
      <c r="G11" s="107"/>
      <c r="H11" s="107"/>
      <c r="I11" s="107"/>
      <c r="J11" s="733"/>
      <c r="K11" s="733"/>
      <c r="L11" s="733"/>
      <c r="M11" s="731"/>
      <c r="N11" s="731"/>
      <c r="O11" s="731"/>
      <c r="P11" s="731"/>
      <c r="Q11" s="731"/>
      <c r="U11"/>
      <c r="V11"/>
      <c r="W11"/>
      <c r="X11"/>
      <c r="Y11"/>
      <c r="Z11"/>
      <c r="AA11"/>
      <c r="AB11"/>
    </row>
    <row r="12" spans="1:31" s="94" customFormat="1" ht="12.75" customHeight="1">
      <c r="A12" s="725"/>
      <c r="B12" s="4211" t="str">
        <f>CONCATENATE("For years ", PRCP_y1," to ", PRCP_y5," provide amounts approved by the jurisdictional regulator.")</f>
        <v>For years 2008 to 2012 provide amounts approved by the jurisdictional regulator.</v>
      </c>
      <c r="C12" s="4211"/>
      <c r="D12" s="4211"/>
      <c r="E12" s="4211"/>
      <c r="F12" s="4211"/>
      <c r="G12" s="4211"/>
      <c r="H12" s="4211"/>
      <c r="I12" s="4211"/>
      <c r="J12" s="733"/>
      <c r="K12" s="733"/>
      <c r="L12" s="731"/>
      <c r="M12" s="731"/>
      <c r="N12" s="731"/>
      <c r="O12" s="731"/>
      <c r="P12" s="731"/>
      <c r="Q12" s="731"/>
      <c r="R12"/>
      <c r="S12"/>
      <c r="T12"/>
      <c r="U12"/>
      <c r="V12"/>
      <c r="W12"/>
      <c r="X12"/>
      <c r="Y12"/>
      <c r="Z12"/>
      <c r="AA12"/>
      <c r="AB12"/>
      <c r="AC12"/>
    </row>
    <row r="13" spans="1:31">
      <c r="A13" s="392"/>
      <c r="B13" s="731"/>
      <c r="C13" s="731"/>
      <c r="D13" s="731"/>
      <c r="E13" s="731"/>
      <c r="F13" s="731"/>
      <c r="G13" s="731"/>
      <c r="H13" s="731"/>
      <c r="I13" s="733"/>
      <c r="J13" s="733"/>
      <c r="K13" s="733"/>
      <c r="L13" s="731"/>
      <c r="M13" s="731"/>
      <c r="N13" s="731"/>
      <c r="O13" s="731"/>
      <c r="P13" s="731"/>
      <c r="Q13" s="731"/>
      <c r="U13" s="1268"/>
      <c r="V13" s="1268"/>
      <c r="W13" s="1268"/>
      <c r="X13" s="1268"/>
      <c r="Y13" s="1268"/>
      <c r="Z13" s="1268"/>
      <c r="AA13" s="733"/>
      <c r="AB13" s="733"/>
    </row>
    <row r="14" spans="1:31" ht="13.5" thickBot="1">
      <c r="A14" s="392"/>
      <c r="B14" s="392"/>
      <c r="C14" s="392"/>
      <c r="D14" s="392"/>
      <c r="E14" s="392"/>
      <c r="F14" s="392"/>
      <c r="G14" s="392"/>
      <c r="H14" s="392"/>
      <c r="I14" s="392"/>
      <c r="J14" s="392"/>
      <c r="K14" s="392"/>
      <c r="L14" s="392"/>
      <c r="M14" s="392"/>
      <c r="N14" s="392"/>
      <c r="O14" s="392"/>
      <c r="P14" s="392"/>
      <c r="Q14" s="392"/>
      <c r="U14" s="1268"/>
      <c r="V14" s="1268"/>
      <c r="W14" s="1268"/>
      <c r="X14" s="1268"/>
      <c r="Y14" s="1268"/>
      <c r="Z14" s="1268"/>
      <c r="AA14" s="1268"/>
      <c r="AB14" s="1268"/>
    </row>
    <row r="15" spans="1:31" s="223" customFormat="1" ht="24.75" customHeight="1" thickBot="1">
      <c r="A15" s="299"/>
      <c r="B15" s="769" t="s">
        <v>527</v>
      </c>
      <c r="C15" s="770"/>
      <c r="D15" s="770"/>
      <c r="E15" s="770"/>
      <c r="F15" s="769"/>
      <c r="G15" s="770"/>
      <c r="H15" s="770"/>
      <c r="I15" s="770"/>
      <c r="J15" s="769"/>
      <c r="K15" s="770"/>
      <c r="L15" s="770"/>
      <c r="M15" s="769"/>
      <c r="N15" s="770"/>
      <c r="O15" s="770"/>
      <c r="P15" s="770"/>
      <c r="Q15" s="769"/>
      <c r="R15" s="1266"/>
      <c r="S15" s="1266"/>
      <c r="T15" s="1266"/>
      <c r="U15" s="769" t="s">
        <v>674</v>
      </c>
      <c r="V15" s="770"/>
      <c r="W15" s="770"/>
      <c r="X15" s="769"/>
      <c r="Y15" s="770"/>
      <c r="Z15" s="770"/>
      <c r="AA15" s="770"/>
      <c r="AB15" s="1303"/>
      <c r="AC15" s="1266"/>
      <c r="AD15" s="1266"/>
      <c r="AE15" s="1266"/>
    </row>
    <row r="16" spans="1:31" s="78" customFormat="1" ht="24.75" customHeight="1" thickBot="1">
      <c r="A16" s="299"/>
      <c r="B16" s="1372" t="s">
        <v>576</v>
      </c>
      <c r="C16" s="1379"/>
      <c r="D16" s="1379"/>
      <c r="E16" s="1379"/>
      <c r="F16" s="1373"/>
      <c r="G16" s="1379"/>
      <c r="H16" s="1379"/>
      <c r="I16" s="1379"/>
      <c r="J16" s="1373"/>
      <c r="K16" s="1379"/>
      <c r="L16" s="1379"/>
      <c r="M16" s="1373"/>
      <c r="N16" s="1379"/>
      <c r="O16" s="1379"/>
      <c r="P16" s="1379"/>
      <c r="Q16" s="1374"/>
      <c r="R16"/>
      <c r="S16"/>
      <c r="T16"/>
      <c r="U16" s="1878"/>
      <c r="V16" s="1379"/>
      <c r="W16" s="1379"/>
      <c r="X16" s="1373"/>
      <c r="Y16" s="1379"/>
      <c r="Z16" s="1379"/>
      <c r="AA16" s="1379"/>
      <c r="AB16" s="1374"/>
      <c r="AC16"/>
      <c r="AD16"/>
      <c r="AE16"/>
    </row>
    <row r="17" spans="1:31" s="72" customFormat="1" ht="16.5" customHeight="1">
      <c r="A17" s="732"/>
      <c r="B17" s="4576"/>
      <c r="C17" s="4186" t="s">
        <v>36</v>
      </c>
      <c r="D17" s="4137"/>
      <c r="E17" s="4137"/>
      <c r="F17" s="4137"/>
      <c r="G17" s="4137"/>
      <c r="H17" s="4187" t="s">
        <v>37</v>
      </c>
      <c r="I17" s="4188"/>
      <c r="J17" s="4188"/>
      <c r="K17" s="4188"/>
      <c r="L17" s="4188"/>
      <c r="M17" s="4105" t="s">
        <v>75</v>
      </c>
      <c r="N17" s="4105"/>
      <c r="O17" s="4105"/>
      <c r="P17" s="4105"/>
      <c r="Q17" s="4229"/>
      <c r="R17"/>
      <c r="S17"/>
      <c r="T17"/>
      <c r="U17" s="4186" t="s">
        <v>36</v>
      </c>
      <c r="V17" s="4137"/>
      <c r="W17" s="4137"/>
      <c r="X17" s="4137"/>
      <c r="Y17" s="4137"/>
      <c r="Z17" s="4187" t="s">
        <v>37</v>
      </c>
      <c r="AA17" s="4188"/>
      <c r="AB17" s="4189"/>
      <c r="AC17"/>
      <c r="AD17"/>
      <c r="AE17"/>
    </row>
    <row r="18" spans="1:31" ht="15" customHeight="1">
      <c r="A18" s="348"/>
      <c r="B18" s="4577"/>
      <c r="C18" s="4125" t="s">
        <v>569</v>
      </c>
      <c r="D18" s="4126"/>
      <c r="E18" s="4126"/>
      <c r="F18" s="4126"/>
      <c r="G18" s="4126"/>
      <c r="H18" s="4126"/>
      <c r="I18" s="4126"/>
      <c r="J18" s="4127"/>
      <c r="K18" s="4128" t="str">
        <f>CONCATENATE("$0's, real ",dms_DollarReal)</f>
        <v>$0's, real December 2017</v>
      </c>
      <c r="L18" s="4129"/>
      <c r="M18" s="4129"/>
      <c r="N18" s="4129"/>
      <c r="O18" s="4129"/>
      <c r="P18" s="4129"/>
      <c r="Q18" s="4130"/>
      <c r="U18" s="4125" t="str">
        <f>CONCATENATE("$0's, real ",dms_DollarReal)</f>
        <v>$0's, real December 2017</v>
      </c>
      <c r="V18" s="4126"/>
      <c r="W18" s="4126"/>
      <c r="X18" s="4126"/>
      <c r="Y18" s="4126"/>
      <c r="Z18" s="4126"/>
      <c r="AA18" s="4126"/>
      <c r="AB18" s="4169"/>
    </row>
    <row r="19" spans="1:31" s="72" customFormat="1" ht="16.5" customHeight="1">
      <c r="A19" s="732"/>
      <c r="B19" s="4577"/>
      <c r="C19" s="4125" t="s">
        <v>56</v>
      </c>
      <c r="D19" s="4126"/>
      <c r="E19" s="4126"/>
      <c r="F19" s="4126"/>
      <c r="G19" s="4126"/>
      <c r="H19" s="4126"/>
      <c r="I19" s="4126"/>
      <c r="J19" s="4127"/>
      <c r="K19" s="4128" t="s">
        <v>57</v>
      </c>
      <c r="L19" s="4129"/>
      <c r="M19" s="4129"/>
      <c r="N19" s="4129"/>
      <c r="O19" s="4129"/>
      <c r="P19" s="4129"/>
      <c r="Q19" s="4130"/>
      <c r="R19"/>
      <c r="S19"/>
      <c r="T19"/>
      <c r="U19" s="4125" t="s">
        <v>56</v>
      </c>
      <c r="V19" s="4126"/>
      <c r="W19" s="4126"/>
      <c r="X19" s="4126"/>
      <c r="Y19" s="4126"/>
      <c r="Z19" s="4126"/>
      <c r="AA19" s="4126"/>
      <c r="AB19" s="4169"/>
      <c r="AC19"/>
    </row>
    <row r="20" spans="1:31" ht="12.75" customHeight="1" thickBot="1">
      <c r="A20" s="392"/>
      <c r="B20" s="4578"/>
      <c r="C20" s="1521">
        <f t="array" ref="C20:G20">PRCP</f>
        <v>2008</v>
      </c>
      <c r="D20" s="374">
        <v>2009</v>
      </c>
      <c r="E20" s="374">
        <v>2010</v>
      </c>
      <c r="F20" s="374">
        <v>2011</v>
      </c>
      <c r="G20" s="374">
        <v>2012</v>
      </c>
      <c r="H20" s="376">
        <f>CRCP_y1</f>
        <v>2013</v>
      </c>
      <c r="I20" s="376">
        <f>CRCP_y2</f>
        <v>2014</v>
      </c>
      <c r="J20" s="376">
        <f>CRCP_y3</f>
        <v>2015</v>
      </c>
      <c r="K20" s="376">
        <f>CRCP_y4</f>
        <v>2016</v>
      </c>
      <c r="L20" s="376">
        <f>CRCP_y5</f>
        <v>2017</v>
      </c>
      <c r="M20" s="374" t="str">
        <f t="array" ref="M20:Q20">FRCP</f>
        <v>2018</v>
      </c>
      <c r="N20" s="374">
        <v>2019</v>
      </c>
      <c r="O20" s="374">
        <v>2020</v>
      </c>
      <c r="P20" s="374">
        <v>2021</v>
      </c>
      <c r="Q20" s="470">
        <v>2022</v>
      </c>
      <c r="U20" s="1521">
        <f t="array" ref="U20:Y20">PRCP</f>
        <v>2008</v>
      </c>
      <c r="V20" s="374">
        <v>2009</v>
      </c>
      <c r="W20" s="374">
        <v>2010</v>
      </c>
      <c r="X20" s="374">
        <v>2011</v>
      </c>
      <c r="Y20" s="374">
        <v>2012</v>
      </c>
      <c r="Z20" s="376">
        <f>CRCP_y1</f>
        <v>2013</v>
      </c>
      <c r="AA20" s="376">
        <f>CRCP_y2</f>
        <v>2014</v>
      </c>
      <c r="AB20" s="568">
        <f>CRCP_y3</f>
        <v>2015</v>
      </c>
    </row>
    <row r="21" spans="1:31">
      <c r="A21" s="392"/>
      <c r="B21" s="1330" t="s">
        <v>1355</v>
      </c>
      <c r="C21" s="3007">
        <v>20478000</v>
      </c>
      <c r="D21" s="3011">
        <v>18493589.500000007</v>
      </c>
      <c r="E21" s="3008">
        <v>15890149.49</v>
      </c>
      <c r="F21" s="3008">
        <v>20818757.449999992</v>
      </c>
      <c r="G21" s="3009">
        <v>28973448.02</v>
      </c>
      <c r="H21" s="3015">
        <v>11593532.1</v>
      </c>
      <c r="I21" s="3008">
        <v>25695990.300000001</v>
      </c>
      <c r="J21" s="3008">
        <v>28060597</v>
      </c>
      <c r="K21" s="3008">
        <v>62388148.985037826</v>
      </c>
      <c r="L21" s="3009">
        <v>59423276.405991323</v>
      </c>
      <c r="M21" s="3007">
        <v>72388776.001924649</v>
      </c>
      <c r="N21" s="3008">
        <v>67192326.181417406</v>
      </c>
      <c r="O21" s="3008">
        <v>67886349.663717955</v>
      </c>
      <c r="P21" s="3008">
        <v>67965256.802970409</v>
      </c>
      <c r="Q21" s="3009">
        <v>61496755.409765348</v>
      </c>
      <c r="U21" s="1883"/>
      <c r="V21" s="1879"/>
      <c r="W21" s="1879"/>
      <c r="X21" s="1879"/>
      <c r="Y21" s="1884"/>
      <c r="Z21" s="1883"/>
      <c r="AA21" s="1879"/>
      <c r="AB21" s="1884"/>
    </row>
    <row r="22" spans="1:31">
      <c r="A22" s="392"/>
      <c r="B22" s="1331" t="s">
        <v>359</v>
      </c>
      <c r="C22" s="3010">
        <v>7656000</v>
      </c>
      <c r="D22" s="3011">
        <v>9380880.7869999986</v>
      </c>
      <c r="E22" s="3011">
        <v>9201985.9900000095</v>
      </c>
      <c r="F22" s="3011">
        <v>10262955.649999991</v>
      </c>
      <c r="G22" s="3012">
        <v>11286695.009999981</v>
      </c>
      <c r="H22" s="3010">
        <v>14092779.760000018</v>
      </c>
      <c r="I22" s="3011">
        <v>17492684.27</v>
      </c>
      <c r="J22" s="3011">
        <v>19397073</v>
      </c>
      <c r="K22" s="3011">
        <v>0</v>
      </c>
      <c r="L22" s="3012">
        <v>16658363.159569003</v>
      </c>
      <c r="M22" s="3010">
        <v>17306424.438047729</v>
      </c>
      <c r="N22" s="3011">
        <v>16472965.079320002</v>
      </c>
      <c r="O22" s="3011">
        <v>15784190.769663917</v>
      </c>
      <c r="P22" s="3011">
        <v>16139819.899904519</v>
      </c>
      <c r="Q22" s="3012">
        <v>16641568.004265996</v>
      </c>
      <c r="U22" s="1880"/>
      <c r="V22" s="1881"/>
      <c r="W22" s="1881"/>
      <c r="X22" s="1881"/>
      <c r="Y22" s="1885"/>
      <c r="Z22" s="1880"/>
      <c r="AA22" s="1881"/>
      <c r="AB22" s="1885"/>
    </row>
    <row r="23" spans="1:31">
      <c r="A23" s="392"/>
      <c r="B23" s="1331" t="s">
        <v>1356</v>
      </c>
      <c r="C23" s="3010">
        <v>105640.65</v>
      </c>
      <c r="D23" s="3011">
        <v>171702.81</v>
      </c>
      <c r="E23" s="3011">
        <v>62424.95</v>
      </c>
      <c r="F23" s="3011">
        <v>123092.04000000001</v>
      </c>
      <c r="G23" s="3012">
        <v>46795.240000000005</v>
      </c>
      <c r="H23" s="3010">
        <v>104113.82</v>
      </c>
      <c r="I23" s="3011">
        <v>124477.01000000001</v>
      </c>
      <c r="J23" s="3011">
        <v>130273</v>
      </c>
      <c r="K23" s="3011">
        <v>317271.14913000062</v>
      </c>
      <c r="L23" s="3012">
        <v>423693.66000000003</v>
      </c>
      <c r="M23" s="3010">
        <v>296489.23599459993</v>
      </c>
      <c r="N23" s="3011">
        <v>358604.92064460006</v>
      </c>
      <c r="O23" s="3011">
        <v>270322.62752319995</v>
      </c>
      <c r="P23" s="3011">
        <v>172594.16657700003</v>
      </c>
      <c r="Q23" s="3012">
        <v>188067.41285600001</v>
      </c>
      <c r="U23" s="1880"/>
      <c r="V23" s="1881"/>
      <c r="W23" s="1881"/>
      <c r="X23" s="1881"/>
      <c r="Y23" s="1885"/>
      <c r="Z23" s="1880"/>
      <c r="AA23" s="1881"/>
      <c r="AB23" s="1885"/>
    </row>
    <row r="24" spans="1:31">
      <c r="A24" s="392"/>
      <c r="B24" s="1331" t="s">
        <v>1357</v>
      </c>
      <c r="C24" s="3010">
        <v>2396881.4299999997</v>
      </c>
      <c r="D24" s="3011">
        <v>1486740.14</v>
      </c>
      <c r="E24" s="3011">
        <v>923339.71</v>
      </c>
      <c r="F24" s="3011">
        <v>1087230.5899999994</v>
      </c>
      <c r="G24" s="3012">
        <v>914532.23999999987</v>
      </c>
      <c r="H24" s="3010">
        <v>822474.31000000017</v>
      </c>
      <c r="I24" s="3011">
        <v>1027943.47</v>
      </c>
      <c r="J24" s="3011">
        <v>1196601</v>
      </c>
      <c r="K24" s="3011">
        <v>1936287.1601316212</v>
      </c>
      <c r="L24" s="3012">
        <v>2984529.1206</v>
      </c>
      <c r="M24" s="3010">
        <v>2723623.1765791895</v>
      </c>
      <c r="N24" s="3011">
        <v>2263348.873736958</v>
      </c>
      <c r="O24" s="3011">
        <v>1549946.8731991996</v>
      </c>
      <c r="P24" s="3011">
        <v>1749446.9367617702</v>
      </c>
      <c r="Q24" s="3012">
        <v>1599585.788926</v>
      </c>
      <c r="U24" s="1880"/>
      <c r="V24" s="1881"/>
      <c r="W24" s="1881"/>
      <c r="X24" s="1881"/>
      <c r="Y24" s="1885"/>
      <c r="Z24" s="1880"/>
      <c r="AA24" s="1881"/>
      <c r="AB24" s="1885"/>
    </row>
    <row r="25" spans="1:31">
      <c r="A25" s="392"/>
      <c r="B25" s="1331" t="s">
        <v>63</v>
      </c>
      <c r="C25" s="3010">
        <v>2778000</v>
      </c>
      <c r="D25" s="3011">
        <v>3318000</v>
      </c>
      <c r="E25" s="3011">
        <v>3720396.89</v>
      </c>
      <c r="F25" s="3011">
        <v>4169376.7199999993</v>
      </c>
      <c r="G25" s="3012">
        <v>3773103.92</v>
      </c>
      <c r="H25" s="3010">
        <v>2833472.7800000003</v>
      </c>
      <c r="I25" s="3011">
        <v>2872425.39</v>
      </c>
      <c r="J25" s="3011">
        <v>3514486</v>
      </c>
      <c r="K25" s="3011">
        <v>1383837.1853532621</v>
      </c>
      <c r="L25" s="3012">
        <v>4266721.3534081643</v>
      </c>
      <c r="M25" s="3010">
        <v>7373460.5650135381</v>
      </c>
      <c r="N25" s="3011">
        <v>4842359.9705308303</v>
      </c>
      <c r="O25" s="3011">
        <v>6172938.633172187</v>
      </c>
      <c r="P25" s="3011">
        <v>4766018.0414146278</v>
      </c>
      <c r="Q25" s="3012">
        <v>4598845.5980539024</v>
      </c>
      <c r="U25" s="1880"/>
      <c r="V25" s="1881"/>
      <c r="W25" s="1881"/>
      <c r="X25" s="1881"/>
      <c r="Y25" s="1885"/>
      <c r="Z25" s="1880"/>
      <c r="AA25" s="1881"/>
      <c r="AB25" s="1885"/>
    </row>
    <row r="26" spans="1:31">
      <c r="A26" s="392"/>
      <c r="B26" s="1331" t="s">
        <v>531</v>
      </c>
      <c r="C26" s="3010">
        <v>0</v>
      </c>
      <c r="D26" s="3011">
        <v>0</v>
      </c>
      <c r="E26" s="3011">
        <v>0</v>
      </c>
      <c r="F26" s="3011">
        <v>0</v>
      </c>
      <c r="G26" s="3012">
        <v>0</v>
      </c>
      <c r="H26" s="3010">
        <v>0</v>
      </c>
      <c r="I26" s="3011">
        <v>0</v>
      </c>
      <c r="J26" s="3011">
        <v>0</v>
      </c>
      <c r="K26" s="3011">
        <v>0</v>
      </c>
      <c r="L26" s="3012">
        <v>0</v>
      </c>
      <c r="M26" s="3010">
        <v>0</v>
      </c>
      <c r="N26" s="3011">
        <v>0</v>
      </c>
      <c r="O26" s="3011">
        <v>0</v>
      </c>
      <c r="P26" s="3011">
        <v>0</v>
      </c>
      <c r="Q26" s="3012">
        <v>0</v>
      </c>
      <c r="U26" s="1880"/>
      <c r="V26" s="1881"/>
      <c r="W26" s="1881"/>
      <c r="X26" s="1881"/>
      <c r="Y26" s="1885"/>
      <c r="Z26" s="1880"/>
      <c r="AA26" s="1881"/>
      <c r="AB26" s="1885"/>
    </row>
    <row r="27" spans="1:31" s="1266" customFormat="1">
      <c r="A27" s="1268"/>
      <c r="B27" s="2855" t="s">
        <v>276</v>
      </c>
      <c r="C27" s="3016">
        <v>782956.08</v>
      </c>
      <c r="D27" s="3011">
        <v>1170101.74</v>
      </c>
      <c r="E27" s="3013">
        <v>6040699.2499999981</v>
      </c>
      <c r="F27" s="3013">
        <v>23491297.829999991</v>
      </c>
      <c r="G27" s="3018">
        <v>29981246.970000021</v>
      </c>
      <c r="H27" s="3016">
        <v>24571634.439999994</v>
      </c>
      <c r="I27" s="3013">
        <v>3675869.63</v>
      </c>
      <c r="J27" s="3013">
        <v>5524448</v>
      </c>
      <c r="K27" s="3013">
        <v>6940000</v>
      </c>
      <c r="L27" s="3018">
        <v>2243672</v>
      </c>
      <c r="M27" s="3016">
        <v>11100435</v>
      </c>
      <c r="N27" s="3013">
        <v>5978689</v>
      </c>
      <c r="O27" s="3013">
        <v>10060299</v>
      </c>
      <c r="P27" s="3013">
        <v>11322170</v>
      </c>
      <c r="Q27" s="3018">
        <v>10373406</v>
      </c>
      <c r="U27" s="1939"/>
      <c r="V27" s="1940"/>
      <c r="W27" s="1940"/>
      <c r="X27" s="1940"/>
      <c r="Y27" s="1941"/>
      <c r="Z27" s="1939"/>
      <c r="AA27" s="1940"/>
      <c r="AB27" s="1941"/>
    </row>
    <row r="28" spans="1:31" s="1266" customFormat="1">
      <c r="A28" s="1268"/>
      <c r="B28" s="2855" t="s">
        <v>1358</v>
      </c>
      <c r="C28" s="3016">
        <v>99429.94</v>
      </c>
      <c r="D28" s="3011">
        <v>80137.899999999994</v>
      </c>
      <c r="E28" s="3013">
        <v>3996.88</v>
      </c>
      <c r="F28" s="3013">
        <v>69257.39</v>
      </c>
      <c r="G28" s="3018">
        <v>91820.09</v>
      </c>
      <c r="H28" s="3016">
        <v>146838.87000000008</v>
      </c>
      <c r="I28" s="3013">
        <v>27572.74</v>
      </c>
      <c r="J28" s="3013">
        <v>108398</v>
      </c>
      <c r="K28" s="3013">
        <v>495502.88290597149</v>
      </c>
      <c r="L28" s="3018">
        <v>1763901.48</v>
      </c>
      <c r="M28" s="3016">
        <v>1922620.2440648</v>
      </c>
      <c r="N28" s="3013">
        <v>1688936.0120346001</v>
      </c>
      <c r="O28" s="3013">
        <v>1199704.1614432</v>
      </c>
      <c r="P28" s="3013">
        <v>1179085.0579050002</v>
      </c>
      <c r="Q28" s="3018">
        <v>1106768.8209519999</v>
      </c>
      <c r="U28" s="1939"/>
      <c r="V28" s="1940"/>
      <c r="W28" s="1940"/>
      <c r="X28" s="1940"/>
      <c r="Y28" s="1941"/>
      <c r="Z28" s="1939"/>
      <c r="AA28" s="1940"/>
      <c r="AB28" s="1941"/>
    </row>
    <row r="29" spans="1:31" s="1266" customFormat="1">
      <c r="A29" s="1268"/>
      <c r="B29" s="2855" t="s">
        <v>64</v>
      </c>
      <c r="C29" s="3016">
        <v>0</v>
      </c>
      <c r="D29" s="3011">
        <v>0</v>
      </c>
      <c r="E29" s="3013">
        <v>178103.7</v>
      </c>
      <c r="F29" s="3013">
        <v>121209.85999999999</v>
      </c>
      <c r="G29" s="3018">
        <v>620480.96</v>
      </c>
      <c r="H29" s="3016">
        <v>87467.22</v>
      </c>
      <c r="I29" s="3013">
        <v>465199.5</v>
      </c>
      <c r="J29" s="3013">
        <v>244963</v>
      </c>
      <c r="K29" s="3013">
        <v>55989.026317058924</v>
      </c>
      <c r="L29" s="3018">
        <v>0</v>
      </c>
      <c r="M29" s="3016">
        <v>0</v>
      </c>
      <c r="N29" s="3013">
        <v>0</v>
      </c>
      <c r="O29" s="3013">
        <v>0</v>
      </c>
      <c r="P29" s="3013">
        <v>0</v>
      </c>
      <c r="Q29" s="3018">
        <v>0</v>
      </c>
      <c r="U29" s="1939"/>
      <c r="V29" s="1940"/>
      <c r="W29" s="1940"/>
      <c r="X29" s="1940"/>
      <c r="Y29" s="1941"/>
      <c r="Z29" s="1939"/>
      <c r="AA29" s="1940"/>
      <c r="AB29" s="1941"/>
    </row>
    <row r="30" spans="1:31" s="1266" customFormat="1">
      <c r="A30" s="1268"/>
      <c r="B30" s="2855" t="s">
        <v>1359</v>
      </c>
      <c r="C30" s="3016">
        <v>0</v>
      </c>
      <c r="D30" s="3011">
        <v>0</v>
      </c>
      <c r="E30" s="3013">
        <v>0</v>
      </c>
      <c r="F30" s="3013">
        <v>0</v>
      </c>
      <c r="G30" s="3018">
        <v>0</v>
      </c>
      <c r="H30" s="3016">
        <v>1809373.0699999996</v>
      </c>
      <c r="I30" s="3013">
        <v>0</v>
      </c>
      <c r="J30" s="3013">
        <v>0</v>
      </c>
      <c r="K30" s="3011">
        <v>858804.14206922415</v>
      </c>
      <c r="L30" s="3018">
        <v>461917.50307593605</v>
      </c>
      <c r="M30" s="3016">
        <v>360117.50004071929</v>
      </c>
      <c r="N30" s="3013">
        <v>131067.50001018122</v>
      </c>
      <c r="O30" s="3013">
        <v>131067.50001018122</v>
      </c>
      <c r="P30" s="3013">
        <v>131067.50001018122</v>
      </c>
      <c r="Q30" s="3018">
        <v>131067.50001018122</v>
      </c>
      <c r="U30" s="1939"/>
      <c r="V30" s="1940"/>
      <c r="W30" s="1940"/>
      <c r="X30" s="1940"/>
      <c r="Y30" s="1941"/>
      <c r="Z30" s="1939"/>
      <c r="AA30" s="1940"/>
      <c r="AB30" s="1941"/>
    </row>
    <row r="31" spans="1:31" s="1266" customFormat="1" ht="13.5" thickBot="1">
      <c r="A31" s="1268"/>
      <c r="B31" s="1332" t="s">
        <v>1505</v>
      </c>
      <c r="C31" s="3020">
        <v>2155906.5149999997</v>
      </c>
      <c r="D31" s="3014">
        <v>2218546.1430000002</v>
      </c>
      <c r="E31" s="3014">
        <v>2275714.7999999998</v>
      </c>
      <c r="F31" s="3014">
        <v>2123222.4300000002</v>
      </c>
      <c r="G31" s="3019">
        <v>2445919.2400000002</v>
      </c>
      <c r="H31" s="3017">
        <v>5641435.5200000005</v>
      </c>
      <c r="I31" s="3014">
        <v>6407309.5800000001</v>
      </c>
      <c r="J31" s="3014">
        <v>7567556.4699999904</v>
      </c>
      <c r="K31" s="3014">
        <v>11942672.934774403</v>
      </c>
      <c r="L31" s="3019">
        <v>0</v>
      </c>
      <c r="M31" s="3020">
        <v>0</v>
      </c>
      <c r="N31" s="3014">
        <v>0</v>
      </c>
      <c r="O31" s="3014">
        <v>0</v>
      </c>
      <c r="P31" s="3014">
        <v>0</v>
      </c>
      <c r="Q31" s="3019">
        <v>0</v>
      </c>
      <c r="U31" s="1886"/>
      <c r="V31" s="1882"/>
      <c r="W31" s="1882"/>
      <c r="X31" s="1882"/>
      <c r="Y31" s="1887"/>
      <c r="Z31" s="1886"/>
      <c r="AA31" s="1882"/>
      <c r="AB31" s="1887"/>
    </row>
    <row r="32" spans="1:31" s="1266" customFormat="1">
      <c r="A32" s="1268"/>
      <c r="B32" s="70"/>
      <c r="C32" s="70"/>
      <c r="D32" s="70"/>
      <c r="E32" s="70"/>
      <c r="F32" s="70"/>
      <c r="G32" s="70"/>
      <c r="H32" s="70"/>
      <c r="I32" s="70"/>
      <c r="J32" s="70"/>
      <c r="K32" s="3316"/>
      <c r="L32" s="3316"/>
      <c r="M32" s="3316"/>
      <c r="N32" s="3316"/>
      <c r="O32" s="3316"/>
      <c r="P32" s="3316"/>
      <c r="Q32" s="3316"/>
      <c r="U32" s="70"/>
      <c r="V32" s="70"/>
      <c r="W32" s="70"/>
      <c r="X32" s="70"/>
      <c r="Y32" s="70"/>
      <c r="Z32" s="70"/>
      <c r="AA32" s="70"/>
      <c r="AB32" s="70"/>
    </row>
    <row r="33" spans="1:29" s="1266" customFormat="1" ht="13.5" thickBot="1">
      <c r="A33" s="1268"/>
      <c r="B33" s="70"/>
      <c r="C33" s="70"/>
      <c r="D33" s="70"/>
      <c r="E33" s="70"/>
      <c r="F33" s="70"/>
      <c r="G33" s="70"/>
      <c r="H33" s="70"/>
      <c r="I33" s="70"/>
      <c r="J33" s="70"/>
      <c r="K33" s="70"/>
      <c r="L33" s="3316"/>
      <c r="M33" s="3316"/>
      <c r="N33" s="3316"/>
      <c r="O33" s="3316"/>
      <c r="P33" s="3316"/>
      <c r="Q33" s="3316"/>
      <c r="U33" s="70"/>
      <c r="V33" s="70"/>
      <c r="W33" s="70"/>
      <c r="X33" s="70"/>
      <c r="Y33" s="70"/>
      <c r="Z33" s="70"/>
      <c r="AA33" s="70"/>
      <c r="AB33" s="70"/>
    </row>
    <row r="34" spans="1:29" s="78" customFormat="1" ht="24.75" customHeight="1" thickBot="1">
      <c r="A34" s="299"/>
      <c r="B34" s="3776" t="s">
        <v>368</v>
      </c>
      <c r="C34" s="3777"/>
      <c r="D34" s="3777"/>
      <c r="E34" s="3777"/>
      <c r="F34" s="3778"/>
      <c r="G34" s="3777"/>
      <c r="H34" s="3777"/>
      <c r="I34" s="3777"/>
      <c r="J34" s="3778"/>
      <c r="K34" s="3777"/>
      <c r="L34" s="3779"/>
      <c r="M34" s="299"/>
      <c r="N34" s="282"/>
      <c r="O34" s="282"/>
      <c r="P34" s="282"/>
      <c r="Q34" s="282"/>
      <c r="R34"/>
      <c r="S34"/>
      <c r="T34"/>
      <c r="U34"/>
      <c r="V34"/>
      <c r="W34"/>
      <c r="X34"/>
      <c r="Y34"/>
      <c r="Z34"/>
      <c r="AA34"/>
      <c r="AB34"/>
      <c r="AC34"/>
    </row>
    <row r="35" spans="1:29" ht="15" customHeight="1">
      <c r="A35" s="392"/>
      <c r="B35" s="4573"/>
      <c r="C35" s="4115" t="s">
        <v>36</v>
      </c>
      <c r="D35" s="4137"/>
      <c r="E35" s="4137"/>
      <c r="F35" s="4137"/>
      <c r="G35" s="4137"/>
      <c r="H35" s="4143" t="s">
        <v>37</v>
      </c>
      <c r="I35" s="4137"/>
      <c r="J35" s="4137"/>
      <c r="K35" s="4137"/>
      <c r="L35" s="4140"/>
      <c r="M35" s="392"/>
      <c r="N35" s="392"/>
      <c r="O35" s="392"/>
      <c r="P35" s="392"/>
      <c r="Q35" s="392"/>
      <c r="U35"/>
      <c r="V35"/>
      <c r="W35"/>
      <c r="X35"/>
      <c r="Y35"/>
      <c r="Z35"/>
      <c r="AA35"/>
      <c r="AB35"/>
    </row>
    <row r="36" spans="1:29" ht="12.75" customHeight="1">
      <c r="A36" s="392"/>
      <c r="B36" s="4574"/>
      <c r="C36" s="4125" t="str">
        <f>CONCATENATE("$0's, real ",dms_DollarReal)</f>
        <v>$0's, real December 2017</v>
      </c>
      <c r="D36" s="4126"/>
      <c r="E36" s="4126"/>
      <c r="F36" s="4126"/>
      <c r="G36" s="4126"/>
      <c r="H36" s="4126"/>
      <c r="I36" s="4126"/>
      <c r="J36" s="4126"/>
      <c r="K36" s="4126"/>
      <c r="L36" s="4169"/>
      <c r="M36" s="392"/>
      <c r="N36" s="392"/>
      <c r="O36" s="392"/>
      <c r="P36" s="392"/>
      <c r="Q36" s="392"/>
      <c r="U36"/>
      <c r="V36"/>
      <c r="W36"/>
      <c r="X36"/>
      <c r="Y36"/>
      <c r="Z36"/>
      <c r="AA36"/>
      <c r="AB36"/>
    </row>
    <row r="37" spans="1:29" ht="12.75" customHeight="1">
      <c r="A37" s="392"/>
      <c r="B37" s="4574"/>
      <c r="C37" s="4125" t="s">
        <v>76</v>
      </c>
      <c r="D37" s="4126"/>
      <c r="E37" s="4126"/>
      <c r="F37" s="4126"/>
      <c r="G37" s="4126"/>
      <c r="H37" s="4126"/>
      <c r="I37" s="4126"/>
      <c r="J37" s="4126"/>
      <c r="K37" s="4126"/>
      <c r="L37" s="4169"/>
      <c r="M37" s="392"/>
      <c r="N37" s="392"/>
      <c r="O37" s="392"/>
      <c r="P37" s="392"/>
      <c r="Q37" s="392"/>
      <c r="U37"/>
      <c r="V37"/>
      <c r="W37"/>
      <c r="X37"/>
      <c r="Y37"/>
      <c r="Z37"/>
      <c r="AA37"/>
      <c r="AB37"/>
    </row>
    <row r="38" spans="1:29" ht="12.75" customHeight="1" thickBot="1">
      <c r="A38" s="392"/>
      <c r="B38" s="4575"/>
      <c r="C38" s="375">
        <f t="array" ref="C38:G38">PRCP</f>
        <v>2008</v>
      </c>
      <c r="D38" s="374">
        <v>2009</v>
      </c>
      <c r="E38" s="374">
        <v>2010</v>
      </c>
      <c r="F38" s="374">
        <v>2011</v>
      </c>
      <c r="G38" s="374">
        <v>2012</v>
      </c>
      <c r="H38" s="374">
        <f>CRCP_y1</f>
        <v>2013</v>
      </c>
      <c r="I38" s="374">
        <f>CRCP_y2</f>
        <v>2014</v>
      </c>
      <c r="J38" s="374">
        <f>CRCP_y3</f>
        <v>2015</v>
      </c>
      <c r="K38" s="374">
        <f>CRCP_y4</f>
        <v>2016</v>
      </c>
      <c r="L38" s="470">
        <f>CRCP_y5</f>
        <v>2017</v>
      </c>
      <c r="M38" s="392"/>
      <c r="N38" s="392"/>
      <c r="O38" s="392"/>
      <c r="P38" s="392"/>
      <c r="Q38" s="392"/>
      <c r="U38"/>
      <c r="V38"/>
      <c r="W38"/>
      <c r="X38"/>
      <c r="Y38"/>
      <c r="Z38"/>
      <c r="AA38"/>
      <c r="AB38"/>
    </row>
    <row r="39" spans="1:29">
      <c r="A39" s="392"/>
      <c r="B39" s="3780" t="str">
        <f>B21</f>
        <v>Transmission and distribution</v>
      </c>
      <c r="C39" s="3015">
        <v>28064632.544987079</v>
      </c>
      <c r="D39" s="3008">
        <v>24463498.138069913</v>
      </c>
      <c r="E39" s="3008">
        <v>21188802.360519886</v>
      </c>
      <c r="F39" s="3008">
        <v>26034210.599008743</v>
      </c>
      <c r="G39" s="3009">
        <v>34441656.202851392</v>
      </c>
      <c r="H39" s="3015">
        <v>33510885.181806985</v>
      </c>
      <c r="I39" s="3008">
        <v>15843175.470041297</v>
      </c>
      <c r="J39" s="3008">
        <v>22014185.793341748</v>
      </c>
      <c r="K39" s="3008">
        <v>38542780.661926717</v>
      </c>
      <c r="L39" s="3009">
        <v>12222092.993157715</v>
      </c>
      <c r="M39" s="392"/>
      <c r="N39" s="392"/>
      <c r="O39" s="392"/>
      <c r="P39" s="392"/>
      <c r="Q39" s="392"/>
      <c r="U39"/>
      <c r="V39"/>
      <c r="W39"/>
      <c r="X39"/>
      <c r="Y39"/>
      <c r="Z39"/>
      <c r="AA39"/>
      <c r="AB39"/>
    </row>
    <row r="40" spans="1:29">
      <c r="A40" s="392"/>
      <c r="B40" s="3781" t="str">
        <f>B22</f>
        <v>Services</v>
      </c>
      <c r="C40" s="3010">
        <v>9493165.1812711433</v>
      </c>
      <c r="D40" s="3011">
        <v>11079937.077555291</v>
      </c>
      <c r="E40" s="3011">
        <v>10733266.491136113</v>
      </c>
      <c r="F40" s="3011">
        <v>11646411.861972546</v>
      </c>
      <c r="G40" s="3012">
        <v>12372351.957087552</v>
      </c>
      <c r="H40" s="3010">
        <v>15032110.096673336</v>
      </c>
      <c r="I40" s="3011">
        <v>16416989.541837221</v>
      </c>
      <c r="J40" s="3011">
        <v>17637910.065755203</v>
      </c>
      <c r="K40" s="3011">
        <v>15558100.649858693</v>
      </c>
      <c r="L40" s="3012">
        <v>15726031.094272474</v>
      </c>
      <c r="M40" s="392"/>
      <c r="N40" s="392"/>
      <c r="O40" s="392"/>
      <c r="P40" s="392"/>
      <c r="Q40" s="392"/>
      <c r="U40"/>
      <c r="V40"/>
      <c r="W40"/>
      <c r="X40"/>
      <c r="Y40"/>
      <c r="Z40"/>
      <c r="AA40"/>
      <c r="AB40"/>
    </row>
    <row r="41" spans="1:29">
      <c r="A41" s="392"/>
      <c r="B41" s="3781" t="str">
        <f>B23</f>
        <v>Cathodic Protection</v>
      </c>
      <c r="C41" s="3010">
        <v>130989.29258147662</v>
      </c>
      <c r="D41" s="3011">
        <v>202801.46118857525</v>
      </c>
      <c r="E41" s="3011">
        <v>72812.936769733831</v>
      </c>
      <c r="F41" s="3011">
        <v>139804.14893941631</v>
      </c>
      <c r="G41" s="3012">
        <v>51296.431655450819</v>
      </c>
      <c r="H41" s="3010">
        <v>208194.60571659874</v>
      </c>
      <c r="I41" s="3011">
        <v>220091.96526612065</v>
      </c>
      <c r="J41" s="3011">
        <v>217262.45114681032</v>
      </c>
      <c r="K41" s="3011">
        <v>213745.33755940851</v>
      </c>
      <c r="L41" s="3012">
        <v>223754.08007274169</v>
      </c>
      <c r="M41" s="392"/>
      <c r="N41" s="392"/>
      <c r="O41" s="392"/>
      <c r="P41" s="392"/>
      <c r="Q41" s="392"/>
      <c r="U41"/>
      <c r="V41"/>
      <c r="W41"/>
      <c r="X41"/>
      <c r="Y41"/>
      <c r="Z41"/>
      <c r="AA41"/>
      <c r="AB41"/>
    </row>
    <row r="42" spans="1:29">
      <c r="A42" s="392"/>
      <c r="B42" s="3781" t="str">
        <f>B24</f>
        <v>Supply Regs/Valve stations</v>
      </c>
      <c r="C42" s="3010">
        <v>2972016.9548121695</v>
      </c>
      <c r="D42" s="3011">
        <v>1756017.1135213627</v>
      </c>
      <c r="E42" s="3011">
        <v>1076990.4648896696</v>
      </c>
      <c r="F42" s="3011">
        <v>1233726.2234329008</v>
      </c>
      <c r="G42" s="3012">
        <v>1002500.2659643658</v>
      </c>
      <c r="H42" s="3010">
        <v>1603489.1058961358</v>
      </c>
      <c r="I42" s="3011">
        <v>1678404.8651921835</v>
      </c>
      <c r="J42" s="3011">
        <v>1797754.1974922149</v>
      </c>
      <c r="K42" s="3011">
        <v>2438772.0991177852</v>
      </c>
      <c r="L42" s="3012">
        <v>1600661.2931493656</v>
      </c>
      <c r="M42" s="392"/>
      <c r="N42" s="392"/>
      <c r="O42" s="392"/>
      <c r="P42" s="392"/>
      <c r="Q42" s="392"/>
      <c r="U42"/>
      <c r="V42"/>
      <c r="W42"/>
      <c r="X42"/>
      <c r="Y42"/>
      <c r="Z42"/>
      <c r="AA42"/>
      <c r="AB42"/>
    </row>
    <row r="43" spans="1:29">
      <c r="A43" s="392"/>
      <c r="B43" s="3781" t="str">
        <f>B25</f>
        <v>Meters</v>
      </c>
      <c r="C43" s="3010">
        <v>3444823.7968893424</v>
      </c>
      <c r="D43" s="3011">
        <v>3919045.7874419163</v>
      </c>
      <c r="E43" s="3011">
        <v>4339499.2468537726</v>
      </c>
      <c r="F43" s="3011">
        <v>4731212.9721843218</v>
      </c>
      <c r="G43" s="3012">
        <v>4136035.3608869957</v>
      </c>
      <c r="H43" s="3010">
        <v>4824865.8541657301</v>
      </c>
      <c r="I43" s="3011">
        <v>4322467.3117481405</v>
      </c>
      <c r="J43" s="3011">
        <v>4116196.9805379943</v>
      </c>
      <c r="K43" s="3011">
        <v>3398331.4062460391</v>
      </c>
      <c r="L43" s="3012">
        <v>3907410.1631990783</v>
      </c>
      <c r="M43" s="392"/>
      <c r="N43" s="392"/>
      <c r="O43" s="392"/>
      <c r="P43" s="392"/>
      <c r="Q43" s="392"/>
      <c r="U43"/>
      <c r="V43"/>
      <c r="W43"/>
      <c r="X43"/>
      <c r="Y43"/>
      <c r="Z43"/>
      <c r="AA43"/>
      <c r="AB43"/>
    </row>
    <row r="44" spans="1:29">
      <c r="A44" s="392"/>
      <c r="B44" s="3781" t="str">
        <f t="shared" ref="B44:B47" si="0">B26</f>
        <v>Land</v>
      </c>
      <c r="C44" s="3010">
        <v>0</v>
      </c>
      <c r="D44" s="3011">
        <v>0</v>
      </c>
      <c r="E44" s="3011">
        <v>0</v>
      </c>
      <c r="F44" s="3011">
        <v>0</v>
      </c>
      <c r="G44" s="3012">
        <v>0</v>
      </c>
      <c r="H44" s="3010">
        <v>0</v>
      </c>
      <c r="I44" s="3011">
        <v>0</v>
      </c>
      <c r="J44" s="3011">
        <v>0</v>
      </c>
      <c r="K44" s="3011">
        <v>0</v>
      </c>
      <c r="L44" s="3012">
        <v>0</v>
      </c>
      <c r="M44" s="392"/>
      <c r="N44" s="392"/>
      <c r="O44" s="392"/>
      <c r="P44" s="392"/>
      <c r="Q44" s="392"/>
      <c r="U44"/>
      <c r="V44"/>
      <c r="W44"/>
      <c r="X44"/>
      <c r="Y44"/>
      <c r="Z44"/>
      <c r="AA44"/>
      <c r="AB44"/>
    </row>
    <row r="45" spans="1:29" s="1266" customFormat="1">
      <c r="A45" s="1268"/>
      <c r="B45" s="3782" t="str">
        <f t="shared" si="0"/>
        <v>IT system</v>
      </c>
      <c r="C45" s="3016">
        <v>970827.64107913035</v>
      </c>
      <c r="D45" s="3011">
        <v>1382029.4648136185</v>
      </c>
      <c r="E45" s="3013">
        <v>7045917.5783917885</v>
      </c>
      <c r="F45" s="3013">
        <v>26657360.358331721</v>
      </c>
      <c r="G45" s="3018">
        <v>32865115.899433315</v>
      </c>
      <c r="H45" s="3016">
        <v>31502319.928033285</v>
      </c>
      <c r="I45" s="3011">
        <v>7043061.3056487031</v>
      </c>
      <c r="J45" s="3013">
        <v>4651917.010948794</v>
      </c>
      <c r="K45" s="3013">
        <v>5817572.6591701806</v>
      </c>
      <c r="L45" s="3018">
        <v>1784684.9760014846</v>
      </c>
      <c r="M45" s="1268"/>
      <c r="N45" s="1268"/>
      <c r="O45" s="1268"/>
      <c r="P45" s="1268"/>
      <c r="Q45" s="1268"/>
    </row>
    <row r="46" spans="1:29" s="1266" customFormat="1">
      <c r="A46" s="1268"/>
      <c r="B46" s="3782" t="str">
        <f t="shared" si="0"/>
        <v>SCADA</v>
      </c>
      <c r="C46" s="3016">
        <v>123288.31280400745</v>
      </c>
      <c r="D46" s="3011">
        <v>94652.400951294389</v>
      </c>
      <c r="E46" s="3013">
        <v>4661.9912505530847</v>
      </c>
      <c r="F46" s="3013">
        <v>78299.401597562712</v>
      </c>
      <c r="G46" s="3018">
        <v>100652.18110394009</v>
      </c>
      <c r="H46" s="3016">
        <v>265162.18025588349</v>
      </c>
      <c r="I46" s="3011">
        <v>168846.99534526459</v>
      </c>
      <c r="J46" s="3013">
        <v>50331.069763739833</v>
      </c>
      <c r="K46" s="3013">
        <v>49516.294415306984</v>
      </c>
      <c r="L46" s="3018">
        <v>51834.922024573367</v>
      </c>
      <c r="M46" s="1268"/>
      <c r="N46" s="1268"/>
      <c r="O46" s="1268"/>
      <c r="P46" s="1268"/>
      <c r="Q46" s="1268"/>
    </row>
    <row r="47" spans="1:29" s="1266" customFormat="1">
      <c r="A47" s="1268"/>
      <c r="B47" s="3782" t="str">
        <f t="shared" si="0"/>
        <v>Other</v>
      </c>
      <c r="C47" s="3016">
        <v>0</v>
      </c>
      <c r="D47" s="3011">
        <v>0</v>
      </c>
      <c r="E47" s="3013">
        <v>207741.51115148104</v>
      </c>
      <c r="F47" s="3013">
        <v>137307.64627978386</v>
      </c>
      <c r="G47" s="3018">
        <v>680164.46027733828</v>
      </c>
      <c r="H47" s="3016">
        <v>107270.11928640888</v>
      </c>
      <c r="I47" s="3011">
        <v>11945.893881569882</v>
      </c>
      <c r="J47" s="3013">
        <v>23586.496063639443</v>
      </c>
      <c r="K47" s="3013">
        <v>0</v>
      </c>
      <c r="L47" s="3018">
        <v>12145.203239873683</v>
      </c>
      <c r="M47" s="1268"/>
      <c r="N47" s="1268"/>
      <c r="O47" s="1268"/>
      <c r="P47" s="1268"/>
      <c r="Q47" s="1268"/>
    </row>
    <row r="48" spans="1:29" ht="13.5" thickBot="1">
      <c r="A48" s="392"/>
      <c r="B48" s="3783" t="str">
        <f t="shared" ref="B48" si="1">B30</f>
        <v>Buildings</v>
      </c>
      <c r="C48" s="3017">
        <v>0</v>
      </c>
      <c r="D48" s="3014">
        <v>0</v>
      </c>
      <c r="E48" s="3014">
        <v>0</v>
      </c>
      <c r="F48" s="3014">
        <v>0</v>
      </c>
      <c r="G48" s="3019">
        <v>0</v>
      </c>
      <c r="H48" s="3017">
        <v>3713741.6154852747</v>
      </c>
      <c r="I48" s="3014">
        <v>0</v>
      </c>
      <c r="J48" s="3014">
        <v>0</v>
      </c>
      <c r="K48" s="3014">
        <v>0</v>
      </c>
      <c r="L48" s="3019">
        <v>0</v>
      </c>
      <c r="M48" s="392"/>
      <c r="N48" s="392"/>
      <c r="O48" s="392"/>
      <c r="P48" s="392"/>
      <c r="Q48" s="392"/>
      <c r="U48"/>
      <c r="V48"/>
      <c r="W48"/>
      <c r="X48"/>
      <c r="Y48"/>
      <c r="Z48"/>
      <c r="AA48"/>
      <c r="AB48"/>
    </row>
    <row r="49" spans="1:31">
      <c r="A49" s="392"/>
      <c r="C49" s="1266"/>
      <c r="D49" s="1266"/>
      <c r="E49" s="1266"/>
      <c r="F49" s="1266"/>
      <c r="G49" s="1266"/>
      <c r="M49" s="392"/>
      <c r="N49" s="392"/>
      <c r="O49" s="392"/>
      <c r="P49" s="392"/>
      <c r="Q49" s="392"/>
      <c r="U49"/>
      <c r="V49"/>
      <c r="W49"/>
      <c r="X49"/>
      <c r="Y49"/>
      <c r="Z49"/>
      <c r="AA49"/>
      <c r="AB49"/>
    </row>
    <row r="50" spans="1:31" ht="13.5" thickBot="1">
      <c r="A50" s="392"/>
      <c r="M50" s="392"/>
      <c r="N50" s="392"/>
      <c r="O50" s="392"/>
      <c r="P50" s="392"/>
      <c r="Q50" s="392"/>
    </row>
    <row r="51" spans="1:31" s="78" customFormat="1" ht="24.75" customHeight="1" thickBot="1">
      <c r="A51" s="299"/>
      <c r="B51" s="1372" t="s">
        <v>577</v>
      </c>
      <c r="C51" s="1379"/>
      <c r="D51" s="1379"/>
      <c r="E51" s="1379"/>
      <c r="F51" s="1373"/>
      <c r="G51" s="1379"/>
      <c r="H51" s="1379"/>
      <c r="I51" s="1379"/>
      <c r="J51" s="1373"/>
      <c r="K51" s="1379"/>
      <c r="L51" s="1379"/>
      <c r="M51" s="1373"/>
      <c r="N51" s="1379"/>
      <c r="O51" s="1379"/>
      <c r="P51" s="1379"/>
      <c r="Q51" s="1374"/>
      <c r="R51"/>
      <c r="S51"/>
      <c r="T51"/>
      <c r="U51" s="1878"/>
      <c r="V51" s="1379"/>
      <c r="W51" s="1379"/>
      <c r="X51" s="1373"/>
      <c r="Y51" s="1379"/>
      <c r="Z51" s="1379"/>
      <c r="AA51" s="1379"/>
      <c r="AB51" s="1374"/>
      <c r="AC51"/>
      <c r="AD51" s="65"/>
      <c r="AE51" s="65"/>
    </row>
    <row r="52" spans="1:31" s="72" customFormat="1" ht="16.5" customHeight="1">
      <c r="A52" s="732"/>
      <c r="B52" s="4576"/>
      <c r="C52" s="4186" t="s">
        <v>36</v>
      </c>
      <c r="D52" s="4137"/>
      <c r="E52" s="4137"/>
      <c r="F52" s="4137"/>
      <c r="G52" s="4137"/>
      <c r="H52" s="4187" t="s">
        <v>37</v>
      </c>
      <c r="I52" s="4188"/>
      <c r="J52" s="4188"/>
      <c r="K52" s="4188"/>
      <c r="L52" s="4188"/>
      <c r="M52" s="4105" t="s">
        <v>75</v>
      </c>
      <c r="N52" s="4105"/>
      <c r="O52" s="4105"/>
      <c r="P52" s="4105"/>
      <c r="Q52" s="4229"/>
      <c r="R52"/>
      <c r="S52"/>
      <c r="T52"/>
      <c r="U52" s="4186" t="s">
        <v>36</v>
      </c>
      <c r="V52" s="4137"/>
      <c r="W52" s="4137"/>
      <c r="X52" s="4137"/>
      <c r="Y52" s="4137"/>
      <c r="Z52" s="4187" t="s">
        <v>37</v>
      </c>
      <c r="AA52" s="4188"/>
      <c r="AB52" s="4189"/>
      <c r="AC52"/>
      <c r="AD52" s="65"/>
      <c r="AE52" s="65"/>
    </row>
    <row r="53" spans="1:31" ht="15" customHeight="1">
      <c r="A53" s="348"/>
      <c r="B53" s="4577"/>
      <c r="C53" s="4125" t="s">
        <v>569</v>
      </c>
      <c r="D53" s="4126"/>
      <c r="E53" s="4126"/>
      <c r="F53" s="4126"/>
      <c r="G53" s="4126"/>
      <c r="H53" s="4126"/>
      <c r="I53" s="4126"/>
      <c r="J53" s="4127"/>
      <c r="K53" s="4128" t="str">
        <f>CONCATENATE("$0's, real ",dms_DollarReal)</f>
        <v>$0's, real December 2017</v>
      </c>
      <c r="L53" s="4129"/>
      <c r="M53" s="4129"/>
      <c r="N53" s="4129"/>
      <c r="O53" s="4129"/>
      <c r="P53" s="4129"/>
      <c r="Q53" s="4130"/>
      <c r="U53" s="4125" t="str">
        <f>CONCATENATE("$0's, real ",dms_DollarReal)</f>
        <v>$0's, real December 2017</v>
      </c>
      <c r="V53" s="4126"/>
      <c r="W53" s="4126"/>
      <c r="X53" s="4126"/>
      <c r="Y53" s="4126"/>
      <c r="Z53" s="4126"/>
      <c r="AA53" s="4126"/>
      <c r="AB53" s="4169"/>
    </row>
    <row r="54" spans="1:31" s="72" customFormat="1" ht="16.5" customHeight="1">
      <c r="A54" s="732"/>
      <c r="B54" s="4577"/>
      <c r="C54" s="4125" t="s">
        <v>56</v>
      </c>
      <c r="D54" s="4126"/>
      <c r="E54" s="4126"/>
      <c r="F54" s="4126"/>
      <c r="G54" s="4126"/>
      <c r="H54" s="4126"/>
      <c r="I54" s="4126"/>
      <c r="J54" s="4127"/>
      <c r="K54" s="4128" t="s">
        <v>57</v>
      </c>
      <c r="L54" s="4129"/>
      <c r="M54" s="4129"/>
      <c r="N54" s="4129"/>
      <c r="O54" s="4129"/>
      <c r="P54" s="4129"/>
      <c r="Q54" s="4130"/>
      <c r="R54"/>
      <c r="S54"/>
      <c r="T54"/>
      <c r="U54" s="4125" t="s">
        <v>56</v>
      </c>
      <c r="V54" s="4126"/>
      <c r="W54" s="4126"/>
      <c r="X54" s="4126"/>
      <c r="Y54" s="4126"/>
      <c r="Z54" s="4126"/>
      <c r="AA54" s="4126"/>
      <c r="AB54" s="4169"/>
      <c r="AC54"/>
    </row>
    <row r="55" spans="1:31" ht="12.75" customHeight="1" thickBot="1">
      <c r="A55" s="392"/>
      <c r="B55" s="4578"/>
      <c r="C55" s="1521">
        <f t="array" ref="C55:G55">PRCP</f>
        <v>2008</v>
      </c>
      <c r="D55" s="374">
        <v>2009</v>
      </c>
      <c r="E55" s="374">
        <v>2010</v>
      </c>
      <c r="F55" s="374">
        <v>2011</v>
      </c>
      <c r="G55" s="374">
        <v>2012</v>
      </c>
      <c r="H55" s="376">
        <f>CRCP_y1</f>
        <v>2013</v>
      </c>
      <c r="I55" s="376">
        <f>CRCP_y2</f>
        <v>2014</v>
      </c>
      <c r="J55" s="376">
        <f>CRCP_y3</f>
        <v>2015</v>
      </c>
      <c r="K55" s="376">
        <f>CRCP_y4</f>
        <v>2016</v>
      </c>
      <c r="L55" s="376">
        <f>CRCP_y5</f>
        <v>2017</v>
      </c>
      <c r="M55" s="374" t="str">
        <f t="array" ref="M55:Q55">FRCP</f>
        <v>2018</v>
      </c>
      <c r="N55" s="374">
        <v>2019</v>
      </c>
      <c r="O55" s="374">
        <v>2020</v>
      </c>
      <c r="P55" s="374">
        <v>2021</v>
      </c>
      <c r="Q55" s="470">
        <v>2022</v>
      </c>
      <c r="U55" s="1521">
        <f t="array" ref="U55:Y55">PRCP</f>
        <v>2008</v>
      </c>
      <c r="V55" s="374">
        <v>2009</v>
      </c>
      <c r="W55" s="374">
        <v>2010</v>
      </c>
      <c r="X55" s="374">
        <v>2011</v>
      </c>
      <c r="Y55" s="374">
        <v>2012</v>
      </c>
      <c r="Z55" s="376">
        <f>CRCP_y1</f>
        <v>2013</v>
      </c>
      <c r="AA55" s="376">
        <f>CRCP_y2</f>
        <v>2014</v>
      </c>
      <c r="AB55" s="568">
        <f>CRCP_y3</f>
        <v>2015</v>
      </c>
    </row>
    <row r="56" spans="1:31">
      <c r="A56" s="392"/>
      <c r="B56" s="1330" t="s">
        <v>1355</v>
      </c>
      <c r="C56" s="3007">
        <f t="shared" ref="C56:D56" si="2">C21</f>
        <v>20478000</v>
      </c>
      <c r="D56" s="3008">
        <f t="shared" si="2"/>
        <v>18493589.500000007</v>
      </c>
      <c r="E56" s="3008">
        <f>[11]Sheet1!S23*1000</f>
        <v>12304672.897196261</v>
      </c>
      <c r="F56" s="3008">
        <f>[11]Sheet1!T23*1000</f>
        <v>20030841.121495325</v>
      </c>
      <c r="G56" s="3009">
        <f>[11]Sheet1!U23*1000</f>
        <v>27367896.61813084</v>
      </c>
      <c r="H56" s="3007">
        <f>[11]Sheet1!V23*1000</f>
        <v>11097186.305607475</v>
      </c>
      <c r="I56" s="3008">
        <f>I21</f>
        <v>25695990.300000001</v>
      </c>
      <c r="J56" s="3008">
        <f t="shared" ref="J56:Q56" si="3">J21</f>
        <v>28060597</v>
      </c>
      <c r="K56" s="3008">
        <f t="shared" si="3"/>
        <v>62388148.985037826</v>
      </c>
      <c r="L56" s="3009">
        <f t="shared" si="3"/>
        <v>59423276.405991323</v>
      </c>
      <c r="M56" s="3007">
        <f t="shared" si="3"/>
        <v>72388776.001924649</v>
      </c>
      <c r="N56" s="3008">
        <f t="shared" si="3"/>
        <v>67192326.181417406</v>
      </c>
      <c r="O56" s="3008">
        <f t="shared" si="3"/>
        <v>67886349.663717955</v>
      </c>
      <c r="P56" s="3008">
        <f t="shared" si="3"/>
        <v>67965256.802970409</v>
      </c>
      <c r="Q56" s="3009">
        <f t="shared" si="3"/>
        <v>61496755.409765348</v>
      </c>
      <c r="U56" s="1883"/>
      <c r="V56" s="1879"/>
      <c r="W56" s="1879"/>
      <c r="X56" s="1879"/>
      <c r="Y56" s="1884"/>
      <c r="Z56" s="1883"/>
      <c r="AA56" s="1879"/>
      <c r="AB56" s="1884"/>
    </row>
    <row r="57" spans="1:31">
      <c r="A57" s="392"/>
      <c r="B57" s="1331" t="s">
        <v>359</v>
      </c>
      <c r="C57" s="3010">
        <f t="shared" ref="C57:D57" si="4">C22</f>
        <v>7656000</v>
      </c>
      <c r="D57" s="3011">
        <f t="shared" si="4"/>
        <v>9380880.7869999986</v>
      </c>
      <c r="E57" s="3011">
        <f>[11]Sheet1!S24*1000</f>
        <v>8488785.0467289723</v>
      </c>
      <c r="F57" s="3011">
        <f>[11]Sheet1!T24*1000</f>
        <v>9771028.0373831782</v>
      </c>
      <c r="G57" s="3012">
        <f>[11]Sheet1!U24*1000</f>
        <v>10499358.56140185</v>
      </c>
      <c r="H57" s="3010">
        <f>[11]Sheet1!V24*1000</f>
        <v>13773200.320747681</v>
      </c>
      <c r="I57" s="3011">
        <f t="shared" ref="H57:Q66" si="5">I22</f>
        <v>17492684.27</v>
      </c>
      <c r="J57" s="3011">
        <f t="shared" si="5"/>
        <v>19397073</v>
      </c>
      <c r="K57" s="3011">
        <f t="shared" si="5"/>
        <v>0</v>
      </c>
      <c r="L57" s="3012">
        <f t="shared" si="5"/>
        <v>16658363.159569003</v>
      </c>
      <c r="M57" s="3010">
        <f t="shared" si="5"/>
        <v>17306424.438047729</v>
      </c>
      <c r="N57" s="3011">
        <f t="shared" si="5"/>
        <v>16472965.079320002</v>
      </c>
      <c r="O57" s="3011">
        <f t="shared" si="5"/>
        <v>15784190.769663917</v>
      </c>
      <c r="P57" s="3011">
        <f t="shared" si="5"/>
        <v>16139819.899904519</v>
      </c>
      <c r="Q57" s="3012">
        <f t="shared" si="5"/>
        <v>16641568.004265996</v>
      </c>
      <c r="U57" s="1880"/>
      <c r="V57" s="1881"/>
      <c r="W57" s="1881"/>
      <c r="X57" s="1881"/>
      <c r="Y57" s="1885"/>
      <c r="Z57" s="1880"/>
      <c r="AA57" s="1881"/>
      <c r="AB57" s="1885"/>
    </row>
    <row r="58" spans="1:31">
      <c r="A58" s="392"/>
      <c r="B58" s="1331" t="s">
        <v>1356</v>
      </c>
      <c r="C58" s="3010">
        <f t="shared" ref="C58:D58" si="6">C23</f>
        <v>105640.65</v>
      </c>
      <c r="D58" s="3011">
        <f t="shared" si="6"/>
        <v>171702.81</v>
      </c>
      <c r="E58" s="3011">
        <f>[11]Sheet1!S25*1000</f>
        <v>3738.3177570093453</v>
      </c>
      <c r="F58" s="3011">
        <f>[11]Sheet1!T25*1000</f>
        <v>114953.27102803739</v>
      </c>
      <c r="G58" s="3012">
        <f>[11]Sheet1!U25*1000</f>
        <v>43785.894205607481</v>
      </c>
      <c r="H58" s="3010">
        <f>[11]Sheet1!V25*1000</f>
        <v>98618.492897196265</v>
      </c>
      <c r="I58" s="3011">
        <f t="shared" si="5"/>
        <v>124477.01000000001</v>
      </c>
      <c r="J58" s="3011">
        <f t="shared" si="5"/>
        <v>130273</v>
      </c>
      <c r="K58" s="3011">
        <f t="shared" si="5"/>
        <v>317271.14913000062</v>
      </c>
      <c r="L58" s="3012">
        <f t="shared" si="5"/>
        <v>423693.66000000003</v>
      </c>
      <c r="M58" s="3010">
        <f t="shared" si="5"/>
        <v>296489.23599459993</v>
      </c>
      <c r="N58" s="3011">
        <f t="shared" si="5"/>
        <v>358604.92064460006</v>
      </c>
      <c r="O58" s="3011">
        <f t="shared" si="5"/>
        <v>270322.62752319995</v>
      </c>
      <c r="P58" s="3011">
        <f t="shared" si="5"/>
        <v>172594.16657700003</v>
      </c>
      <c r="Q58" s="3012">
        <f t="shared" si="5"/>
        <v>188067.41285600001</v>
      </c>
      <c r="U58" s="1880"/>
      <c r="V58" s="1881"/>
      <c r="W58" s="1881"/>
      <c r="X58" s="1881"/>
      <c r="Y58" s="1885"/>
      <c r="Z58" s="1880"/>
      <c r="AA58" s="1881"/>
      <c r="AB58" s="1885"/>
    </row>
    <row r="59" spans="1:31">
      <c r="A59" s="392"/>
      <c r="B59" s="1331" t="s">
        <v>1357</v>
      </c>
      <c r="C59" s="3010">
        <f t="shared" ref="C59:D59" si="7">C24</f>
        <v>2396881.4299999997</v>
      </c>
      <c r="D59" s="3011">
        <f t="shared" si="7"/>
        <v>1486740.14</v>
      </c>
      <c r="E59" s="3011">
        <f>[11]Sheet1!S26*1000</f>
        <v>656074.76635514013</v>
      </c>
      <c r="F59" s="3011">
        <f>[11]Sheet1!T26*1000</f>
        <v>803738.31775700941</v>
      </c>
      <c r="G59" s="3012">
        <f>[11]Sheet1!U26*1000</f>
        <v>862915.41757009341</v>
      </c>
      <c r="H59" s="3010">
        <f>[11]Sheet1!V26*1000</f>
        <v>798792.06700934609</v>
      </c>
      <c r="I59" s="3011">
        <f t="shared" si="5"/>
        <v>1027943.47</v>
      </c>
      <c r="J59" s="3011">
        <f t="shared" si="5"/>
        <v>1196601</v>
      </c>
      <c r="K59" s="3011">
        <f t="shared" si="5"/>
        <v>1936287.1601316212</v>
      </c>
      <c r="L59" s="3012">
        <f t="shared" si="5"/>
        <v>2984529.1206</v>
      </c>
      <c r="M59" s="3010">
        <f t="shared" si="5"/>
        <v>2723623.1765791895</v>
      </c>
      <c r="N59" s="3011">
        <f t="shared" si="5"/>
        <v>2263348.873736958</v>
      </c>
      <c r="O59" s="3011">
        <f t="shared" si="5"/>
        <v>1549946.8731991996</v>
      </c>
      <c r="P59" s="3011">
        <f t="shared" si="5"/>
        <v>1749446.9367617702</v>
      </c>
      <c r="Q59" s="3012">
        <f t="shared" si="5"/>
        <v>1599585.788926</v>
      </c>
      <c r="U59" s="1880"/>
      <c r="V59" s="1881"/>
      <c r="W59" s="1881"/>
      <c r="X59" s="1881"/>
      <c r="Y59" s="1885"/>
      <c r="Z59" s="1880"/>
      <c r="AA59" s="1881"/>
      <c r="AB59" s="1885"/>
    </row>
    <row r="60" spans="1:31" s="1266" customFormat="1">
      <c r="A60" s="1268"/>
      <c r="B60" s="1331" t="s">
        <v>63</v>
      </c>
      <c r="C60" s="3010">
        <f t="shared" ref="C60:D60" si="8">C25</f>
        <v>2778000</v>
      </c>
      <c r="D60" s="3011">
        <f t="shared" si="8"/>
        <v>3318000</v>
      </c>
      <c r="E60" s="3011">
        <f>[11]Sheet1!S27*1000</f>
        <v>3051401.8691588785</v>
      </c>
      <c r="F60" s="3011">
        <f>[11]Sheet1!T27*1000</f>
        <v>3128971.9626168227</v>
      </c>
      <c r="G60" s="3012">
        <f>[11]Sheet1!U27*1000</f>
        <v>3536477.7517757011</v>
      </c>
      <c r="H60" s="3010">
        <f>[11]Sheet1!V27*1000</f>
        <v>2738351.2846728973</v>
      </c>
      <c r="I60" s="3011">
        <f t="shared" si="5"/>
        <v>2872425.39</v>
      </c>
      <c r="J60" s="3011">
        <f t="shared" si="5"/>
        <v>3514486</v>
      </c>
      <c r="K60" s="3011">
        <f t="shared" si="5"/>
        <v>1383837.1853532621</v>
      </c>
      <c r="L60" s="3012">
        <f t="shared" si="5"/>
        <v>4266721.3534081643</v>
      </c>
      <c r="M60" s="3010">
        <f t="shared" si="5"/>
        <v>7373460.5650135381</v>
      </c>
      <c r="N60" s="3011">
        <f t="shared" si="5"/>
        <v>4842359.9705308303</v>
      </c>
      <c r="O60" s="3011">
        <f t="shared" si="5"/>
        <v>6172938.633172187</v>
      </c>
      <c r="P60" s="3011">
        <f t="shared" si="5"/>
        <v>4766018.0414146278</v>
      </c>
      <c r="Q60" s="3012">
        <f t="shared" si="5"/>
        <v>4598845.5980539024</v>
      </c>
      <c r="U60" s="1880"/>
      <c r="V60" s="1881"/>
      <c r="W60" s="1881"/>
      <c r="X60" s="1881"/>
      <c r="Y60" s="1885"/>
      <c r="Z60" s="1880"/>
      <c r="AA60" s="1881"/>
      <c r="AB60" s="1885"/>
    </row>
    <row r="61" spans="1:31">
      <c r="A61" s="392"/>
      <c r="B61" s="1331" t="s">
        <v>531</v>
      </c>
      <c r="C61" s="3010">
        <f t="shared" ref="C61:D61" si="9">C26</f>
        <v>0</v>
      </c>
      <c r="D61" s="3011">
        <f t="shared" si="9"/>
        <v>0</v>
      </c>
      <c r="E61" s="3011">
        <f>[11]Sheet1!S28*1000</f>
        <v>0</v>
      </c>
      <c r="F61" s="3011">
        <f>[11]Sheet1!T28*1000</f>
        <v>0</v>
      </c>
      <c r="G61" s="3012">
        <f>[11]Sheet1!U28*1000</f>
        <v>0</v>
      </c>
      <c r="H61" s="3010">
        <f>[11]Sheet1!V28*1000</f>
        <v>0</v>
      </c>
      <c r="I61" s="3011">
        <f t="shared" si="5"/>
        <v>0</v>
      </c>
      <c r="J61" s="3011">
        <f t="shared" si="5"/>
        <v>0</v>
      </c>
      <c r="K61" s="3011">
        <f t="shared" si="5"/>
        <v>0</v>
      </c>
      <c r="L61" s="3012">
        <f t="shared" si="5"/>
        <v>0</v>
      </c>
      <c r="M61" s="3010">
        <f t="shared" si="5"/>
        <v>0</v>
      </c>
      <c r="N61" s="3011">
        <f t="shared" si="5"/>
        <v>0</v>
      </c>
      <c r="O61" s="3011">
        <f t="shared" si="5"/>
        <v>0</v>
      </c>
      <c r="P61" s="3011">
        <f t="shared" si="5"/>
        <v>0</v>
      </c>
      <c r="Q61" s="3012">
        <f t="shared" si="5"/>
        <v>0</v>
      </c>
      <c r="U61" s="1880"/>
      <c r="V61" s="1881"/>
      <c r="W61" s="1881"/>
      <c r="X61" s="1881"/>
      <c r="Y61" s="1885"/>
      <c r="Z61" s="1880"/>
      <c r="AA61" s="1881"/>
      <c r="AB61" s="1885"/>
    </row>
    <row r="62" spans="1:31">
      <c r="A62" s="392"/>
      <c r="B62" s="2855" t="s">
        <v>276</v>
      </c>
      <c r="C62" s="3016">
        <f t="shared" ref="C62:D62" si="10">C27</f>
        <v>782956.08</v>
      </c>
      <c r="D62" s="3013">
        <f t="shared" si="10"/>
        <v>1170101.74</v>
      </c>
      <c r="E62" s="3013">
        <f>[11]Sheet1!S29*1000</f>
        <v>4667289.7196261687</v>
      </c>
      <c r="F62" s="3013">
        <f>[11]Sheet1!T29*1000</f>
        <v>19411214.953271028</v>
      </c>
      <c r="G62" s="3018">
        <f>[11]Sheet1!U29*1000</f>
        <v>28385181.549439274</v>
      </c>
      <c r="H62" s="3016">
        <f>[11]Sheet1!V29*1000</f>
        <v>24571634.439999994</v>
      </c>
      <c r="I62" s="3013">
        <f t="shared" si="5"/>
        <v>3675869.63</v>
      </c>
      <c r="J62" s="3013">
        <f t="shared" si="5"/>
        <v>5524448</v>
      </c>
      <c r="K62" s="3013">
        <f t="shared" si="5"/>
        <v>6940000</v>
      </c>
      <c r="L62" s="3018">
        <f t="shared" si="5"/>
        <v>2243672</v>
      </c>
      <c r="M62" s="3016">
        <f t="shared" si="5"/>
        <v>11100435</v>
      </c>
      <c r="N62" s="3013">
        <f t="shared" si="5"/>
        <v>5978689</v>
      </c>
      <c r="O62" s="3013">
        <f t="shared" si="5"/>
        <v>10060299</v>
      </c>
      <c r="P62" s="3013">
        <f t="shared" si="5"/>
        <v>11322170</v>
      </c>
      <c r="Q62" s="3018">
        <f t="shared" si="5"/>
        <v>10373406</v>
      </c>
      <c r="U62" s="1880"/>
      <c r="V62" s="1881"/>
      <c r="W62" s="1881"/>
      <c r="X62" s="1881"/>
      <c r="Y62" s="1885"/>
      <c r="Z62" s="1880"/>
      <c r="AA62" s="1881"/>
      <c r="AB62" s="1885"/>
    </row>
    <row r="63" spans="1:31" s="1266" customFormat="1">
      <c r="A63" s="1268"/>
      <c r="B63" s="2855" t="s">
        <v>1358</v>
      </c>
      <c r="C63" s="3016">
        <f t="shared" ref="C63:D63" si="11">C28</f>
        <v>99429.94</v>
      </c>
      <c r="D63" s="3013">
        <f t="shared" si="11"/>
        <v>80137.899999999994</v>
      </c>
      <c r="E63" s="3013">
        <f>[11]Sheet1!S30*1000</f>
        <v>3738.3177570093453</v>
      </c>
      <c r="F63" s="3013">
        <f>[11]Sheet1!T30*1000</f>
        <v>64485.98130841121</v>
      </c>
      <c r="G63" s="3018">
        <f>[11]Sheet1!U30*1000</f>
        <v>86455.604018691578</v>
      </c>
      <c r="H63" s="3016">
        <f>[11]Sheet1!V30*1000</f>
        <v>141539.80457943931</v>
      </c>
      <c r="I63" s="3013">
        <f t="shared" si="5"/>
        <v>27572.74</v>
      </c>
      <c r="J63" s="3013">
        <f t="shared" si="5"/>
        <v>108398</v>
      </c>
      <c r="K63" s="3013">
        <f t="shared" si="5"/>
        <v>495502.88290597149</v>
      </c>
      <c r="L63" s="3018">
        <f t="shared" si="5"/>
        <v>1763901.48</v>
      </c>
      <c r="M63" s="3016">
        <f t="shared" si="5"/>
        <v>1922620.2440648</v>
      </c>
      <c r="N63" s="3013">
        <f t="shared" si="5"/>
        <v>1688936.0120346001</v>
      </c>
      <c r="O63" s="3013">
        <f t="shared" si="5"/>
        <v>1199704.1614432</v>
      </c>
      <c r="P63" s="3013">
        <f t="shared" si="5"/>
        <v>1179085.0579050002</v>
      </c>
      <c r="Q63" s="3018">
        <f t="shared" si="5"/>
        <v>1106768.8209519999</v>
      </c>
      <c r="U63" s="1939"/>
      <c r="V63" s="1940"/>
      <c r="W63" s="1940"/>
      <c r="X63" s="1940"/>
      <c r="Y63" s="1941"/>
      <c r="Z63" s="1939"/>
      <c r="AA63" s="1940"/>
      <c r="AB63" s="1941"/>
    </row>
    <row r="64" spans="1:31" s="1266" customFormat="1">
      <c r="A64" s="1268"/>
      <c r="B64" s="2855" t="s">
        <v>64</v>
      </c>
      <c r="C64" s="3016">
        <f t="shared" ref="C64:D64" si="12">C29</f>
        <v>0</v>
      </c>
      <c r="D64" s="3013">
        <f t="shared" si="12"/>
        <v>0</v>
      </c>
      <c r="E64" s="3013">
        <f>[11]Sheet1!S31*1000</f>
        <v>167289.71962616823</v>
      </c>
      <c r="F64" s="3013">
        <f>[11]Sheet1!T31*1000</f>
        <v>113084.11214953271</v>
      </c>
      <c r="G64" s="3018">
        <f>[11]Sheet1!U31*1000</f>
        <v>620219.27775700926</v>
      </c>
      <c r="H64" s="3016">
        <f>[11]Sheet1!V31*1000</f>
        <v>87467.22</v>
      </c>
      <c r="I64" s="3013">
        <f t="shared" si="5"/>
        <v>465199.5</v>
      </c>
      <c r="J64" s="3013">
        <f t="shared" si="5"/>
        <v>244963</v>
      </c>
      <c r="K64" s="3013">
        <f t="shared" si="5"/>
        <v>55989.026317058924</v>
      </c>
      <c r="L64" s="3018">
        <f t="shared" si="5"/>
        <v>0</v>
      </c>
      <c r="M64" s="3016">
        <f t="shared" si="5"/>
        <v>0</v>
      </c>
      <c r="N64" s="3013">
        <f t="shared" si="5"/>
        <v>0</v>
      </c>
      <c r="O64" s="3013">
        <f t="shared" si="5"/>
        <v>0</v>
      </c>
      <c r="P64" s="3013">
        <f t="shared" si="5"/>
        <v>0</v>
      </c>
      <c r="Q64" s="3018">
        <f t="shared" si="5"/>
        <v>0</v>
      </c>
      <c r="U64" s="1939"/>
      <c r="V64" s="1940"/>
      <c r="W64" s="1940"/>
      <c r="X64" s="1940"/>
      <c r="Y64" s="1941"/>
      <c r="Z64" s="1939"/>
      <c r="AA64" s="1940"/>
      <c r="AB64" s="1941"/>
    </row>
    <row r="65" spans="1:29" s="1266" customFormat="1">
      <c r="A65" s="1268"/>
      <c r="B65" s="2855" t="s">
        <v>1359</v>
      </c>
      <c r="C65" s="3016">
        <f t="shared" ref="C65:D65" si="13">C30</f>
        <v>0</v>
      </c>
      <c r="D65" s="3013">
        <f t="shared" si="13"/>
        <v>0</v>
      </c>
      <c r="E65" s="3013">
        <f>[11]Sheet1!S32*1000</f>
        <v>0</v>
      </c>
      <c r="F65" s="3013">
        <f>[11]Sheet1!T32*1000</f>
        <v>0</v>
      </c>
      <c r="G65" s="3018">
        <f>[11]Sheet1!U32*1000</f>
        <v>0</v>
      </c>
      <c r="H65" s="3016">
        <f>[11]Sheet1!V32*1000</f>
        <v>1809373.0699999996</v>
      </c>
      <c r="I65" s="3013">
        <f t="shared" si="5"/>
        <v>0</v>
      </c>
      <c r="J65" s="3013">
        <f t="shared" si="5"/>
        <v>0</v>
      </c>
      <c r="K65" s="3013">
        <f t="shared" si="5"/>
        <v>858804.14206922415</v>
      </c>
      <c r="L65" s="3018">
        <f t="shared" si="5"/>
        <v>461917.50307593605</v>
      </c>
      <c r="M65" s="3016">
        <f t="shared" si="5"/>
        <v>360117.50004071929</v>
      </c>
      <c r="N65" s="3013">
        <f t="shared" si="5"/>
        <v>131067.50001018122</v>
      </c>
      <c r="O65" s="3013">
        <f t="shared" si="5"/>
        <v>131067.50001018122</v>
      </c>
      <c r="P65" s="3013">
        <f t="shared" si="5"/>
        <v>131067.50001018122</v>
      </c>
      <c r="Q65" s="3018">
        <f t="shared" si="5"/>
        <v>131067.50001018122</v>
      </c>
      <c r="U65" s="1939"/>
      <c r="V65" s="1940"/>
      <c r="W65" s="1940"/>
      <c r="X65" s="1940"/>
      <c r="Y65" s="1941"/>
      <c r="Z65" s="1939"/>
      <c r="AA65" s="1940"/>
      <c r="AB65" s="1941"/>
    </row>
    <row r="66" spans="1:29" ht="13.5" thickBot="1">
      <c r="A66" s="392"/>
      <c r="B66" s="1332" t="s">
        <v>1505</v>
      </c>
      <c r="C66" s="3020">
        <f t="shared" ref="C66:D66" si="14">C31</f>
        <v>2155906.5149999997</v>
      </c>
      <c r="D66" s="3014">
        <f t="shared" si="14"/>
        <v>2218546.1430000002</v>
      </c>
      <c r="E66" s="3014">
        <f t="shared" ref="E66:F66" si="15">E31*0.93</f>
        <v>2116414.764</v>
      </c>
      <c r="F66" s="3014">
        <f t="shared" si="15"/>
        <v>1974596.8599000003</v>
      </c>
      <c r="G66" s="3019">
        <f t="shared" ref="G66" si="16">G31*0.93</f>
        <v>2274704.8932000003</v>
      </c>
      <c r="H66" s="3020">
        <f t="shared" si="5"/>
        <v>5641435.5200000005</v>
      </c>
      <c r="I66" s="3014">
        <f t="shared" si="5"/>
        <v>6407309.5800000001</v>
      </c>
      <c r="J66" s="3014">
        <f t="shared" si="5"/>
        <v>7567556.4699999904</v>
      </c>
      <c r="K66" s="3014">
        <f t="shared" si="5"/>
        <v>11942672.934774403</v>
      </c>
      <c r="L66" s="3019">
        <f t="shared" si="5"/>
        <v>0</v>
      </c>
      <c r="M66" s="3020">
        <f t="shared" si="5"/>
        <v>0</v>
      </c>
      <c r="N66" s="3014">
        <f t="shared" si="5"/>
        <v>0</v>
      </c>
      <c r="O66" s="3014">
        <f t="shared" si="5"/>
        <v>0</v>
      </c>
      <c r="P66" s="3014">
        <f t="shared" si="5"/>
        <v>0</v>
      </c>
      <c r="Q66" s="3019">
        <f t="shared" si="5"/>
        <v>0</v>
      </c>
      <c r="U66" s="1886"/>
      <c r="V66" s="1882"/>
      <c r="W66" s="1882"/>
      <c r="X66" s="1882"/>
      <c r="Y66" s="1887"/>
      <c r="Z66" s="1886"/>
      <c r="AA66" s="1882"/>
      <c r="AB66" s="1887"/>
    </row>
    <row r="67" spans="1:29" ht="44.25" customHeight="1" thickBot="1">
      <c r="A67" s="392"/>
      <c r="B67" s="70"/>
      <c r="C67" s="70"/>
      <c r="D67" s="70"/>
      <c r="E67" s="70"/>
      <c r="F67" s="70"/>
      <c r="G67" s="70"/>
      <c r="H67" s="70"/>
      <c r="I67" s="70"/>
      <c r="J67" s="70"/>
      <c r="K67" s="70"/>
      <c r="L67" s="70"/>
      <c r="M67" s="392"/>
      <c r="N67" s="392"/>
      <c r="O67" s="392"/>
      <c r="P67" s="392"/>
      <c r="Q67" s="392"/>
      <c r="U67" s="70"/>
      <c r="V67" s="70"/>
      <c r="W67" s="70"/>
      <c r="X67" s="70"/>
      <c r="Y67" s="70"/>
      <c r="Z67" s="70"/>
      <c r="AA67" s="70"/>
      <c r="AB67" s="70"/>
    </row>
    <row r="68" spans="1:29" s="78" customFormat="1" ht="24.75" customHeight="1" thickBot="1">
      <c r="A68" s="299"/>
      <c r="B68" s="3322" t="s">
        <v>370</v>
      </c>
      <c r="C68" s="3915"/>
      <c r="D68" s="3915"/>
      <c r="E68" s="3915"/>
      <c r="F68" s="3323"/>
      <c r="G68" s="3915"/>
      <c r="H68" s="3915"/>
      <c r="I68" s="3915"/>
      <c r="J68" s="3323"/>
      <c r="K68" s="3915"/>
      <c r="L68" s="3916"/>
      <c r="M68" s="299"/>
      <c r="N68" s="282"/>
      <c r="O68" s="282"/>
      <c r="P68" s="282"/>
      <c r="Q68" s="282"/>
      <c r="R68"/>
      <c r="S68"/>
      <c r="T68"/>
      <c r="U68"/>
      <c r="V68"/>
      <c r="W68"/>
      <c r="X68"/>
      <c r="Y68"/>
      <c r="Z68"/>
      <c r="AA68"/>
      <c r="AB68"/>
      <c r="AC68"/>
    </row>
    <row r="69" spans="1:29" ht="15" customHeight="1">
      <c r="A69" s="1268"/>
      <c r="B69" s="4579"/>
      <c r="C69" s="4496" t="s">
        <v>36</v>
      </c>
      <c r="D69" s="4495"/>
      <c r="E69" s="4495"/>
      <c r="F69" s="4495"/>
      <c r="G69" s="4495"/>
      <c r="H69" s="4494" t="s">
        <v>37</v>
      </c>
      <c r="I69" s="4495"/>
      <c r="J69" s="4495"/>
      <c r="K69" s="4495"/>
      <c r="L69" s="4509"/>
      <c r="M69" s="392"/>
      <c r="N69" s="392"/>
      <c r="O69" s="392"/>
      <c r="P69" s="392"/>
      <c r="Q69" s="392"/>
      <c r="U69"/>
      <c r="V69"/>
      <c r="W69"/>
      <c r="X69"/>
      <c r="Y69"/>
      <c r="Z69"/>
      <c r="AA69"/>
      <c r="AB69"/>
    </row>
    <row r="70" spans="1:29" ht="15" customHeight="1">
      <c r="A70" s="1268"/>
      <c r="B70" s="4580"/>
      <c r="C70" s="4489" t="str">
        <f>CONCATENATE("$0's, real ",dms_DollarReal)</f>
        <v>$0's, real December 2017</v>
      </c>
      <c r="D70" s="4490"/>
      <c r="E70" s="4490"/>
      <c r="F70" s="4490"/>
      <c r="G70" s="4490"/>
      <c r="H70" s="4490"/>
      <c r="I70" s="4490"/>
      <c r="J70" s="4490"/>
      <c r="K70" s="4490"/>
      <c r="L70" s="4493"/>
      <c r="M70" s="392"/>
      <c r="N70" s="392"/>
      <c r="O70" s="392"/>
      <c r="P70" s="392"/>
      <c r="Q70" s="392"/>
      <c r="U70"/>
      <c r="V70"/>
      <c r="W70"/>
      <c r="X70"/>
      <c r="Y70"/>
      <c r="Z70"/>
      <c r="AA70"/>
      <c r="AB70"/>
    </row>
    <row r="71" spans="1:29" ht="12.75" customHeight="1">
      <c r="A71" s="1268"/>
      <c r="B71" s="4580"/>
      <c r="C71" s="4489" t="s">
        <v>76</v>
      </c>
      <c r="D71" s="4490"/>
      <c r="E71" s="4490"/>
      <c r="F71" s="4490"/>
      <c r="G71" s="4490"/>
      <c r="H71" s="4490"/>
      <c r="I71" s="4490"/>
      <c r="J71" s="4490"/>
      <c r="K71" s="4490"/>
      <c r="L71" s="4493"/>
      <c r="M71" s="392"/>
      <c r="N71" s="392"/>
      <c r="O71" s="392"/>
      <c r="P71" s="392"/>
      <c r="Q71" s="392"/>
      <c r="U71"/>
      <c r="V71"/>
      <c r="W71"/>
      <c r="X71"/>
      <c r="Y71"/>
      <c r="Z71"/>
      <c r="AA71"/>
      <c r="AB71"/>
    </row>
    <row r="72" spans="1:29" ht="12.75" customHeight="1" thickBot="1">
      <c r="A72" s="1268"/>
      <c r="B72" s="4581"/>
      <c r="C72" s="3877">
        <f t="array" ref="C72:G72">PRCP</f>
        <v>2008</v>
      </c>
      <c r="D72" s="3878">
        <v>2009</v>
      </c>
      <c r="E72" s="3878">
        <v>2010</v>
      </c>
      <c r="F72" s="3878">
        <v>2011</v>
      </c>
      <c r="G72" s="3878">
        <v>2012</v>
      </c>
      <c r="H72" s="3878">
        <f>CRCP_y1</f>
        <v>2013</v>
      </c>
      <c r="I72" s="3878">
        <f>CRCP_y2</f>
        <v>2014</v>
      </c>
      <c r="J72" s="3878">
        <f>CRCP_y3</f>
        <v>2015</v>
      </c>
      <c r="K72" s="3878">
        <f>CRCP_y4</f>
        <v>2016</v>
      </c>
      <c r="L72" s="3879">
        <f>CRCP_y5</f>
        <v>2017</v>
      </c>
      <c r="M72" s="392"/>
      <c r="N72" s="392"/>
      <c r="O72" s="392"/>
      <c r="P72" s="392"/>
      <c r="Q72" s="392"/>
      <c r="U72"/>
      <c r="V72"/>
      <c r="W72"/>
      <c r="X72"/>
      <c r="Y72"/>
      <c r="Z72"/>
      <c r="AA72"/>
      <c r="AB72"/>
    </row>
    <row r="73" spans="1:29">
      <c r="A73" s="1268"/>
      <c r="B73" s="736" t="str">
        <f>B21</f>
        <v>Transmission and distribution</v>
      </c>
      <c r="C73" s="3917"/>
      <c r="D73" s="3918"/>
      <c r="E73" s="3918"/>
      <c r="F73" s="3918"/>
      <c r="G73" s="3919"/>
      <c r="H73" s="3920"/>
      <c r="I73" s="3918"/>
      <c r="J73" s="3918"/>
      <c r="K73" s="3918"/>
      <c r="L73" s="3921"/>
      <c r="M73" s="392"/>
      <c r="N73" s="392"/>
      <c r="O73" s="392"/>
      <c r="P73" s="392"/>
      <c r="Q73" s="392"/>
      <c r="U73"/>
      <c r="V73"/>
      <c r="W73"/>
      <c r="X73"/>
      <c r="Y73"/>
      <c r="Z73"/>
      <c r="AA73"/>
      <c r="AB73"/>
    </row>
    <row r="74" spans="1:29">
      <c r="A74" s="1268"/>
      <c r="B74" s="1966" t="str">
        <f>B22</f>
        <v>Services</v>
      </c>
      <c r="C74" s="3922"/>
      <c r="D74" s="3923"/>
      <c r="E74" s="3923"/>
      <c r="F74" s="3923"/>
      <c r="G74" s="3924"/>
      <c r="H74" s="3925"/>
      <c r="I74" s="3923"/>
      <c r="J74" s="3923"/>
      <c r="K74" s="3923"/>
      <c r="L74" s="3926"/>
      <c r="M74" s="392"/>
      <c r="N74" s="392"/>
      <c r="O74" s="392"/>
      <c r="P74" s="392"/>
      <c r="Q74" s="392"/>
      <c r="U74"/>
      <c r="V74"/>
      <c r="W74"/>
      <c r="X74"/>
      <c r="Y74"/>
      <c r="Z74"/>
      <c r="AA74"/>
      <c r="AB74"/>
    </row>
    <row r="75" spans="1:29">
      <c r="A75" s="1268"/>
      <c r="B75" s="1966" t="str">
        <f>B23</f>
        <v>Cathodic Protection</v>
      </c>
      <c r="C75" s="3922"/>
      <c r="D75" s="3923"/>
      <c r="E75" s="3923"/>
      <c r="F75" s="3923"/>
      <c r="G75" s="3924"/>
      <c r="H75" s="3925"/>
      <c r="I75" s="3923"/>
      <c r="J75" s="3923"/>
      <c r="K75" s="3923"/>
      <c r="L75" s="3926"/>
      <c r="M75" s="392"/>
      <c r="N75" s="392"/>
      <c r="O75" s="392"/>
      <c r="P75" s="392"/>
      <c r="Q75" s="392"/>
      <c r="U75"/>
      <c r="V75"/>
      <c r="W75"/>
      <c r="X75"/>
      <c r="Y75"/>
      <c r="Z75"/>
      <c r="AA75"/>
      <c r="AB75"/>
    </row>
    <row r="76" spans="1:29">
      <c r="A76" s="1268"/>
      <c r="B76" s="1966" t="str">
        <f>B24</f>
        <v>Supply Regs/Valve stations</v>
      </c>
      <c r="C76" s="3922"/>
      <c r="D76" s="3923"/>
      <c r="E76" s="3923"/>
      <c r="F76" s="3923"/>
      <c r="G76" s="3924"/>
      <c r="H76" s="3925"/>
      <c r="I76" s="3923"/>
      <c r="J76" s="3923"/>
      <c r="K76" s="3923"/>
      <c r="L76" s="3926"/>
      <c r="M76" s="392"/>
      <c r="N76" s="392"/>
      <c r="O76" s="392"/>
      <c r="P76" s="392"/>
      <c r="Q76" s="392"/>
      <c r="U76"/>
      <c r="V76"/>
      <c r="W76"/>
      <c r="X76"/>
      <c r="Y76"/>
      <c r="Z76"/>
      <c r="AA76"/>
      <c r="AB76"/>
    </row>
    <row r="77" spans="1:29">
      <c r="A77" s="1268"/>
      <c r="B77" s="1966" t="str">
        <f>B25</f>
        <v>Meters</v>
      </c>
      <c r="C77" s="3922"/>
      <c r="D77" s="3923"/>
      <c r="E77" s="3923"/>
      <c r="F77" s="3923"/>
      <c r="G77" s="3924"/>
      <c r="H77" s="3925"/>
      <c r="I77" s="3923"/>
      <c r="J77" s="3923"/>
      <c r="K77" s="3923"/>
      <c r="L77" s="3926"/>
      <c r="M77" s="392"/>
      <c r="N77" s="392"/>
      <c r="O77" s="392"/>
      <c r="P77" s="392"/>
      <c r="Q77" s="392"/>
      <c r="U77"/>
      <c r="V77"/>
      <c r="W77"/>
      <c r="X77"/>
      <c r="Y77"/>
      <c r="Z77"/>
      <c r="AA77"/>
      <c r="AB77"/>
    </row>
    <row r="78" spans="1:29">
      <c r="A78" s="1268"/>
      <c r="B78" s="1966" t="str">
        <f t="shared" ref="B78:B81" si="17">B26</f>
        <v>Land</v>
      </c>
      <c r="C78" s="3922"/>
      <c r="D78" s="3923"/>
      <c r="E78" s="3923"/>
      <c r="F78" s="3923"/>
      <c r="G78" s="3924"/>
      <c r="H78" s="3925"/>
      <c r="I78" s="3923"/>
      <c r="J78" s="3923"/>
      <c r="K78" s="3923"/>
      <c r="L78" s="3926"/>
      <c r="M78" s="392"/>
      <c r="N78" s="392"/>
      <c r="O78" s="392"/>
      <c r="P78" s="392"/>
      <c r="Q78" s="392"/>
      <c r="U78"/>
      <c r="V78"/>
      <c r="W78"/>
      <c r="X78"/>
      <c r="Y78"/>
      <c r="Z78"/>
      <c r="AA78"/>
      <c r="AB78"/>
    </row>
    <row r="79" spans="1:29" s="1266" customFormat="1">
      <c r="A79" s="1268"/>
      <c r="B79" s="807" t="str">
        <f t="shared" si="17"/>
        <v>IT system</v>
      </c>
      <c r="C79" s="3927"/>
      <c r="D79" s="3928"/>
      <c r="E79" s="3928"/>
      <c r="F79" s="3928"/>
      <c r="G79" s="3929"/>
      <c r="H79" s="3930"/>
      <c r="I79" s="3928"/>
      <c r="J79" s="3928"/>
      <c r="K79" s="3928"/>
      <c r="L79" s="3931"/>
      <c r="M79" s="1268"/>
      <c r="N79" s="1268"/>
      <c r="O79" s="1268"/>
      <c r="P79" s="1268"/>
      <c r="Q79" s="1268"/>
    </row>
    <row r="80" spans="1:29" s="1266" customFormat="1">
      <c r="A80" s="1268"/>
      <c r="B80" s="807" t="str">
        <f t="shared" si="17"/>
        <v>SCADA</v>
      </c>
      <c r="C80" s="3927"/>
      <c r="D80" s="3928"/>
      <c r="E80" s="3928"/>
      <c r="F80" s="3928"/>
      <c r="G80" s="3929"/>
      <c r="H80" s="3930"/>
      <c r="I80" s="3928"/>
      <c r="J80" s="3928"/>
      <c r="K80" s="3928"/>
      <c r="L80" s="3931"/>
      <c r="M80" s="1268"/>
      <c r="N80" s="1268"/>
      <c r="O80" s="1268"/>
      <c r="P80" s="1268"/>
      <c r="Q80" s="1268"/>
    </row>
    <row r="81" spans="1:28" s="1266" customFormat="1">
      <c r="A81" s="1268"/>
      <c r="B81" s="807" t="str">
        <f t="shared" si="17"/>
        <v>Other</v>
      </c>
      <c r="C81" s="3927"/>
      <c r="D81" s="3928"/>
      <c r="E81" s="3928"/>
      <c r="F81" s="3928"/>
      <c r="G81" s="3929"/>
      <c r="H81" s="3930"/>
      <c r="I81" s="3928"/>
      <c r="J81" s="3928"/>
      <c r="K81" s="3928"/>
      <c r="L81" s="3931"/>
      <c r="M81" s="1268"/>
      <c r="N81" s="1268"/>
      <c r="O81" s="1268"/>
      <c r="P81" s="1268"/>
      <c r="Q81" s="1268"/>
    </row>
    <row r="82" spans="1:28" ht="13.5" thickBot="1">
      <c r="A82" s="1268"/>
      <c r="B82" s="737" t="str">
        <f t="shared" ref="B82" si="18">B30</f>
        <v>Buildings</v>
      </c>
      <c r="C82" s="3932"/>
      <c r="D82" s="3933"/>
      <c r="E82" s="3933"/>
      <c r="F82" s="3933"/>
      <c r="G82" s="3934"/>
      <c r="H82" s="3935"/>
      <c r="I82" s="3933"/>
      <c r="J82" s="3933"/>
      <c r="K82" s="3933"/>
      <c r="L82" s="3936"/>
      <c r="M82" s="392"/>
      <c r="N82" s="392"/>
      <c r="O82" s="392"/>
      <c r="P82" s="392"/>
      <c r="Q82" s="392"/>
      <c r="U82"/>
      <c r="V82"/>
      <c r="W82"/>
      <c r="X82"/>
      <c r="Y82"/>
      <c r="Z82"/>
      <c r="AA82"/>
      <c r="AB82"/>
    </row>
    <row r="83" spans="1:28">
      <c r="A83" s="1268"/>
      <c r="B83" s="1268"/>
      <c r="C83" s="1268"/>
      <c r="D83" s="1268"/>
      <c r="E83" s="1268"/>
      <c r="F83" s="1268"/>
      <c r="G83" s="1268"/>
      <c r="H83" s="1268"/>
      <c r="I83" s="1268"/>
      <c r="J83" s="1268"/>
      <c r="K83" s="1268"/>
      <c r="L83" s="1268"/>
    </row>
    <row r="84" spans="1:28">
      <c r="A84" s="1268"/>
      <c r="B84" s="1268"/>
      <c r="C84" s="1268"/>
      <c r="D84" s="1268"/>
      <c r="E84" s="1268"/>
      <c r="F84" s="1268"/>
      <c r="G84" s="1268"/>
      <c r="H84" s="1268"/>
      <c r="I84" s="1268"/>
      <c r="J84" s="1268"/>
      <c r="K84" s="1268"/>
      <c r="L84" s="1268"/>
    </row>
    <row r="85" spans="1:28">
      <c r="A85" s="1268"/>
      <c r="B85" s="1268"/>
      <c r="C85" s="3937"/>
      <c r="D85" s="3937"/>
      <c r="E85" s="3937"/>
      <c r="F85" s="3937"/>
      <c r="G85" s="3937"/>
      <c r="H85" s="3937"/>
      <c r="I85" s="3937"/>
      <c r="J85" s="3937"/>
      <c r="K85" s="3937"/>
      <c r="L85" s="3937"/>
      <c r="M85" s="3109"/>
      <c r="N85" s="3109"/>
      <c r="O85" s="3109"/>
      <c r="P85" s="3109"/>
      <c r="Q85" s="3109"/>
    </row>
    <row r="86" spans="1:28">
      <c r="A86" s="1268"/>
      <c r="B86" s="1268"/>
      <c r="C86" s="3937"/>
      <c r="D86" s="3937"/>
      <c r="E86" s="3937"/>
      <c r="F86" s="3937"/>
      <c r="G86" s="3937"/>
      <c r="H86" s="3937"/>
      <c r="I86" s="3937"/>
      <c r="J86" s="3937"/>
      <c r="K86" s="3937"/>
      <c r="L86" s="3937"/>
      <c r="M86" s="3109"/>
      <c r="N86" s="3109"/>
      <c r="O86" s="3109"/>
      <c r="P86" s="3109"/>
      <c r="Q86" s="3109"/>
    </row>
    <row r="87" spans="1:28">
      <c r="A87" s="1268"/>
      <c r="B87" s="1268"/>
      <c r="C87" s="3937"/>
      <c r="D87" s="3937"/>
      <c r="E87" s="3937"/>
      <c r="F87" s="3937"/>
      <c r="G87" s="3937"/>
      <c r="H87" s="3937"/>
      <c r="I87" s="3937"/>
      <c r="J87" s="3937"/>
      <c r="K87" s="3937"/>
      <c r="L87" s="3937"/>
      <c r="M87" s="3109"/>
      <c r="N87" s="3109"/>
      <c r="O87" s="3109"/>
      <c r="P87" s="3109"/>
      <c r="Q87" s="3109"/>
    </row>
    <row r="88" spans="1:28">
      <c r="C88" s="3109"/>
      <c r="D88" s="3109"/>
      <c r="E88" s="3109"/>
      <c r="F88" s="3109"/>
      <c r="G88" s="3109"/>
      <c r="H88" s="3109"/>
      <c r="I88" s="3109"/>
      <c r="J88" s="3109"/>
      <c r="K88" s="3109"/>
      <c r="L88" s="3109"/>
      <c r="M88" s="3109"/>
      <c r="N88" s="3109"/>
      <c r="O88" s="3109"/>
      <c r="P88" s="3109"/>
      <c r="Q88" s="3109"/>
    </row>
    <row r="89" spans="1:28">
      <c r="C89" s="3109"/>
      <c r="D89" s="3109"/>
      <c r="E89" s="3109"/>
      <c r="F89" s="3109"/>
      <c r="G89" s="3109"/>
      <c r="H89" s="3109"/>
      <c r="I89" s="3109"/>
      <c r="J89" s="3109"/>
      <c r="K89" s="3109"/>
      <c r="L89" s="3109"/>
      <c r="M89" s="3109"/>
      <c r="N89" s="3109"/>
      <c r="O89" s="3109"/>
      <c r="P89" s="3109"/>
      <c r="Q89" s="3109"/>
    </row>
    <row r="90" spans="1:28">
      <c r="C90" s="3109"/>
      <c r="D90" s="3109"/>
      <c r="E90" s="3109"/>
      <c r="F90" s="3109"/>
      <c r="G90" s="3109"/>
      <c r="H90" s="3109"/>
      <c r="I90" s="3109"/>
      <c r="J90" s="3109"/>
      <c r="K90" s="3109"/>
      <c r="L90" s="3109"/>
      <c r="M90" s="3109"/>
      <c r="N90" s="3109"/>
      <c r="O90" s="3109"/>
      <c r="P90" s="3109"/>
      <c r="Q90" s="3109"/>
    </row>
    <row r="91" spans="1:28">
      <c r="C91" s="3109"/>
      <c r="D91" s="3109"/>
      <c r="E91" s="3109"/>
      <c r="F91" s="3109"/>
      <c r="G91" s="3109"/>
      <c r="H91" s="3109"/>
      <c r="I91" s="3109"/>
      <c r="J91" s="3109"/>
      <c r="K91" s="3109"/>
      <c r="L91" s="3109"/>
      <c r="M91" s="3109"/>
      <c r="N91" s="3109"/>
      <c r="O91" s="3109"/>
      <c r="P91" s="3109"/>
      <c r="Q91" s="3109"/>
    </row>
    <row r="92" spans="1:28">
      <c r="C92" s="3109"/>
      <c r="D92" s="3109"/>
      <c r="E92" s="3109"/>
      <c r="F92" s="3109"/>
      <c r="G92" s="3109"/>
      <c r="H92" s="3109"/>
      <c r="I92" s="3109"/>
      <c r="J92" s="3109"/>
      <c r="K92" s="3109"/>
      <c r="L92" s="3109"/>
      <c r="M92" s="3109"/>
      <c r="N92" s="3109"/>
      <c r="O92" s="3109"/>
      <c r="P92" s="3109"/>
      <c r="Q92" s="3109"/>
    </row>
    <row r="93" spans="1:28">
      <c r="C93" s="3109"/>
      <c r="D93" s="3109"/>
      <c r="E93" s="3109"/>
      <c r="F93" s="3109"/>
      <c r="G93" s="3109"/>
      <c r="H93" s="3109"/>
      <c r="I93" s="3109"/>
      <c r="J93" s="3109"/>
      <c r="K93" s="3109"/>
      <c r="L93" s="3109"/>
      <c r="M93" s="3109"/>
      <c r="N93" s="3109"/>
      <c r="O93" s="3109"/>
      <c r="P93" s="3109"/>
      <c r="Q93" s="3109"/>
    </row>
    <row r="94" spans="1:28">
      <c r="C94" s="3109"/>
      <c r="D94" s="3109"/>
      <c r="E94" s="3109"/>
      <c r="F94" s="3109"/>
      <c r="G94" s="3109"/>
      <c r="H94" s="3109"/>
      <c r="I94" s="3109"/>
      <c r="J94" s="3109"/>
      <c r="K94" s="3109"/>
      <c r="L94" s="3109"/>
      <c r="M94" s="3109"/>
      <c r="N94" s="3109"/>
      <c r="O94" s="3109"/>
      <c r="P94" s="3109"/>
      <c r="Q94" s="3109"/>
    </row>
    <row r="95" spans="1:28">
      <c r="C95" s="3109"/>
      <c r="D95" s="3109"/>
      <c r="E95" s="3109"/>
      <c r="F95" s="3109"/>
      <c r="G95" s="3109"/>
      <c r="H95" s="3109"/>
      <c r="I95" s="3109"/>
      <c r="J95" s="3109"/>
      <c r="K95" s="3109"/>
      <c r="L95" s="3109"/>
      <c r="M95" s="3109"/>
      <c r="N95" s="3109"/>
      <c r="O95" s="3109"/>
      <c r="P95" s="3109"/>
      <c r="Q95" s="3109"/>
    </row>
    <row r="96" spans="1:28">
      <c r="C96" s="3109"/>
    </row>
    <row r="97" spans="3:3">
      <c r="C97" s="3109"/>
    </row>
    <row r="116" spans="2:2" ht="15.75">
      <c r="B116" s="86"/>
    </row>
  </sheetData>
  <mergeCells count="35">
    <mergeCell ref="M52:Q52"/>
    <mergeCell ref="C36:L36"/>
    <mergeCell ref="C37:L37"/>
    <mergeCell ref="B69:B72"/>
    <mergeCell ref="C69:G69"/>
    <mergeCell ref="H69:L69"/>
    <mergeCell ref="B52:B55"/>
    <mergeCell ref="C52:G52"/>
    <mergeCell ref="H52:L52"/>
    <mergeCell ref="C70:L70"/>
    <mergeCell ref="C71:L71"/>
    <mergeCell ref="B12:I12"/>
    <mergeCell ref="K19:Q19"/>
    <mergeCell ref="C53:J53"/>
    <mergeCell ref="K53:Q53"/>
    <mergeCell ref="C54:J54"/>
    <mergeCell ref="K54:Q54"/>
    <mergeCell ref="M17:Q17"/>
    <mergeCell ref="B35:B38"/>
    <mergeCell ref="C35:G35"/>
    <mergeCell ref="H35:L35"/>
    <mergeCell ref="B17:B20"/>
    <mergeCell ref="C17:G17"/>
    <mergeCell ref="H17:L17"/>
    <mergeCell ref="C18:J18"/>
    <mergeCell ref="K18:Q18"/>
    <mergeCell ref="C19:J19"/>
    <mergeCell ref="U54:AB54"/>
    <mergeCell ref="U52:Y52"/>
    <mergeCell ref="Z52:AB52"/>
    <mergeCell ref="U53:AB53"/>
    <mergeCell ref="U17:Y17"/>
    <mergeCell ref="Z17:AB17"/>
    <mergeCell ref="U18:AB18"/>
    <mergeCell ref="U19:AB19"/>
  </mergeCells>
  <pageMargins left="0.74803149606299213" right="0.74803149606299213" top="0.98425196850393704" bottom="0.98425196850393704" header="0.51181102362204722" footer="0.51181102362204722"/>
  <pageSetup paperSize="9" scale="42" fitToHeight="3" orientation="landscape" r:id="rId1"/>
  <headerFooter alignWithMargins="0">
    <oddFooter>&amp;L&amp;D&amp;C&amp; Pro Forma: &amp;A
&amp;F&amp;R&amp;P o&amp;Of &amp;N</oddFooter>
  </headerFooter>
  <customProperties>
    <customPr name="layoutContexts" r:id="rId2"/>
    <customPr name="SaveUndoMode" r:id="rId3"/>
  </customProperties>
  <drawing r:id="rId4"/>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92D050"/>
    <pageSetUpPr autoPageBreaks="0" fitToPage="1"/>
  </sheetPr>
  <dimension ref="A1:AC96"/>
  <sheetViews>
    <sheetView showGridLines="0" zoomScale="70" zoomScaleNormal="70" workbookViewId="0">
      <selection activeCell="E36" sqref="E36"/>
    </sheetView>
  </sheetViews>
  <sheetFormatPr defaultColWidth="9.140625" defaultRowHeight="12.75" outlineLevelRow="2"/>
  <cols>
    <col min="1" max="1" width="15.42578125" style="94" customWidth="1"/>
    <col min="2" max="2" width="54.140625" style="94" customWidth="1"/>
    <col min="3" max="6" width="15.7109375" style="94" customWidth="1"/>
    <col min="7" max="7" width="23" style="94" customWidth="1"/>
    <col min="8" max="10" width="8.7109375"/>
    <col min="11" max="13" width="18.28515625" style="1266" customWidth="1"/>
    <col min="14" max="29" width="8.7109375" customWidth="1"/>
    <col min="30" max="16384" width="9.140625" style="94"/>
  </cols>
  <sheetData>
    <row r="1" spans="1:29" s="217" customFormat="1" ht="24" customHeight="1">
      <c r="B1" s="2272" t="str">
        <f>IF(dms_DataQuality="backcast",INDEX(dms_Worksheet_List,MATCH(dms_Model,dms_Model_List))&amp;" BACKCAST",INDEX(dms_Worksheet_List,MATCH(dms_Model,dms_Model_List)))</f>
        <v>REGULATORY REPORTING STATEMENT</v>
      </c>
      <c r="C1" s="518"/>
      <c r="D1" s="518"/>
      <c r="E1" s="518"/>
      <c r="F1" s="518"/>
      <c r="G1" s="518"/>
      <c r="H1" s="518"/>
      <c r="I1" s="518"/>
      <c r="J1" s="518"/>
      <c r="K1" s="518"/>
      <c r="L1" s="518"/>
      <c r="M1" s="518"/>
      <c r="N1"/>
      <c r="O1"/>
      <c r="P1"/>
      <c r="Q1"/>
      <c r="R1"/>
      <c r="S1"/>
      <c r="T1"/>
      <c r="U1"/>
      <c r="V1"/>
      <c r="W1"/>
      <c r="X1"/>
      <c r="Y1"/>
      <c r="Z1"/>
      <c r="AA1"/>
      <c r="AB1"/>
      <c r="AC1"/>
    </row>
    <row r="2" spans="1:29" s="217" customFormat="1" ht="24" customHeight="1">
      <c r="B2" s="2277" t="str">
        <f>INDEX(dms_TradingNameFull_List,MATCH(dms_TradingName,dms_TradingName_List))</f>
        <v>Multinet Gas (DB No.1) Pty Ltd (ACN 086 026 986), Multinet Gas (DB No.2) Pty Ltd (ACN 086 230 122)</v>
      </c>
      <c r="C2" s="220"/>
      <c r="D2" s="220"/>
      <c r="E2" s="220"/>
      <c r="F2" s="220"/>
      <c r="G2" s="220"/>
      <c r="H2" s="1267"/>
      <c r="I2" s="1267"/>
      <c r="J2" s="1267"/>
      <c r="K2" s="1267"/>
      <c r="L2" s="1267"/>
      <c r="M2" s="1267"/>
      <c r="N2"/>
      <c r="O2"/>
      <c r="P2"/>
      <c r="Q2"/>
      <c r="R2"/>
      <c r="S2"/>
      <c r="T2"/>
      <c r="U2"/>
      <c r="V2"/>
      <c r="W2"/>
      <c r="X2"/>
      <c r="Y2"/>
      <c r="Z2"/>
      <c r="AA2"/>
      <c r="AB2"/>
      <c r="AC2"/>
    </row>
    <row r="3" spans="1:29" s="217" customFormat="1" ht="24" customHeight="1">
      <c r="B3" s="2277" t="str">
        <f ca="1">IF(SUM(dms_SingleYear_Model)&gt;0,CRY,CONCATENATE(FRCP_y1," to ",dms_MultiYear_FinalYear_Result))</f>
        <v>2018 to 2022</v>
      </c>
      <c r="C3" s="221"/>
      <c r="D3" s="221"/>
      <c r="E3" s="221"/>
      <c r="F3" s="221"/>
      <c r="G3" s="221"/>
      <c r="H3" s="1265"/>
      <c r="I3" s="1265"/>
      <c r="J3" s="1265"/>
      <c r="K3" s="1265"/>
      <c r="L3" s="1265"/>
      <c r="M3" s="1265"/>
      <c r="N3"/>
      <c r="O3"/>
      <c r="P3"/>
      <c r="Q3"/>
      <c r="R3"/>
      <c r="S3"/>
      <c r="T3"/>
      <c r="U3"/>
      <c r="V3"/>
      <c r="W3"/>
      <c r="X3"/>
      <c r="Y3"/>
      <c r="Z3"/>
      <c r="AA3"/>
      <c r="AB3"/>
      <c r="AC3"/>
    </row>
    <row r="4" spans="1:29" s="159" customFormat="1" ht="24" customHeight="1">
      <c r="B4" s="10" t="s">
        <v>373</v>
      </c>
      <c r="C4" s="12"/>
      <c r="D4" s="12"/>
      <c r="E4" s="12"/>
      <c r="F4" s="12"/>
      <c r="G4" s="12"/>
      <c r="H4" s="12"/>
      <c r="I4" s="12"/>
      <c r="J4" s="12"/>
      <c r="K4" s="12"/>
      <c r="L4" s="12"/>
      <c r="M4" s="12"/>
      <c r="N4"/>
      <c r="O4"/>
      <c r="P4"/>
      <c r="Q4"/>
      <c r="R4"/>
      <c r="S4"/>
      <c r="T4"/>
      <c r="U4"/>
      <c r="V4"/>
      <c r="W4"/>
      <c r="X4"/>
      <c r="Y4"/>
      <c r="Z4"/>
      <c r="AA4"/>
      <c r="AB4"/>
      <c r="AC4"/>
    </row>
    <row r="5" spans="1:29" customFormat="1" ht="12.75" customHeight="1"/>
    <row r="6" spans="1:29" customFormat="1"/>
    <row r="7" spans="1:29">
      <c r="A7" s="725"/>
      <c r="B7" s="103" t="s">
        <v>61</v>
      </c>
      <c r="C7" s="109"/>
      <c r="D7" s="109"/>
      <c r="E7" s="109"/>
      <c r="F7" s="109"/>
      <c r="G7" s="725"/>
      <c r="K7"/>
      <c r="L7"/>
      <c r="M7"/>
    </row>
    <row r="8" spans="1:29">
      <c r="A8" s="725"/>
      <c r="B8" s="104" t="s">
        <v>5</v>
      </c>
      <c r="C8" s="109"/>
      <c r="D8" s="109"/>
      <c r="E8" s="109"/>
      <c r="F8" s="109"/>
      <c r="G8" s="725"/>
      <c r="K8"/>
      <c r="L8"/>
      <c r="M8"/>
    </row>
    <row r="9" spans="1:29" s="77" customFormat="1" ht="30.75" customHeight="1">
      <c r="A9" s="299"/>
      <c r="B9" s="4441" t="s">
        <v>243</v>
      </c>
      <c r="C9" s="4441"/>
      <c r="D9" s="4441"/>
      <c r="E9" s="4441"/>
      <c r="F9" s="4441"/>
      <c r="G9" s="299"/>
      <c r="H9"/>
      <c r="I9"/>
      <c r="J9"/>
      <c r="K9"/>
      <c r="L9"/>
      <c r="M9"/>
      <c r="N9"/>
      <c r="O9"/>
      <c r="P9"/>
      <c r="Q9"/>
      <c r="R9"/>
      <c r="S9"/>
      <c r="T9"/>
      <c r="U9"/>
      <c r="V9"/>
      <c r="W9"/>
      <c r="X9"/>
      <c r="Y9"/>
      <c r="Z9"/>
      <c r="AA9"/>
      <c r="AB9"/>
      <c r="AC9"/>
    </row>
    <row r="10" spans="1:29" s="77" customFormat="1">
      <c r="A10" s="299"/>
      <c r="B10" s="111" t="s">
        <v>13</v>
      </c>
      <c r="C10" s="104"/>
      <c r="D10" s="104"/>
      <c r="E10" s="109"/>
      <c r="F10" s="109"/>
      <c r="G10" s="299"/>
      <c r="H10"/>
      <c r="I10"/>
      <c r="J10"/>
      <c r="K10"/>
      <c r="L10"/>
      <c r="M10"/>
      <c r="N10"/>
      <c r="O10"/>
      <c r="P10"/>
      <c r="Q10"/>
      <c r="R10"/>
      <c r="S10"/>
      <c r="T10"/>
      <c r="U10"/>
      <c r="V10"/>
      <c r="W10"/>
      <c r="X10"/>
      <c r="Y10"/>
      <c r="Z10"/>
      <c r="AA10"/>
      <c r="AB10"/>
      <c r="AC10"/>
    </row>
    <row r="11" spans="1:29">
      <c r="A11" s="725"/>
      <c r="B11" s="725"/>
      <c r="C11" s="725"/>
      <c r="D11" s="725"/>
      <c r="E11" s="725"/>
      <c r="F11" s="725"/>
      <c r="G11" s="725"/>
      <c r="K11"/>
      <c r="L11"/>
      <c r="M11"/>
    </row>
    <row r="12" spans="1:29" s="78" customFormat="1" ht="26.25" customHeight="1" thickBot="1">
      <c r="A12" s="516"/>
      <c r="B12" s="80"/>
      <c r="C12" s="516"/>
      <c r="D12" s="516"/>
      <c r="E12" s="516"/>
      <c r="F12" s="516"/>
      <c r="G12" s="516"/>
      <c r="H12"/>
      <c r="I12"/>
      <c r="J12"/>
      <c r="K12" s="516"/>
      <c r="L12" s="516"/>
      <c r="M12" s="516"/>
      <c r="N12"/>
      <c r="O12"/>
      <c r="P12"/>
      <c r="Q12"/>
      <c r="R12"/>
      <c r="S12"/>
      <c r="T12"/>
      <c r="U12"/>
      <c r="V12"/>
      <c r="W12"/>
      <c r="X12"/>
      <c r="Y12"/>
      <c r="Z12"/>
      <c r="AA12"/>
      <c r="AB12"/>
      <c r="AC12"/>
    </row>
    <row r="13" spans="1:29" s="136" customFormat="1" ht="18.75" thickBot="1">
      <c r="A13" s="1268"/>
      <c r="B13" s="769" t="s">
        <v>528</v>
      </c>
      <c r="C13" s="770"/>
      <c r="D13" s="770"/>
      <c r="E13" s="770"/>
      <c r="F13" s="770"/>
      <c r="G13" s="1380"/>
      <c r="H13" s="1385"/>
      <c r="I13" s="1386"/>
      <c r="J13" s="1386"/>
      <c r="K13" s="769" t="s">
        <v>674</v>
      </c>
      <c r="L13" s="770"/>
      <c r="M13" s="1380"/>
    </row>
    <row r="14" spans="1:29" s="136" customFormat="1" ht="18.75" thickBot="1">
      <c r="A14" s="1268"/>
      <c r="B14" s="1372" t="s">
        <v>529</v>
      </c>
      <c r="C14" s="1379"/>
      <c r="D14" s="1379"/>
      <c r="E14" s="1379"/>
      <c r="F14" s="1379"/>
      <c r="G14" s="1381"/>
      <c r="H14" s="1385"/>
      <c r="I14" s="1386"/>
      <c r="J14" s="1386"/>
      <c r="K14" s="1878"/>
      <c r="L14" s="1379"/>
      <c r="M14" s="1381"/>
    </row>
    <row r="15" spans="1:29" ht="15.75" customHeight="1">
      <c r="A15" s="725"/>
      <c r="B15" s="706"/>
      <c r="C15" s="4591" t="s">
        <v>37</v>
      </c>
      <c r="D15" s="4583"/>
      <c r="E15" s="4583"/>
      <c r="F15" s="4583"/>
      <c r="G15" s="4584"/>
      <c r="K15" s="4582" t="s">
        <v>37</v>
      </c>
      <c r="L15" s="4583"/>
      <c r="M15" s="4584"/>
    </row>
    <row r="16" spans="1:29" ht="15" customHeight="1">
      <c r="A16" s="725"/>
      <c r="B16" s="550"/>
      <c r="C16" s="4585" t="s">
        <v>569</v>
      </c>
      <c r="D16" s="4586"/>
      <c r="E16" s="4588"/>
      <c r="F16" s="4589" t="str">
        <f>CONCATENATE("$0's, real ",dms_DollarReal)</f>
        <v>$0's, real December 2017</v>
      </c>
      <c r="G16" s="4592"/>
      <c r="K16" s="4585" t="str">
        <f>CONCATENATE("$0's, real ",dms_DollarReal)</f>
        <v>$0's, real December 2017</v>
      </c>
      <c r="L16" s="4586"/>
      <c r="M16" s="4587"/>
    </row>
    <row r="17" spans="1:13" ht="12.75" customHeight="1">
      <c r="A17" s="725"/>
      <c r="B17" s="550"/>
      <c r="C17" s="4585" t="s">
        <v>56</v>
      </c>
      <c r="D17" s="4586"/>
      <c r="E17" s="4588"/>
      <c r="F17" s="4589" t="s">
        <v>57</v>
      </c>
      <c r="G17" s="4592"/>
      <c r="K17" s="4585" t="s">
        <v>56</v>
      </c>
      <c r="L17" s="4586"/>
      <c r="M17" s="4587"/>
    </row>
    <row r="18" spans="1:13" ht="15.75" outlineLevel="1" thickBot="1">
      <c r="A18" s="725"/>
      <c r="B18" s="551"/>
      <c r="C18" s="375">
        <f>CRCP_y1</f>
        <v>2013</v>
      </c>
      <c r="D18" s="374">
        <f>CRCP_y2</f>
        <v>2014</v>
      </c>
      <c r="E18" s="374">
        <f>CRCP_y3</f>
        <v>2015</v>
      </c>
      <c r="F18" s="374">
        <f>CRCP_y4</f>
        <v>2016</v>
      </c>
      <c r="G18" s="470">
        <f>CRCP_y5</f>
        <v>2017</v>
      </c>
      <c r="K18" s="1521">
        <f>CRCP_y1</f>
        <v>2013</v>
      </c>
      <c r="L18" s="374">
        <f>CRCP_y2</f>
        <v>2014</v>
      </c>
      <c r="M18" s="470">
        <f>CRCP_y3</f>
        <v>2015</v>
      </c>
    </row>
    <row r="19" spans="1:13" s="1266" customFormat="1" ht="30" customHeight="1">
      <c r="A19" s="1268"/>
      <c r="B19" s="1388" t="s">
        <v>375</v>
      </c>
      <c r="C19" s="1389"/>
      <c r="D19" s="1389"/>
      <c r="E19" s="1389"/>
      <c r="F19" s="1389"/>
      <c r="G19" s="1395"/>
      <c r="H19" s="1268"/>
      <c r="K19" s="1388"/>
      <c r="L19" s="1389"/>
      <c r="M19" s="1395"/>
    </row>
    <row r="20" spans="1:13" ht="14.25" outlineLevel="2">
      <c r="A20" s="725"/>
      <c r="B20" s="763" t="s">
        <v>51</v>
      </c>
      <c r="C20" s="2984">
        <f t="shared" ref="C20:C26" si="0">SUM(C50,C58,C66,C74,C82,C90)</f>
        <v>11215394</v>
      </c>
      <c r="D20" s="2985">
        <f t="shared" ref="D20:G20" si="1">SUM(D50,D58,D66,D74,D82,D90)</f>
        <v>13933854.838029221</v>
      </c>
      <c r="E20" s="2985">
        <f t="shared" si="1"/>
        <v>10363332.038644154</v>
      </c>
      <c r="F20" s="2985">
        <f t="shared" si="1"/>
        <v>7008486.7253191536</v>
      </c>
      <c r="G20" s="2986">
        <f t="shared" si="1"/>
        <v>8392486.7253191546</v>
      </c>
      <c r="K20" s="1390">
        <f t="shared" ref="K20:M20" si="2">SUM(K50,K58,K66,K74,K82,K90)</f>
        <v>0</v>
      </c>
      <c r="L20" s="1391">
        <f t="shared" si="2"/>
        <v>0</v>
      </c>
      <c r="M20" s="1396">
        <f t="shared" si="2"/>
        <v>0</v>
      </c>
    </row>
    <row r="21" spans="1:13" ht="15" customHeight="1" outlineLevel="2">
      <c r="A21" s="725"/>
      <c r="B21" s="1392" t="s">
        <v>184</v>
      </c>
      <c r="C21" s="2987">
        <f t="shared" si="0"/>
        <v>-522915.19</v>
      </c>
      <c r="D21" s="2988">
        <f t="shared" ref="D21:G21" si="3">SUM(D51,D59,D67,D75,D83,D91)</f>
        <v>-5380924.3036515843</v>
      </c>
      <c r="E21" s="2988">
        <f t="shared" si="3"/>
        <v>-7344226.1614999995</v>
      </c>
      <c r="F21" s="2988">
        <f t="shared" ref="F21" si="4">SUM(F51,F59,F67,F75,F83,F91)</f>
        <v>-1789029.30507</v>
      </c>
      <c r="G21" s="2989">
        <f t="shared" si="3"/>
        <v>0</v>
      </c>
      <c r="K21" s="1393">
        <f t="shared" ref="K21:M21" si="5">SUM(K51,K59,K67,K75,K83,K91)</f>
        <v>0</v>
      </c>
      <c r="L21" s="710">
        <f t="shared" si="5"/>
        <v>0</v>
      </c>
      <c r="M21" s="1397">
        <f t="shared" si="5"/>
        <v>0</v>
      </c>
    </row>
    <row r="22" spans="1:13" ht="15" customHeight="1" outlineLevel="2">
      <c r="A22" s="725"/>
      <c r="B22" s="1392" t="s">
        <v>185</v>
      </c>
      <c r="C22" s="2987">
        <f t="shared" si="0"/>
        <v>-175400</v>
      </c>
      <c r="D22" s="2988">
        <f t="shared" ref="D22:G22" si="6">SUM(D52,D60,D68,D76,D84,D92)</f>
        <v>-236848.89573347999</v>
      </c>
      <c r="E22" s="2988">
        <f t="shared" si="6"/>
        <v>-323242.56182499998</v>
      </c>
      <c r="F22" s="2988">
        <f t="shared" ref="F22" si="7">SUM(F52,F60,F68,F76,F84,F92)</f>
        <v>0</v>
      </c>
      <c r="G22" s="2989">
        <f t="shared" si="6"/>
        <v>0</v>
      </c>
      <c r="K22" s="1393">
        <f t="shared" ref="K22:M22" si="8">SUM(K52,K60,K68,K76,K84,K92)</f>
        <v>0</v>
      </c>
      <c r="L22" s="710">
        <f t="shared" si="8"/>
        <v>0</v>
      </c>
      <c r="M22" s="1397">
        <f t="shared" si="8"/>
        <v>0</v>
      </c>
    </row>
    <row r="23" spans="1:13" ht="15" customHeight="1" outlineLevel="2">
      <c r="A23" s="725"/>
      <c r="B23" s="1392" t="s">
        <v>186</v>
      </c>
      <c r="C23" s="2987">
        <f t="shared" si="0"/>
        <v>2876813.5480292202</v>
      </c>
      <c r="D23" s="2988">
        <f t="shared" ref="D23:G23" si="9">SUM(D53,D61,D69,D77,D85,D93)</f>
        <v>1770685.0399999991</v>
      </c>
      <c r="E23" s="2988">
        <f t="shared" si="9"/>
        <v>3991029.399999998</v>
      </c>
      <c r="F23" s="2988">
        <f t="shared" ref="F23" si="10">SUM(F53,F61,F69,F77,F85,F93)</f>
        <v>3173029.3050699998</v>
      </c>
      <c r="G23" s="2989">
        <f t="shared" si="9"/>
        <v>0</v>
      </c>
      <c r="K23" s="1393">
        <f t="shared" ref="K23:M23" si="11">SUM(K53,K61,K69,K77,K85,K93)</f>
        <v>0</v>
      </c>
      <c r="L23" s="710">
        <f t="shared" si="11"/>
        <v>0</v>
      </c>
      <c r="M23" s="1397">
        <f t="shared" si="11"/>
        <v>0</v>
      </c>
    </row>
    <row r="24" spans="1:13" ht="15" customHeight="1" outlineLevel="2">
      <c r="A24" s="725"/>
      <c r="B24" s="1392" t="s">
        <v>187</v>
      </c>
      <c r="C24" s="2987">
        <f t="shared" si="0"/>
        <v>539962.48</v>
      </c>
      <c r="D24" s="2988">
        <f t="shared" ref="D24:G24" si="12">SUM(D54,D62,D70,D78,D86,D94)</f>
        <v>276565.36</v>
      </c>
      <c r="E24" s="2988">
        <f t="shared" si="12"/>
        <v>321594.01</v>
      </c>
      <c r="F24" s="2988">
        <f t="shared" ref="F24" si="13">SUM(F54,F62,F70,F78,F86,F94)</f>
        <v>0</v>
      </c>
      <c r="G24" s="2989">
        <f t="shared" si="12"/>
        <v>0</v>
      </c>
      <c r="K24" s="1393">
        <f t="shared" ref="K24:M24" si="14">SUM(K54,K62,K70,K78,K86,K94)</f>
        <v>0</v>
      </c>
      <c r="L24" s="710">
        <f t="shared" si="14"/>
        <v>0</v>
      </c>
      <c r="M24" s="1397">
        <f t="shared" si="14"/>
        <v>0</v>
      </c>
    </row>
    <row r="25" spans="1:13" ht="14.25" outlineLevel="2">
      <c r="A25" s="725"/>
      <c r="B25" s="1392" t="s">
        <v>52</v>
      </c>
      <c r="C25" s="2987">
        <f t="shared" si="0"/>
        <v>0</v>
      </c>
      <c r="D25" s="2988">
        <f t="shared" ref="D25:G25" si="15">SUM(D55,D63,D71,D79,D87,D95)</f>
        <v>0</v>
      </c>
      <c r="E25" s="2988">
        <f t="shared" si="15"/>
        <v>0</v>
      </c>
      <c r="F25" s="2988">
        <f t="shared" ref="F25" si="16">SUM(F55,F63,F71,F79,F87,F95)</f>
        <v>0</v>
      </c>
      <c r="G25" s="2989">
        <f t="shared" si="15"/>
        <v>0</v>
      </c>
      <c r="K25" s="1393">
        <f t="shared" ref="K25:M25" si="17">SUM(K55,K63,K71,K79,K87,K95)</f>
        <v>0</v>
      </c>
      <c r="L25" s="710">
        <f t="shared" si="17"/>
        <v>0</v>
      </c>
      <c r="M25" s="1397">
        <f t="shared" si="17"/>
        <v>0</v>
      </c>
    </row>
    <row r="26" spans="1:13" ht="14.25" outlineLevel="2">
      <c r="A26" s="725"/>
      <c r="B26" s="1362" t="s">
        <v>53</v>
      </c>
      <c r="C26" s="2987">
        <f t="shared" si="0"/>
        <v>13933854.838029221</v>
      </c>
      <c r="D26" s="2988">
        <f t="shared" ref="D26:G26" si="18">SUM(D56,D64,D72,D80,D88,D96)</f>
        <v>10363332.038644154</v>
      </c>
      <c r="E26" s="2988">
        <f t="shared" si="18"/>
        <v>7008486.7253191536</v>
      </c>
      <c r="F26" s="2988">
        <f t="shared" si="18"/>
        <v>8392486.7253191546</v>
      </c>
      <c r="G26" s="2989">
        <f t="shared" si="18"/>
        <v>8392486.7253191546</v>
      </c>
      <c r="K26" s="1393">
        <f t="shared" ref="K26:M26" si="19">SUM(K56,K64,K72,K80,K88,K96)</f>
        <v>0</v>
      </c>
      <c r="L26" s="710">
        <f t="shared" si="19"/>
        <v>0</v>
      </c>
      <c r="M26" s="1397">
        <f t="shared" si="19"/>
        <v>0</v>
      </c>
    </row>
    <row r="27" spans="1:13" ht="15" outlineLevel="1" thickBot="1">
      <c r="A27" s="725"/>
      <c r="B27" s="1377" t="s">
        <v>54</v>
      </c>
      <c r="C27" s="2990">
        <f>SUM(C21:C25)</f>
        <v>2718460.8380292202</v>
      </c>
      <c r="D27" s="2991">
        <f t="shared" ref="D27:G27" si="20">SUM(D21:D25)</f>
        <v>-3570522.7993850657</v>
      </c>
      <c r="E27" s="2991">
        <f t="shared" si="20"/>
        <v>-3354845.3133250009</v>
      </c>
      <c r="F27" s="2991">
        <f t="shared" si="20"/>
        <v>1383999.9999999998</v>
      </c>
      <c r="G27" s="2992">
        <f t="shared" si="20"/>
        <v>0</v>
      </c>
      <c r="K27" s="1888">
        <f t="shared" ref="K27:M27" si="21">SUM(K21:K25)</f>
        <v>0</v>
      </c>
      <c r="L27" s="741">
        <f t="shared" si="21"/>
        <v>0</v>
      </c>
      <c r="M27" s="1398">
        <f t="shared" si="21"/>
        <v>0</v>
      </c>
    </row>
    <row r="28" spans="1:13" s="1266" customFormat="1" ht="30" customHeight="1">
      <c r="A28" s="1268"/>
      <c r="B28" s="1388" t="s">
        <v>530</v>
      </c>
      <c r="C28" s="1389"/>
      <c r="D28" s="1389"/>
      <c r="E28" s="1389"/>
      <c r="F28" s="1389"/>
      <c r="G28" s="1395"/>
      <c r="H28" s="1268"/>
      <c r="K28" s="1388"/>
      <c r="L28" s="1389"/>
      <c r="M28" s="1395"/>
    </row>
    <row r="29" spans="1:13" ht="14.25" outlineLevel="1">
      <c r="A29" s="725"/>
      <c r="B29" s="1394" t="s">
        <v>376</v>
      </c>
      <c r="C29" s="2987">
        <f>SUM(C21,C23)</f>
        <v>2353898.3580292203</v>
      </c>
      <c r="D29" s="2988">
        <f t="shared" ref="D29:G29" si="22">SUM(D21,D23)</f>
        <v>-3610239.2636515852</v>
      </c>
      <c r="E29" s="2988">
        <f t="shared" si="22"/>
        <v>-3353196.7615000014</v>
      </c>
      <c r="F29" s="2988">
        <f t="shared" si="22"/>
        <v>1383999.9999999998</v>
      </c>
      <c r="G29" s="2989">
        <f t="shared" si="22"/>
        <v>0</v>
      </c>
      <c r="K29" s="1393">
        <f t="shared" ref="K29:M29" si="23">SUM(K21,K23)</f>
        <v>0</v>
      </c>
      <c r="L29" s="710">
        <f t="shared" si="23"/>
        <v>0</v>
      </c>
      <c r="M29" s="1397">
        <f t="shared" si="23"/>
        <v>0</v>
      </c>
    </row>
    <row r="30" spans="1:13" ht="15" outlineLevel="1" thickBot="1">
      <c r="A30" s="725"/>
      <c r="B30" s="935" t="s">
        <v>38</v>
      </c>
      <c r="C30" s="2987">
        <f t="shared" ref="C30:G30" si="24">SUM(C22,C24)</f>
        <v>364562.48</v>
      </c>
      <c r="D30" s="2988">
        <f t="shared" si="24"/>
        <v>39716.464266519994</v>
      </c>
      <c r="E30" s="2988">
        <f t="shared" si="24"/>
        <v>-1648.5518249999732</v>
      </c>
      <c r="F30" s="2988">
        <f t="shared" si="24"/>
        <v>0</v>
      </c>
      <c r="G30" s="2989">
        <f t="shared" si="24"/>
        <v>0</v>
      </c>
      <c r="K30" s="1393">
        <f t="shared" ref="K30:M30" si="25">SUM(K22,K24)</f>
        <v>0</v>
      </c>
      <c r="L30" s="710">
        <f t="shared" si="25"/>
        <v>0</v>
      </c>
      <c r="M30" s="1397">
        <f t="shared" si="25"/>
        <v>0</v>
      </c>
    </row>
    <row r="31" spans="1:13" s="1266" customFormat="1" ht="30" customHeight="1">
      <c r="A31" s="1268"/>
      <c r="B31" s="1388" t="s">
        <v>532</v>
      </c>
      <c r="C31" s="1389"/>
      <c r="D31" s="1389"/>
      <c r="E31" s="1389"/>
      <c r="F31" s="1389"/>
      <c r="G31" s="1395"/>
      <c r="H31" s="1268"/>
      <c r="K31" s="1388"/>
      <c r="L31" s="1389"/>
      <c r="M31" s="1395"/>
    </row>
    <row r="32" spans="1:13" outlineLevel="2">
      <c r="A32" s="725"/>
      <c r="B32" s="1404" t="str">
        <f>'17. Gross Capex '!B21</f>
        <v>Transmission and distribution</v>
      </c>
      <c r="C32" s="764">
        <f>C22+C24</f>
        <v>364562.48</v>
      </c>
      <c r="D32" s="765">
        <f t="shared" ref="D32:G32" si="26">D22+D24</f>
        <v>39716.464266519994</v>
      </c>
      <c r="E32" s="765">
        <f t="shared" si="26"/>
        <v>-1648.5518249999732</v>
      </c>
      <c r="F32" s="765">
        <f t="shared" si="26"/>
        <v>0</v>
      </c>
      <c r="G32" s="1399">
        <f t="shared" si="26"/>
        <v>0</v>
      </c>
      <c r="K32" s="1889"/>
      <c r="L32" s="1890"/>
      <c r="M32" s="1902"/>
    </row>
    <row r="33" spans="1:29" outlineLevel="2">
      <c r="A33" s="725"/>
      <c r="B33" s="1401" t="str">
        <f>'17. Gross Capex '!B22</f>
        <v>Services</v>
      </c>
      <c r="C33" s="742"/>
      <c r="D33" s="739"/>
      <c r="E33" s="739"/>
      <c r="F33" s="739"/>
      <c r="G33" s="1400"/>
      <c r="K33" s="1891"/>
      <c r="L33" s="1892"/>
      <c r="M33" s="1901"/>
    </row>
    <row r="34" spans="1:29" ht="15" customHeight="1" outlineLevel="2">
      <c r="A34" s="725"/>
      <c r="B34" s="1401" t="str">
        <f>'17. Gross Capex '!B23</f>
        <v>Cathodic Protection</v>
      </c>
      <c r="C34" s="742"/>
      <c r="D34" s="739"/>
      <c r="E34" s="739"/>
      <c r="F34" s="739"/>
      <c r="G34" s="1400"/>
      <c r="K34" s="1891"/>
      <c r="L34" s="1892"/>
      <c r="M34" s="1901"/>
    </row>
    <row r="35" spans="1:29" outlineLevel="2">
      <c r="A35" s="725"/>
      <c r="B35" s="1401" t="str">
        <f>'17. Gross Capex '!B24</f>
        <v>Supply Regs/Valve stations</v>
      </c>
      <c r="C35" s="742"/>
      <c r="D35" s="739"/>
      <c r="E35" s="739"/>
      <c r="F35" s="739"/>
      <c r="G35" s="1400"/>
      <c r="K35" s="1891"/>
      <c r="L35" s="1892"/>
      <c r="M35" s="1901"/>
    </row>
    <row r="36" spans="1:29" outlineLevel="2">
      <c r="A36" s="725"/>
      <c r="B36" s="1401" t="str">
        <f>'17. Gross Capex '!B25</f>
        <v>Meters</v>
      </c>
      <c r="C36" s="742"/>
      <c r="D36" s="739"/>
      <c r="E36" s="739"/>
      <c r="F36" s="739"/>
      <c r="G36" s="1400"/>
      <c r="K36" s="1891"/>
      <c r="L36" s="1892"/>
      <c r="M36" s="1901"/>
    </row>
    <row r="37" spans="1:29" outlineLevel="2">
      <c r="A37" s="725"/>
      <c r="B37" s="1401" t="str">
        <f>'17. Gross Capex '!B26</f>
        <v>Land</v>
      </c>
      <c r="C37" s="742"/>
      <c r="D37" s="739"/>
      <c r="E37" s="739"/>
      <c r="F37" s="739"/>
      <c r="G37" s="1400"/>
      <c r="K37" s="1891"/>
      <c r="L37" s="1892"/>
      <c r="M37" s="1901"/>
    </row>
    <row r="38" spans="1:29" outlineLevel="2">
      <c r="A38" s="725"/>
      <c r="B38" s="1406" t="str">
        <f>'17. Gross Capex '!B27</f>
        <v>IT system</v>
      </c>
      <c r="C38" s="1403"/>
      <c r="D38" s="1405"/>
      <c r="E38" s="1405"/>
      <c r="F38" s="1405"/>
      <c r="G38" s="1402"/>
      <c r="K38" s="1893"/>
      <c r="L38" s="1894"/>
      <c r="M38" s="1903"/>
    </row>
    <row r="39" spans="1:29" outlineLevel="2">
      <c r="A39" s="725"/>
      <c r="B39" s="1401" t="str">
        <f>'17. Gross Capex '!B28</f>
        <v>SCADA</v>
      </c>
      <c r="C39" s="742"/>
      <c r="D39" s="739"/>
      <c r="E39" s="739"/>
      <c r="F39" s="739"/>
      <c r="G39" s="1400"/>
      <c r="K39" s="1889"/>
      <c r="L39" s="1890"/>
      <c r="M39" s="1902"/>
    </row>
    <row r="40" spans="1:29" outlineLevel="2">
      <c r="A40" s="725"/>
      <c r="B40" s="1401" t="str">
        <f>'17. Gross Capex '!B29</f>
        <v>Other</v>
      </c>
      <c r="C40" s="742"/>
      <c r="D40" s="739"/>
      <c r="E40" s="739"/>
      <c r="F40" s="739"/>
      <c r="G40" s="1400"/>
      <c r="K40" s="1891"/>
      <c r="L40" s="1892"/>
      <c r="M40" s="1901"/>
    </row>
    <row r="41" spans="1:29" ht="13.5" outlineLevel="2" thickBot="1">
      <c r="A41" s="725"/>
      <c r="B41" s="1401" t="str">
        <f>'17. Gross Capex '!B30</f>
        <v>Buildings</v>
      </c>
      <c r="C41" s="742"/>
      <c r="D41" s="739"/>
      <c r="E41" s="739"/>
      <c r="F41" s="739"/>
      <c r="G41" s="1400"/>
      <c r="K41" s="1891"/>
      <c r="L41" s="1892"/>
      <c r="M41" s="1901"/>
    </row>
    <row r="42" spans="1:29" s="69" customFormat="1" ht="33.75" customHeight="1" outlineLevel="1" thickBot="1">
      <c r="A42" s="348"/>
      <c r="B42" s="1459" t="s">
        <v>127</v>
      </c>
      <c r="C42" s="687"/>
      <c r="D42" s="301"/>
      <c r="E42" s="301"/>
      <c r="F42" s="301"/>
      <c r="G42" s="436"/>
      <c r="H42"/>
      <c r="I42"/>
      <c r="J42"/>
      <c r="K42" s="1790"/>
      <c r="L42" s="1771"/>
      <c r="M42" s="1774"/>
      <c r="N42"/>
      <c r="O42"/>
      <c r="P42"/>
      <c r="Q42"/>
      <c r="R42"/>
      <c r="S42"/>
      <c r="T42"/>
      <c r="U42"/>
      <c r="V42"/>
      <c r="W42"/>
      <c r="X42"/>
      <c r="Y42"/>
      <c r="Z42"/>
      <c r="AA42"/>
      <c r="AB42"/>
      <c r="AC42"/>
    </row>
    <row r="43" spans="1:29" ht="42" customHeight="1" thickBot="1">
      <c r="A43" s="725"/>
      <c r="B43" s="774"/>
      <c r="C43" s="774"/>
      <c r="D43" s="774"/>
      <c r="E43" s="774"/>
      <c r="F43" s="774"/>
      <c r="G43" s="774"/>
      <c r="K43" s="774"/>
      <c r="L43" s="774"/>
      <c r="M43" s="774"/>
    </row>
    <row r="44" spans="1:29" s="95" customFormat="1" ht="18.75" thickBot="1">
      <c r="A44" s="725"/>
      <c r="B44" s="769" t="s">
        <v>374</v>
      </c>
      <c r="C44" s="770"/>
      <c r="D44" s="770"/>
      <c r="E44" s="770"/>
      <c r="F44" s="770"/>
      <c r="G44" s="1380"/>
      <c r="H44"/>
      <c r="I44"/>
      <c r="J44"/>
      <c r="K44" s="1877"/>
      <c r="L44" s="770"/>
      <c r="M44" s="1380"/>
      <c r="N44"/>
      <c r="O44"/>
      <c r="P44"/>
      <c r="Q44"/>
      <c r="R44"/>
      <c r="S44"/>
      <c r="T44"/>
      <c r="U44"/>
      <c r="V44"/>
      <c r="W44"/>
      <c r="X44"/>
      <c r="Y44"/>
      <c r="Z44"/>
      <c r="AA44"/>
      <c r="AB44"/>
      <c r="AC44"/>
    </row>
    <row r="45" spans="1:29" ht="15.75" customHeight="1">
      <c r="A45" s="725"/>
      <c r="B45" s="706"/>
      <c r="C45" s="4582" t="s">
        <v>37</v>
      </c>
      <c r="D45" s="4583"/>
      <c r="E45" s="4583"/>
      <c r="F45" s="4583"/>
      <c r="G45" s="4584"/>
      <c r="K45" s="4582" t="s">
        <v>37</v>
      </c>
      <c r="L45" s="4583"/>
      <c r="M45" s="4584"/>
    </row>
    <row r="46" spans="1:29" ht="15" customHeight="1">
      <c r="A46" s="725"/>
      <c r="B46" s="550"/>
      <c r="C46" s="4585" t="s">
        <v>569</v>
      </c>
      <c r="D46" s="4586"/>
      <c r="E46" s="4588"/>
      <c r="F46" s="4589" t="str">
        <f>CONCATENATE("$0's, real ",dms_DollarReal)</f>
        <v>$0's, real December 2017</v>
      </c>
      <c r="G46" s="4590"/>
      <c r="K46" s="4585" t="str">
        <f>CONCATENATE("$0's, real ",dms_DollarReal)</f>
        <v>$0's, real December 2017</v>
      </c>
      <c r="L46" s="4586"/>
      <c r="M46" s="4587"/>
    </row>
    <row r="47" spans="1:29" ht="12.75" customHeight="1">
      <c r="A47" s="725"/>
      <c r="B47" s="550"/>
      <c r="C47" s="4585" t="s">
        <v>56</v>
      </c>
      <c r="D47" s="4586"/>
      <c r="E47" s="4588"/>
      <c r="F47" s="4589" t="s">
        <v>57</v>
      </c>
      <c r="G47" s="4590"/>
      <c r="K47" s="4585" t="s">
        <v>56</v>
      </c>
      <c r="L47" s="4586"/>
      <c r="M47" s="4587"/>
    </row>
    <row r="48" spans="1:29" ht="15.75" outlineLevel="1" thickBot="1">
      <c r="A48" s="725"/>
      <c r="B48" s="551"/>
      <c r="C48" s="1521">
        <f>CRCP_y1</f>
        <v>2013</v>
      </c>
      <c r="D48" s="374">
        <f>CRCP_y2</f>
        <v>2014</v>
      </c>
      <c r="E48" s="374">
        <f>CRCP_y3</f>
        <v>2015</v>
      </c>
      <c r="F48" s="374">
        <f>CRCP_y4</f>
        <v>2016</v>
      </c>
      <c r="G48" s="470">
        <f>CRCP_y5</f>
        <v>2017</v>
      </c>
      <c r="K48" s="1521">
        <f>CRCP_y1</f>
        <v>2013</v>
      </c>
      <c r="L48" s="374">
        <f>CRCP_y2</f>
        <v>2014</v>
      </c>
      <c r="M48" s="470">
        <f>CRCP_y3</f>
        <v>2015</v>
      </c>
    </row>
    <row r="49" spans="1:29" s="95" customFormat="1" ht="24.75" customHeight="1" outlineLevel="1">
      <c r="A49" s="725"/>
      <c r="B49" s="2980" t="s">
        <v>1476</v>
      </c>
      <c r="C49" s="767"/>
      <c r="D49" s="768"/>
      <c r="E49" s="768"/>
      <c r="F49" s="768"/>
      <c r="G49" s="1896"/>
      <c r="H49"/>
      <c r="I49"/>
      <c r="J49"/>
      <c r="K49" s="1895"/>
      <c r="L49" s="768"/>
      <c r="M49" s="1896"/>
      <c r="N49"/>
      <c r="O49"/>
      <c r="P49"/>
      <c r="Q49"/>
      <c r="R49"/>
      <c r="S49"/>
      <c r="T49"/>
      <c r="U49"/>
      <c r="V49"/>
      <c r="W49"/>
      <c r="X49"/>
      <c r="Y49"/>
      <c r="Z49"/>
      <c r="AA49"/>
      <c r="AB49"/>
      <c r="AC49"/>
    </row>
    <row r="50" spans="1:29" ht="12.75" customHeight="1" outlineLevel="2">
      <c r="A50" s="725"/>
      <c r="B50" s="2866" t="s">
        <v>51</v>
      </c>
      <c r="C50" s="2982">
        <f>1250*1000</f>
        <v>1250000</v>
      </c>
      <c r="D50" s="762">
        <f>C56</f>
        <v>1250000</v>
      </c>
      <c r="E50" s="762">
        <f>D56</f>
        <v>1250000</v>
      </c>
      <c r="F50" s="762">
        <f>E56</f>
        <v>1250000</v>
      </c>
      <c r="G50" s="3428">
        <f>F56</f>
        <v>1250000</v>
      </c>
      <c r="K50" s="1891"/>
      <c r="L50" s="1899">
        <f>K56</f>
        <v>0</v>
      </c>
      <c r="M50" s="1900">
        <f>K56</f>
        <v>0</v>
      </c>
    </row>
    <row r="51" spans="1:29" ht="15" customHeight="1" outlineLevel="2">
      <c r="A51" s="725"/>
      <c r="B51" s="740" t="s">
        <v>184</v>
      </c>
      <c r="C51" s="2982"/>
      <c r="D51" s="2982"/>
      <c r="E51" s="2982"/>
      <c r="F51" s="2982"/>
      <c r="G51" s="3429"/>
      <c r="K51" s="1891"/>
      <c r="L51" s="1892"/>
      <c r="M51" s="1901"/>
    </row>
    <row r="52" spans="1:29" ht="15" customHeight="1" outlineLevel="2">
      <c r="A52" s="725"/>
      <c r="B52" s="740" t="s">
        <v>185</v>
      </c>
      <c r="C52" s="2982"/>
      <c r="D52" s="2982"/>
      <c r="E52" s="2982"/>
      <c r="F52" s="2982"/>
      <c r="G52" s="3429"/>
      <c r="K52" s="1891"/>
      <c r="L52" s="1892"/>
      <c r="M52" s="1901"/>
    </row>
    <row r="53" spans="1:29" ht="15" customHeight="1" outlineLevel="2">
      <c r="A53" s="725"/>
      <c r="B53" s="740" t="s">
        <v>186</v>
      </c>
      <c r="C53" s="2982"/>
      <c r="D53" s="2982"/>
      <c r="E53" s="2982"/>
      <c r="F53" s="2982"/>
      <c r="G53" s="3429"/>
      <c r="K53" s="1891"/>
      <c r="L53" s="1892"/>
      <c r="M53" s="1901"/>
    </row>
    <row r="54" spans="1:29" ht="15" customHeight="1" outlineLevel="2">
      <c r="A54" s="725"/>
      <c r="B54" s="740" t="s">
        <v>187</v>
      </c>
      <c r="C54" s="2982"/>
      <c r="D54" s="2982"/>
      <c r="E54" s="2982"/>
      <c r="F54" s="2982"/>
      <c r="G54" s="3429"/>
      <c r="K54" s="1891"/>
      <c r="L54" s="1892"/>
      <c r="M54" s="1901"/>
    </row>
    <row r="55" spans="1:29" outlineLevel="2">
      <c r="A55" s="725"/>
      <c r="B55" s="740" t="s">
        <v>52</v>
      </c>
      <c r="C55" s="2982"/>
      <c r="D55" s="2982"/>
      <c r="E55" s="2982"/>
      <c r="F55" s="2982"/>
      <c r="G55" s="3429"/>
      <c r="K55" s="1891"/>
      <c r="L55" s="1892"/>
      <c r="M55" s="1901"/>
    </row>
    <row r="56" spans="1:29" s="883" customFormat="1" ht="13.5" outlineLevel="1" thickBot="1">
      <c r="A56" s="882"/>
      <c r="B56" s="2981" t="s">
        <v>53</v>
      </c>
      <c r="C56" s="2983">
        <f t="shared" ref="C56:G56" si="27">C50+SUM(C51:C55)</f>
        <v>1250000</v>
      </c>
      <c r="D56" s="2983">
        <f t="shared" si="27"/>
        <v>1250000</v>
      </c>
      <c r="E56" s="2983">
        <f t="shared" si="27"/>
        <v>1250000</v>
      </c>
      <c r="F56" s="2983">
        <f t="shared" si="27"/>
        <v>1250000</v>
      </c>
      <c r="G56" s="3430">
        <f t="shared" si="27"/>
        <v>1250000</v>
      </c>
      <c r="K56" s="1897">
        <f t="shared" ref="K56:M56" si="28">K50+SUM(K51:K55)</f>
        <v>0</v>
      </c>
      <c r="L56" s="1562">
        <f t="shared" si="28"/>
        <v>0</v>
      </c>
      <c r="M56" s="1898">
        <f t="shared" si="28"/>
        <v>0</v>
      </c>
    </row>
    <row r="57" spans="1:29" s="95" customFormat="1" ht="24.75" customHeight="1" outlineLevel="1">
      <c r="A57" s="725"/>
      <c r="B57" s="2980" t="s">
        <v>1477</v>
      </c>
      <c r="C57" s="767"/>
      <c r="D57" s="768"/>
      <c r="E57" s="768"/>
      <c r="F57" s="768"/>
      <c r="G57" s="1896"/>
      <c r="H57"/>
      <c r="I57"/>
      <c r="J57"/>
      <c r="K57" s="1895"/>
      <c r="L57" s="768"/>
      <c r="M57" s="1896"/>
      <c r="N57"/>
      <c r="O57"/>
      <c r="P57"/>
      <c r="Q57"/>
      <c r="R57"/>
      <c r="S57"/>
      <c r="T57"/>
      <c r="U57"/>
      <c r="V57"/>
      <c r="W57"/>
      <c r="X57"/>
      <c r="Y57"/>
      <c r="Z57"/>
      <c r="AA57"/>
      <c r="AB57"/>
      <c r="AC57"/>
    </row>
    <row r="58" spans="1:29" ht="12.75" customHeight="1" outlineLevel="2">
      <c r="A58" s="725"/>
      <c r="B58" s="2866" t="s">
        <v>51</v>
      </c>
      <c r="C58" s="2982">
        <f>9126.088*1000</f>
        <v>9126088</v>
      </c>
      <c r="D58" s="762">
        <f>C64</f>
        <v>10959572.810000001</v>
      </c>
      <c r="E58" s="762">
        <f>D64</f>
        <v>7261337.3600000003</v>
      </c>
      <c r="F58" s="762">
        <f>E64</f>
        <v>3878829.3000000007</v>
      </c>
      <c r="G58" s="3428">
        <f>F64</f>
        <v>5262829.3000000007</v>
      </c>
      <c r="K58" s="1891"/>
      <c r="L58" s="1899">
        <f>K64</f>
        <v>0</v>
      </c>
      <c r="M58" s="1900">
        <f>K64</f>
        <v>0</v>
      </c>
    </row>
    <row r="59" spans="1:29" ht="15" customHeight="1" outlineLevel="2">
      <c r="A59" s="725"/>
      <c r="B59" s="740" t="s">
        <v>184</v>
      </c>
      <c r="C59" s="2982">
        <v>231484.81</v>
      </c>
      <c r="D59" s="2982">
        <v>-4597041.4400000004</v>
      </c>
      <c r="E59" s="2982">
        <v>-6421570.0599999996</v>
      </c>
      <c r="F59" s="2982">
        <v>-1789029.30507</v>
      </c>
      <c r="G59" s="3429">
        <v>0</v>
      </c>
      <c r="K59" s="1891"/>
      <c r="L59" s="1892"/>
      <c r="M59" s="1901"/>
    </row>
    <row r="60" spans="1:29" ht="15" customHeight="1" outlineLevel="2">
      <c r="A60" s="725"/>
      <c r="B60" s="740" t="s">
        <v>185</v>
      </c>
      <c r="C60" s="2982"/>
      <c r="D60" s="2982"/>
      <c r="E60" s="2982"/>
      <c r="F60" s="2982"/>
      <c r="G60" s="3429"/>
      <c r="K60" s="1891"/>
      <c r="L60" s="1892"/>
      <c r="M60" s="1901"/>
    </row>
    <row r="61" spans="1:29" ht="15" customHeight="1" outlineLevel="2">
      <c r="A61" s="725"/>
      <c r="B61" s="740" t="s">
        <v>186</v>
      </c>
      <c r="C61" s="2982">
        <v>1602000</v>
      </c>
      <c r="D61" s="2982">
        <v>898805.99</v>
      </c>
      <c r="E61" s="2982">
        <v>3039062</v>
      </c>
      <c r="F61" s="2982">
        <f>-F59+1384000</f>
        <v>3173029.3050699998</v>
      </c>
      <c r="G61" s="3429">
        <v>0</v>
      </c>
      <c r="K61" s="1891"/>
      <c r="L61" s="1892"/>
      <c r="M61" s="1901"/>
    </row>
    <row r="62" spans="1:29" ht="15" customHeight="1" outlineLevel="2">
      <c r="A62" s="725"/>
      <c r="B62" s="740" t="s">
        <v>187</v>
      </c>
      <c r="C62" s="2982"/>
      <c r="D62" s="2982"/>
      <c r="E62" s="2982"/>
      <c r="F62" s="2982"/>
      <c r="G62" s="3429"/>
      <c r="K62" s="1891"/>
      <c r="L62" s="1892"/>
      <c r="M62" s="1901"/>
    </row>
    <row r="63" spans="1:29" outlineLevel="2">
      <c r="A63" s="725"/>
      <c r="B63" s="740" t="s">
        <v>52</v>
      </c>
      <c r="C63" s="2982"/>
      <c r="D63" s="2982"/>
      <c r="E63" s="2982"/>
      <c r="F63" s="2982"/>
      <c r="G63" s="3429"/>
      <c r="K63" s="1891"/>
      <c r="L63" s="1892"/>
      <c r="M63" s="1901"/>
    </row>
    <row r="64" spans="1:29" s="883" customFormat="1" ht="13.5" outlineLevel="1" thickBot="1">
      <c r="A64" s="882"/>
      <c r="B64" s="2981" t="s">
        <v>53</v>
      </c>
      <c r="C64" s="2983">
        <f t="shared" ref="C64:G64" si="29">C58+SUM(C59:C63)</f>
        <v>10959572.810000001</v>
      </c>
      <c r="D64" s="2983">
        <f t="shared" si="29"/>
        <v>7261337.3600000003</v>
      </c>
      <c r="E64" s="2983">
        <f t="shared" si="29"/>
        <v>3878829.3000000007</v>
      </c>
      <c r="F64" s="2983">
        <f t="shared" si="29"/>
        <v>5262829.3000000007</v>
      </c>
      <c r="G64" s="3430">
        <f t="shared" si="29"/>
        <v>5262829.3000000007</v>
      </c>
      <c r="K64" s="1897">
        <f t="shared" ref="K64:M64" si="30">K58+SUM(K59:K63)</f>
        <v>0</v>
      </c>
      <c r="L64" s="1562">
        <f t="shared" si="30"/>
        <v>0</v>
      </c>
      <c r="M64" s="1898">
        <f t="shared" si="30"/>
        <v>0</v>
      </c>
    </row>
    <row r="65" spans="1:29" s="95" customFormat="1" ht="24.75" customHeight="1" outlineLevel="1">
      <c r="A65" s="725"/>
      <c r="B65" s="2980" t="s">
        <v>1478</v>
      </c>
      <c r="C65" s="767"/>
      <c r="D65" s="768"/>
      <c r="E65" s="768"/>
      <c r="F65" s="768"/>
      <c r="G65" s="1896"/>
      <c r="H65"/>
      <c r="I65"/>
      <c r="J65"/>
      <c r="K65" s="1895"/>
      <c r="L65" s="768"/>
      <c r="M65" s="1896"/>
      <c r="N65"/>
      <c r="O65"/>
      <c r="P65"/>
      <c r="Q65"/>
      <c r="R65"/>
      <c r="S65"/>
      <c r="T65"/>
      <c r="U65"/>
      <c r="V65"/>
      <c r="W65"/>
      <c r="X65"/>
      <c r="Y65"/>
      <c r="Z65"/>
      <c r="AA65"/>
      <c r="AB65"/>
      <c r="AC65"/>
    </row>
    <row r="66" spans="1:29" ht="12.75" customHeight="1" outlineLevel="2">
      <c r="A66" s="725"/>
      <c r="B66" s="2866" t="s">
        <v>51</v>
      </c>
      <c r="C66" s="2982">
        <f>839.306*1000</f>
        <v>839306</v>
      </c>
      <c r="D66" s="762">
        <f>C72</f>
        <v>1724282.0280292202</v>
      </c>
      <c r="E66" s="762">
        <f>D72</f>
        <v>1851994.6786441552</v>
      </c>
      <c r="F66" s="762">
        <f>E72</f>
        <v>1879657.4253191529</v>
      </c>
      <c r="G66" s="3428">
        <f>F72</f>
        <v>1879657.4253191529</v>
      </c>
      <c r="K66" s="1891"/>
      <c r="L66" s="1899">
        <f>K72</f>
        <v>0</v>
      </c>
      <c r="M66" s="1900">
        <f>K72</f>
        <v>0</v>
      </c>
    </row>
    <row r="67" spans="1:29" ht="15" customHeight="1" outlineLevel="2">
      <c r="A67" s="725"/>
      <c r="B67" s="740" t="s">
        <v>184</v>
      </c>
      <c r="C67" s="2982">
        <v>-754400</v>
      </c>
      <c r="D67" s="2982">
        <v>-783882.86365158402</v>
      </c>
      <c r="E67" s="2982">
        <v>-922656.10149999999</v>
      </c>
      <c r="F67" s="2982">
        <v>0</v>
      </c>
      <c r="G67" s="3429">
        <v>0</v>
      </c>
      <c r="K67" s="1891"/>
      <c r="L67" s="1892"/>
      <c r="M67" s="1901"/>
    </row>
    <row r="68" spans="1:29" ht="15" customHeight="1" outlineLevel="2">
      <c r="A68" s="725"/>
      <c r="B68" s="740" t="s">
        <v>185</v>
      </c>
      <c r="C68" s="2982">
        <v>-175400</v>
      </c>
      <c r="D68" s="2982">
        <v>-236848.89573347999</v>
      </c>
      <c r="E68" s="2982">
        <v>-323242.56182499998</v>
      </c>
      <c r="F68" s="2982">
        <v>0</v>
      </c>
      <c r="G68" s="3429">
        <v>0</v>
      </c>
      <c r="K68" s="1891"/>
      <c r="L68" s="1892"/>
      <c r="M68" s="1901"/>
    </row>
    <row r="69" spans="1:29" ht="15" customHeight="1" outlineLevel="2">
      <c r="A69" s="725"/>
      <c r="B69" s="740" t="s">
        <v>186</v>
      </c>
      <c r="C69" s="2982">
        <v>1274813.5480292202</v>
      </c>
      <c r="D69" s="2982">
        <v>871879.049999999</v>
      </c>
      <c r="E69" s="2982">
        <v>951967.39999999793</v>
      </c>
      <c r="F69" s="2982">
        <v>0</v>
      </c>
      <c r="G69" s="3429">
        <v>0</v>
      </c>
      <c r="K69" s="1891"/>
      <c r="L69" s="1892"/>
      <c r="M69" s="1901"/>
    </row>
    <row r="70" spans="1:29" ht="15" customHeight="1" outlineLevel="2">
      <c r="A70" s="725"/>
      <c r="B70" s="740" t="s">
        <v>187</v>
      </c>
      <c r="C70" s="2982">
        <v>539962.48</v>
      </c>
      <c r="D70" s="2982">
        <v>276565.36</v>
      </c>
      <c r="E70" s="2982">
        <v>321594.01</v>
      </c>
      <c r="F70" s="2982">
        <v>0</v>
      </c>
      <c r="G70" s="3429">
        <v>0</v>
      </c>
      <c r="K70" s="1891"/>
      <c r="L70" s="1892"/>
      <c r="M70" s="1901"/>
    </row>
    <row r="71" spans="1:29" outlineLevel="2">
      <c r="A71" s="725"/>
      <c r="B71" s="740" t="s">
        <v>52</v>
      </c>
      <c r="C71" s="2982"/>
      <c r="D71" s="2982"/>
      <c r="E71" s="2982"/>
      <c r="F71" s="2982"/>
      <c r="G71" s="3429"/>
      <c r="K71" s="1891"/>
      <c r="L71" s="1892"/>
      <c r="M71" s="1901"/>
    </row>
    <row r="72" spans="1:29" s="883" customFormat="1" ht="13.5" outlineLevel="1" thickBot="1">
      <c r="A72" s="882"/>
      <c r="B72" s="2981" t="s">
        <v>53</v>
      </c>
      <c r="C72" s="2983">
        <f t="shared" ref="C72:G72" si="31">C66+SUM(C67:C71)</f>
        <v>1724282.0280292202</v>
      </c>
      <c r="D72" s="2983">
        <f t="shared" si="31"/>
        <v>1851994.6786441552</v>
      </c>
      <c r="E72" s="2983">
        <f t="shared" si="31"/>
        <v>1879657.4253191529</v>
      </c>
      <c r="F72" s="2983">
        <f t="shared" si="31"/>
        <v>1879657.4253191529</v>
      </c>
      <c r="G72" s="3430">
        <f t="shared" si="31"/>
        <v>1879657.4253191529</v>
      </c>
      <c r="K72" s="1897">
        <f t="shared" ref="K72:M72" si="32">K66+SUM(K67:K71)</f>
        <v>0</v>
      </c>
      <c r="L72" s="1562">
        <f t="shared" si="32"/>
        <v>0</v>
      </c>
      <c r="M72" s="1898">
        <f t="shared" si="32"/>
        <v>0</v>
      </c>
    </row>
    <row r="73" spans="1:29" s="95" customFormat="1" ht="24.75" customHeight="1" outlineLevel="1">
      <c r="A73" s="725"/>
      <c r="B73" s="766" t="s">
        <v>377</v>
      </c>
      <c r="C73" s="767"/>
      <c r="D73" s="768"/>
      <c r="E73" s="768"/>
      <c r="F73" s="768"/>
      <c r="G73" s="1896"/>
      <c r="H73"/>
      <c r="I73"/>
      <c r="J73"/>
      <c r="K73" s="1895"/>
      <c r="L73" s="768"/>
      <c r="M73" s="1896"/>
      <c r="N73"/>
      <c r="O73"/>
      <c r="P73"/>
      <c r="Q73"/>
      <c r="R73"/>
      <c r="S73"/>
      <c r="T73"/>
      <c r="U73"/>
      <c r="V73"/>
      <c r="W73"/>
      <c r="X73"/>
      <c r="Y73"/>
      <c r="Z73"/>
      <c r="AA73"/>
      <c r="AB73"/>
      <c r="AC73"/>
    </row>
    <row r="74" spans="1:29" ht="12.75" customHeight="1" outlineLevel="2">
      <c r="A74" s="725"/>
      <c r="B74" s="730" t="s">
        <v>51</v>
      </c>
      <c r="C74" s="739"/>
      <c r="D74" s="762">
        <f>C80</f>
        <v>0</v>
      </c>
      <c r="E74" s="762">
        <f>C80</f>
        <v>0</v>
      </c>
      <c r="F74" s="762">
        <f>D80</f>
        <v>0</v>
      </c>
      <c r="G74" s="3428">
        <f>F80</f>
        <v>0</v>
      </c>
      <c r="K74" s="1891"/>
      <c r="L74" s="1899">
        <f>K80</f>
        <v>0</v>
      </c>
      <c r="M74" s="1900">
        <f>K80</f>
        <v>0</v>
      </c>
    </row>
    <row r="75" spans="1:29" ht="15" customHeight="1" outlineLevel="2">
      <c r="A75" s="725"/>
      <c r="B75" s="740" t="s">
        <v>184</v>
      </c>
      <c r="C75" s="739"/>
      <c r="D75" s="739"/>
      <c r="E75" s="739"/>
      <c r="F75" s="739"/>
      <c r="G75" s="1400"/>
      <c r="K75" s="1891"/>
      <c r="L75" s="1892"/>
      <c r="M75" s="1901"/>
    </row>
    <row r="76" spans="1:29" ht="15" customHeight="1" outlineLevel="2">
      <c r="A76" s="725"/>
      <c r="B76" s="740" t="s">
        <v>185</v>
      </c>
      <c r="C76" s="739"/>
      <c r="D76" s="739"/>
      <c r="E76" s="739"/>
      <c r="F76" s="739"/>
      <c r="G76" s="1400"/>
      <c r="K76" s="1891"/>
      <c r="L76" s="1892"/>
      <c r="M76" s="1901"/>
    </row>
    <row r="77" spans="1:29" ht="15" customHeight="1" outlineLevel="2">
      <c r="A77" s="725"/>
      <c r="B77" s="740" t="s">
        <v>186</v>
      </c>
      <c r="C77" s="739"/>
      <c r="D77" s="739"/>
      <c r="E77" s="739"/>
      <c r="F77" s="739"/>
      <c r="G77" s="1400"/>
      <c r="K77" s="1891"/>
      <c r="L77" s="1892"/>
      <c r="M77" s="1901"/>
    </row>
    <row r="78" spans="1:29" ht="15" customHeight="1" outlineLevel="2">
      <c r="A78" s="725"/>
      <c r="B78" s="740" t="s">
        <v>187</v>
      </c>
      <c r="C78" s="739"/>
      <c r="D78" s="739"/>
      <c r="E78" s="739"/>
      <c r="F78" s="739"/>
      <c r="G78" s="1400"/>
      <c r="K78" s="1891"/>
      <c r="L78" s="1892"/>
      <c r="M78" s="1901"/>
    </row>
    <row r="79" spans="1:29" outlineLevel="2">
      <c r="A79" s="725"/>
      <c r="B79" s="740" t="s">
        <v>52</v>
      </c>
      <c r="C79" s="739"/>
      <c r="D79" s="739"/>
      <c r="E79" s="739"/>
      <c r="F79" s="739"/>
      <c r="G79" s="1400"/>
      <c r="K79" s="1891"/>
      <c r="L79" s="1892"/>
      <c r="M79" s="1901"/>
    </row>
    <row r="80" spans="1:29" s="883" customFormat="1" ht="13.5" outlineLevel="1" thickBot="1">
      <c r="A80" s="882"/>
      <c r="B80" s="1561" t="s">
        <v>53</v>
      </c>
      <c r="C80" s="1562">
        <f t="shared" ref="C80:G80" si="33">C74+SUM(C75:C79)</f>
        <v>0</v>
      </c>
      <c r="D80" s="1562">
        <f t="shared" si="33"/>
        <v>0</v>
      </c>
      <c r="E80" s="1562">
        <f t="shared" si="33"/>
        <v>0</v>
      </c>
      <c r="F80" s="1562">
        <f t="shared" si="33"/>
        <v>0</v>
      </c>
      <c r="G80" s="1898">
        <f t="shared" si="33"/>
        <v>0</v>
      </c>
      <c r="K80" s="1897">
        <f t="shared" ref="K80:M80" si="34">K74+SUM(K75:K79)</f>
        <v>0</v>
      </c>
      <c r="L80" s="1562">
        <f t="shared" si="34"/>
        <v>0</v>
      </c>
      <c r="M80" s="1898">
        <f t="shared" si="34"/>
        <v>0</v>
      </c>
    </row>
    <row r="81" spans="1:29" s="95" customFormat="1" ht="24.75" customHeight="1" outlineLevel="1">
      <c r="A81" s="725"/>
      <c r="B81" s="766" t="s">
        <v>377</v>
      </c>
      <c r="C81" s="767"/>
      <c r="D81" s="768"/>
      <c r="E81" s="768"/>
      <c r="F81" s="768"/>
      <c r="G81" s="1896"/>
      <c r="H81"/>
      <c r="I81"/>
      <c r="J81"/>
      <c r="K81" s="1895"/>
      <c r="L81" s="768"/>
      <c r="M81" s="1896"/>
      <c r="N81"/>
      <c r="O81"/>
      <c r="P81"/>
      <c r="Q81"/>
      <c r="R81"/>
      <c r="S81"/>
      <c r="T81"/>
      <c r="U81"/>
      <c r="V81"/>
      <c r="W81"/>
      <c r="X81"/>
      <c r="Y81"/>
      <c r="Z81"/>
      <c r="AA81"/>
      <c r="AB81"/>
      <c r="AC81"/>
    </row>
    <row r="82" spans="1:29" ht="12.75" customHeight="1" outlineLevel="2">
      <c r="A82" s="725"/>
      <c r="B82" s="730" t="s">
        <v>51</v>
      </c>
      <c r="C82" s="739"/>
      <c r="D82" s="762">
        <f>C88</f>
        <v>0</v>
      </c>
      <c r="E82" s="762">
        <f>C88</f>
        <v>0</v>
      </c>
      <c r="F82" s="762">
        <f>D88</f>
        <v>0</v>
      </c>
      <c r="G82" s="3428">
        <f>F88</f>
        <v>0</v>
      </c>
      <c r="K82" s="1891"/>
      <c r="L82" s="1899">
        <f>K88</f>
        <v>0</v>
      </c>
      <c r="M82" s="1900">
        <f>K88</f>
        <v>0</v>
      </c>
    </row>
    <row r="83" spans="1:29" ht="15" customHeight="1" outlineLevel="2">
      <c r="A83" s="725"/>
      <c r="B83" s="740" t="s">
        <v>184</v>
      </c>
      <c r="C83" s="739"/>
      <c r="D83" s="739"/>
      <c r="E83" s="739"/>
      <c r="F83" s="739"/>
      <c r="G83" s="1400"/>
      <c r="K83" s="1891"/>
      <c r="L83" s="1892"/>
      <c r="M83" s="1901"/>
    </row>
    <row r="84" spans="1:29" ht="15" customHeight="1" outlineLevel="2">
      <c r="A84" s="725"/>
      <c r="B84" s="740" t="s">
        <v>185</v>
      </c>
      <c r="C84" s="739"/>
      <c r="D84" s="739"/>
      <c r="E84" s="739"/>
      <c r="F84" s="739"/>
      <c r="G84" s="1400"/>
      <c r="K84" s="1891"/>
      <c r="L84" s="1892"/>
      <c r="M84" s="1901"/>
    </row>
    <row r="85" spans="1:29" ht="15" customHeight="1" outlineLevel="2">
      <c r="A85" s="725"/>
      <c r="B85" s="740" t="s">
        <v>186</v>
      </c>
      <c r="C85" s="739"/>
      <c r="D85" s="739"/>
      <c r="E85" s="739"/>
      <c r="F85" s="739"/>
      <c r="G85" s="1400"/>
      <c r="K85" s="1891"/>
      <c r="L85" s="1892"/>
      <c r="M85" s="1901"/>
    </row>
    <row r="86" spans="1:29" ht="15" customHeight="1" outlineLevel="2">
      <c r="A86" s="725"/>
      <c r="B86" s="740" t="s">
        <v>187</v>
      </c>
      <c r="C86" s="739"/>
      <c r="D86" s="739"/>
      <c r="E86" s="739"/>
      <c r="F86" s="739"/>
      <c r="G86" s="1400"/>
      <c r="K86" s="1891"/>
      <c r="L86" s="1892"/>
      <c r="M86" s="1901"/>
    </row>
    <row r="87" spans="1:29" outlineLevel="2">
      <c r="A87" s="725"/>
      <c r="B87" s="740" t="s">
        <v>52</v>
      </c>
      <c r="C87" s="739"/>
      <c r="D87" s="739"/>
      <c r="E87" s="739"/>
      <c r="F87" s="739"/>
      <c r="G87" s="1400"/>
      <c r="K87" s="1891"/>
      <c r="L87" s="1892"/>
      <c r="M87" s="1901"/>
    </row>
    <row r="88" spans="1:29" s="883" customFormat="1" ht="13.5" outlineLevel="1" thickBot="1">
      <c r="A88" s="882"/>
      <c r="B88" s="1561" t="s">
        <v>53</v>
      </c>
      <c r="C88" s="1562">
        <f t="shared" ref="C88:G88" si="35">C82+SUM(C83:C87)</f>
        <v>0</v>
      </c>
      <c r="D88" s="1562">
        <f t="shared" si="35"/>
        <v>0</v>
      </c>
      <c r="E88" s="1562">
        <f t="shared" si="35"/>
        <v>0</v>
      </c>
      <c r="F88" s="1562">
        <f t="shared" si="35"/>
        <v>0</v>
      </c>
      <c r="G88" s="1898">
        <f t="shared" si="35"/>
        <v>0</v>
      </c>
      <c r="K88" s="1897">
        <f t="shared" ref="K88:M88" si="36">K82+SUM(K83:K87)</f>
        <v>0</v>
      </c>
      <c r="L88" s="1562">
        <f t="shared" si="36"/>
        <v>0</v>
      </c>
      <c r="M88" s="1898">
        <f t="shared" si="36"/>
        <v>0</v>
      </c>
    </row>
    <row r="89" spans="1:29" s="95" customFormat="1" ht="24.75" customHeight="1" outlineLevel="1">
      <c r="A89" s="725"/>
      <c r="B89" s="766" t="s">
        <v>377</v>
      </c>
      <c r="C89" s="767"/>
      <c r="D89" s="768"/>
      <c r="E89" s="768"/>
      <c r="F89" s="768"/>
      <c r="G89" s="1896"/>
      <c r="H89"/>
      <c r="I89"/>
      <c r="J89"/>
      <c r="K89" s="1895"/>
      <c r="L89" s="768"/>
      <c r="M89" s="1896"/>
      <c r="N89"/>
      <c r="O89"/>
      <c r="P89"/>
      <c r="Q89"/>
      <c r="R89"/>
      <c r="S89"/>
      <c r="T89"/>
      <c r="U89"/>
      <c r="V89"/>
      <c r="W89"/>
      <c r="X89"/>
      <c r="Y89"/>
      <c r="Z89"/>
      <c r="AA89"/>
      <c r="AB89"/>
      <c r="AC89"/>
    </row>
    <row r="90" spans="1:29" ht="12.75" customHeight="1" outlineLevel="2">
      <c r="A90" s="725"/>
      <c r="B90" s="730" t="s">
        <v>51</v>
      </c>
      <c r="C90" s="739"/>
      <c r="D90" s="762">
        <f>C96</f>
        <v>0</v>
      </c>
      <c r="E90" s="762">
        <f>C96</f>
        <v>0</v>
      </c>
      <c r="F90" s="762">
        <f>D96</f>
        <v>0</v>
      </c>
      <c r="G90" s="3428">
        <f>F96</f>
        <v>0</v>
      </c>
      <c r="K90" s="1891"/>
      <c r="L90" s="1899">
        <f>K96</f>
        <v>0</v>
      </c>
      <c r="M90" s="1900">
        <f>K96</f>
        <v>0</v>
      </c>
    </row>
    <row r="91" spans="1:29" ht="15" customHeight="1" outlineLevel="2">
      <c r="A91" s="725"/>
      <c r="B91" s="740" t="s">
        <v>184</v>
      </c>
      <c r="C91" s="739"/>
      <c r="D91" s="739"/>
      <c r="E91" s="739"/>
      <c r="F91" s="739"/>
      <c r="G91" s="1400"/>
      <c r="K91" s="1891"/>
      <c r="L91" s="1892"/>
      <c r="M91" s="1901"/>
    </row>
    <row r="92" spans="1:29" ht="15" customHeight="1" outlineLevel="2">
      <c r="A92" s="725"/>
      <c r="B92" s="740" t="s">
        <v>185</v>
      </c>
      <c r="C92" s="739"/>
      <c r="D92" s="739"/>
      <c r="E92" s="739"/>
      <c r="F92" s="739"/>
      <c r="G92" s="1400"/>
      <c r="K92" s="1891"/>
      <c r="L92" s="1892"/>
      <c r="M92" s="1901"/>
    </row>
    <row r="93" spans="1:29" ht="15" customHeight="1" outlineLevel="2">
      <c r="A93" s="725"/>
      <c r="B93" s="740" t="s">
        <v>186</v>
      </c>
      <c r="C93" s="739"/>
      <c r="D93" s="739"/>
      <c r="E93" s="739"/>
      <c r="F93" s="739"/>
      <c r="G93" s="1400"/>
      <c r="K93" s="1891"/>
      <c r="L93" s="1892"/>
      <c r="M93" s="1901"/>
    </row>
    <row r="94" spans="1:29" ht="15" customHeight="1" outlineLevel="2">
      <c r="A94" s="725"/>
      <c r="B94" s="740" t="s">
        <v>187</v>
      </c>
      <c r="C94" s="739"/>
      <c r="D94" s="739"/>
      <c r="E94" s="739"/>
      <c r="F94" s="739"/>
      <c r="G94" s="1400"/>
      <c r="K94" s="1891"/>
      <c r="L94" s="1892"/>
      <c r="M94" s="1901"/>
    </row>
    <row r="95" spans="1:29" outlineLevel="2">
      <c r="A95" s="725"/>
      <c r="B95" s="740" t="s">
        <v>52</v>
      </c>
      <c r="C95" s="739"/>
      <c r="D95" s="739"/>
      <c r="E95" s="739"/>
      <c r="F95" s="739"/>
      <c r="G95" s="1400"/>
      <c r="K95" s="1891"/>
      <c r="L95" s="1892"/>
      <c r="M95" s="1901"/>
    </row>
    <row r="96" spans="1:29" s="883" customFormat="1" ht="13.5" outlineLevel="1" thickBot="1">
      <c r="A96" s="882"/>
      <c r="B96" s="1561" t="s">
        <v>53</v>
      </c>
      <c r="C96" s="1562">
        <f t="shared" ref="C96:G96" si="37">C90+SUM(C91:C95)</f>
        <v>0</v>
      </c>
      <c r="D96" s="1562">
        <f t="shared" si="37"/>
        <v>0</v>
      </c>
      <c r="E96" s="1562">
        <f t="shared" si="37"/>
        <v>0</v>
      </c>
      <c r="F96" s="1562">
        <f t="shared" si="37"/>
        <v>0</v>
      </c>
      <c r="G96" s="1898">
        <f t="shared" si="37"/>
        <v>0</v>
      </c>
      <c r="K96" s="1897">
        <f t="shared" ref="K96:M96" si="38">K90+SUM(K91:K95)</f>
        <v>0</v>
      </c>
      <c r="L96" s="1562">
        <f t="shared" si="38"/>
        <v>0</v>
      </c>
      <c r="M96" s="1898">
        <f t="shared" si="38"/>
        <v>0</v>
      </c>
    </row>
  </sheetData>
  <mergeCells count="17">
    <mergeCell ref="C46:E46"/>
    <mergeCell ref="F46:G46"/>
    <mergeCell ref="C47:E47"/>
    <mergeCell ref="F47:G47"/>
    <mergeCell ref="B9:F9"/>
    <mergeCell ref="C15:G15"/>
    <mergeCell ref="C45:G45"/>
    <mergeCell ref="F16:G16"/>
    <mergeCell ref="F17:G17"/>
    <mergeCell ref="C16:E16"/>
    <mergeCell ref="C17:E17"/>
    <mergeCell ref="K45:M45"/>
    <mergeCell ref="K46:M46"/>
    <mergeCell ref="K47:M47"/>
    <mergeCell ref="K15:M15"/>
    <mergeCell ref="K16:M16"/>
    <mergeCell ref="K17:M17"/>
  </mergeCells>
  <pageMargins left="0.74803149606299213" right="0.74803149606299213" top="0.98425196850393704" bottom="0.98425196850393704" header="0.51181102362204722" footer="0.51181102362204722"/>
  <pageSetup paperSize="9" scale="52" orientation="portrait" r:id="rId1"/>
  <headerFooter alignWithMargins="0"/>
  <customProperties>
    <customPr name="layoutContexts" r:id="rId2"/>
    <customPr name="SaveUndoMode" r:id="rId3"/>
  </customProperties>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9" tint="-0.249977111117893"/>
    <pageSetUpPr fitToPage="1"/>
  </sheetPr>
  <dimension ref="A1:V60"/>
  <sheetViews>
    <sheetView showGridLines="0" topLeftCell="A7" zoomScale="70" zoomScaleNormal="70" workbookViewId="0">
      <selection activeCell="P13" sqref="P13"/>
    </sheetView>
  </sheetViews>
  <sheetFormatPr defaultColWidth="9.140625" defaultRowHeight="12.75"/>
  <cols>
    <col min="1" max="1" width="41.7109375" style="24" customWidth="1"/>
    <col min="2" max="2" width="8.7109375" style="24" customWidth="1"/>
    <col min="3" max="3" width="5.28515625" style="24" customWidth="1"/>
    <col min="4" max="4" width="19.7109375" style="24" customWidth="1"/>
    <col min="5" max="5" width="15.7109375" style="24" customWidth="1"/>
    <col min="6" max="6" width="5.7109375" style="24" customWidth="1"/>
    <col min="7" max="7" width="15.7109375" style="24" customWidth="1"/>
    <col min="8" max="8" width="20.28515625" style="24" customWidth="1"/>
    <col min="9" max="9" width="15.7109375" style="24" customWidth="1"/>
    <col min="10" max="10" width="5.7109375" style="24" customWidth="1"/>
    <col min="11" max="11" width="15.7109375" style="24" customWidth="1"/>
    <col min="12" max="12" width="19.5703125" style="24" customWidth="1"/>
    <col min="13" max="13" width="8.140625" style="24" customWidth="1"/>
    <col min="14" max="14" width="8.7109375" style="24" customWidth="1"/>
    <col min="15" max="21" width="10.7109375" style="24" customWidth="1"/>
    <col min="22" max="22" width="11.28515625" style="24" customWidth="1"/>
    <col min="23" max="16384" width="9.140625" style="24"/>
  </cols>
  <sheetData>
    <row r="1" spans="1:22">
      <c r="A1" s="973" t="s">
        <v>77</v>
      </c>
      <c r="B1" s="973"/>
      <c r="C1" s="973"/>
      <c r="D1" s="973"/>
      <c r="E1" s="973"/>
      <c r="F1" s="973"/>
      <c r="G1" s="974"/>
      <c r="H1" s="974"/>
      <c r="I1" s="974"/>
      <c r="J1" s="974"/>
      <c r="K1" s="974"/>
      <c r="L1" s="974"/>
      <c r="M1" s="974"/>
      <c r="N1" s="974"/>
      <c r="O1" s="974"/>
      <c r="P1" s="974"/>
      <c r="Q1" s="26"/>
      <c r="R1" s="26"/>
      <c r="S1" s="26"/>
      <c r="T1" s="26"/>
      <c r="U1" s="26"/>
      <c r="V1" s="26"/>
    </row>
    <row r="2" spans="1:22" ht="13.5" thickBot="1">
      <c r="A2" s="973"/>
      <c r="B2" s="973"/>
      <c r="C2" s="973"/>
      <c r="D2" s="973"/>
      <c r="E2" s="973"/>
      <c r="F2" s="973"/>
      <c r="G2" s="974"/>
      <c r="H2" s="974"/>
      <c r="I2" s="974"/>
      <c r="J2" s="974"/>
      <c r="K2" s="974"/>
      <c r="L2" s="974"/>
      <c r="M2" s="974"/>
      <c r="N2" s="974"/>
      <c r="O2" s="974"/>
      <c r="P2" s="974"/>
      <c r="Q2" s="26"/>
      <c r="R2" s="26"/>
      <c r="S2" s="26"/>
      <c r="T2" s="26"/>
      <c r="U2" s="26"/>
      <c r="V2" s="26"/>
    </row>
    <row r="3" spans="1:22" ht="11.25" customHeight="1" thickTop="1">
      <c r="A3" s="973"/>
      <c r="B3" s="27"/>
      <c r="C3" s="28"/>
      <c r="D3" s="28"/>
      <c r="E3" s="28"/>
      <c r="F3" s="28"/>
      <c r="G3" s="28"/>
      <c r="H3" s="28"/>
      <c r="I3" s="28"/>
      <c r="J3" s="28"/>
      <c r="K3" s="28"/>
      <c r="L3" s="28"/>
      <c r="M3" s="28"/>
      <c r="N3" s="29"/>
      <c r="O3" s="974"/>
      <c r="P3" s="974"/>
      <c r="Q3" s="26"/>
      <c r="R3" s="26"/>
      <c r="S3" s="26"/>
      <c r="T3" s="26"/>
      <c r="U3" s="26"/>
      <c r="V3" s="26"/>
    </row>
    <row r="4" spans="1:22" ht="26.25">
      <c r="A4" s="973"/>
      <c r="B4" s="30"/>
      <c r="C4" s="743"/>
      <c r="D4" s="743"/>
      <c r="E4" s="743"/>
      <c r="F4" s="743"/>
      <c r="G4" s="743"/>
      <c r="H4" s="743" t="s">
        <v>80</v>
      </c>
      <c r="I4" s="743"/>
      <c r="J4" s="743"/>
      <c r="K4" s="743"/>
      <c r="L4" s="743"/>
      <c r="M4" s="31"/>
      <c r="N4" s="32"/>
      <c r="O4" s="975"/>
      <c r="P4" s="975"/>
      <c r="Q4" s="33"/>
      <c r="R4" s="33"/>
      <c r="S4" s="33"/>
      <c r="T4" s="33"/>
      <c r="U4" s="33"/>
      <c r="V4" s="34"/>
    </row>
    <row r="5" spans="1:22" ht="26.25">
      <c r="A5" s="973"/>
      <c r="B5" s="30"/>
      <c r="C5" s="743"/>
      <c r="D5" s="743"/>
      <c r="E5" s="743"/>
      <c r="F5" s="743"/>
      <c r="G5" s="743"/>
      <c r="H5" s="743" t="s">
        <v>78</v>
      </c>
      <c r="I5" s="743"/>
      <c r="J5" s="743"/>
      <c r="K5" s="743"/>
      <c r="L5" s="743"/>
      <c r="M5" s="35"/>
      <c r="N5" s="36"/>
      <c r="O5" s="976"/>
      <c r="P5" s="976"/>
      <c r="Q5" s="37"/>
      <c r="R5" s="37"/>
      <c r="S5" s="37"/>
      <c r="T5" s="37"/>
      <c r="U5" s="37"/>
      <c r="V5" s="38"/>
    </row>
    <row r="6" spans="1:22" ht="23.25">
      <c r="A6" s="973"/>
      <c r="B6" s="30"/>
      <c r="C6" s="744"/>
      <c r="D6" s="744"/>
      <c r="E6" s="744"/>
      <c r="F6" s="744"/>
      <c r="G6" s="744"/>
      <c r="H6" s="744"/>
      <c r="I6" s="744"/>
      <c r="J6" s="744"/>
      <c r="K6" s="744"/>
      <c r="L6" s="744"/>
      <c r="M6" s="744"/>
      <c r="N6" s="745"/>
      <c r="O6" s="977"/>
      <c r="P6" s="977"/>
      <c r="Q6" s="746"/>
      <c r="R6" s="746"/>
      <c r="S6" s="746"/>
      <c r="T6" s="746"/>
      <c r="U6" s="746"/>
      <c r="V6" s="746"/>
    </row>
    <row r="7" spans="1:22" s="1266" customFormat="1" ht="23.25">
      <c r="A7" s="1268"/>
      <c r="B7" s="30"/>
      <c r="C7" s="744"/>
      <c r="D7" s="744"/>
      <c r="E7" s="744"/>
      <c r="F7" s="744"/>
      <c r="G7" s="744"/>
      <c r="H7" s="747" t="str">
        <f>CONCATENATE("For ",dms_TradingName)</f>
        <v>For Multinet Gas</v>
      </c>
      <c r="I7" s="744"/>
      <c r="J7" s="744"/>
      <c r="K7" s="744"/>
      <c r="L7" s="744"/>
      <c r="M7" s="744"/>
      <c r="N7" s="745"/>
      <c r="O7" s="977"/>
      <c r="P7" s="977"/>
      <c r="Q7" s="746"/>
      <c r="R7" s="746"/>
      <c r="S7" s="746"/>
      <c r="T7" s="746"/>
      <c r="U7" s="746"/>
      <c r="V7" s="746"/>
    </row>
    <row r="8" spans="1:22" ht="23.25">
      <c r="A8" s="973"/>
      <c r="B8" s="30"/>
      <c r="C8" s="39"/>
      <c r="D8" s="39"/>
      <c r="E8" s="39"/>
      <c r="F8" s="39"/>
      <c r="G8" s="39"/>
      <c r="H8" s="747" t="s">
        <v>79</v>
      </c>
      <c r="I8" s="39"/>
      <c r="J8" s="39"/>
      <c r="K8" s="39"/>
      <c r="L8" s="39"/>
      <c r="M8" s="39"/>
      <c r="N8" s="40"/>
      <c r="O8" s="978"/>
      <c r="P8" s="978"/>
      <c r="Q8" s="41"/>
      <c r="R8" s="41"/>
      <c r="S8" s="41"/>
      <c r="T8" s="41"/>
      <c r="U8" s="41"/>
      <c r="V8" s="41"/>
    </row>
    <row r="9" spans="1:22" ht="20.25">
      <c r="A9" s="973"/>
      <c r="B9" s="748"/>
      <c r="C9" s="749"/>
      <c r="D9" s="42"/>
      <c r="E9" s="750"/>
      <c r="F9" s="42"/>
      <c r="G9" s="39"/>
      <c r="H9" s="751" t="str">
        <f>CONCATENATE(FRCP_y1," to ",FRCP_y5)</f>
        <v>2018 to 2022</v>
      </c>
      <c r="I9" s="39"/>
      <c r="J9" s="39"/>
      <c r="K9" s="42"/>
      <c r="L9" s="42"/>
      <c r="M9" s="42"/>
      <c r="N9" s="43"/>
      <c r="O9" s="979"/>
      <c r="P9" s="979"/>
      <c r="Q9" s="752"/>
      <c r="R9" s="752"/>
      <c r="S9" s="752"/>
      <c r="T9" s="752"/>
      <c r="U9" s="752"/>
      <c r="V9" s="752"/>
    </row>
    <row r="10" spans="1:22" ht="49.5" customHeight="1">
      <c r="A10" s="2868"/>
      <c r="B10" s="30"/>
      <c r="C10" s="44"/>
      <c r="D10" s="44"/>
      <c r="E10" s="44"/>
      <c r="F10" s="44"/>
      <c r="G10" s="44"/>
      <c r="H10" s="753" t="s">
        <v>578</v>
      </c>
      <c r="I10" s="44"/>
      <c r="J10" s="44"/>
      <c r="K10" s="44"/>
      <c r="L10" s="44"/>
      <c r="M10" s="45"/>
      <c r="N10" s="46"/>
      <c r="O10" s="980"/>
      <c r="P10" s="980"/>
      <c r="Q10" s="47"/>
      <c r="R10" s="47"/>
      <c r="S10" s="47"/>
      <c r="T10" s="47"/>
      <c r="U10" s="47"/>
      <c r="V10" s="48"/>
    </row>
    <row r="11" spans="1:22">
      <c r="A11" s="2869"/>
      <c r="B11" s="50"/>
      <c r="C11" s="53"/>
      <c r="D11" s="53"/>
      <c r="E11" s="53"/>
      <c r="F11" s="53"/>
      <c r="G11" s="53"/>
      <c r="H11" s="53"/>
      <c r="I11" s="53"/>
      <c r="J11" s="53"/>
      <c r="K11" s="53"/>
      <c r="L11" s="53"/>
      <c r="M11" s="53"/>
      <c r="N11" s="56"/>
      <c r="O11" s="974"/>
      <c r="P11" s="974"/>
      <c r="Q11" s="26"/>
      <c r="R11" s="26"/>
      <c r="S11" s="26"/>
      <c r="T11" s="26"/>
      <c r="U11" s="26"/>
      <c r="V11" s="49"/>
    </row>
    <row r="12" spans="1:22">
      <c r="A12" s="2869"/>
      <c r="B12" s="50"/>
      <c r="C12" s="53"/>
      <c r="D12" s="53"/>
      <c r="E12" s="53"/>
      <c r="F12" s="53"/>
      <c r="G12" s="53"/>
      <c r="H12" s="53"/>
      <c r="I12" s="53"/>
      <c r="J12" s="53"/>
      <c r="K12" s="53"/>
      <c r="L12" s="53"/>
      <c r="M12" s="53"/>
      <c r="N12" s="56"/>
      <c r="O12" s="974"/>
      <c r="P12" s="974"/>
      <c r="Q12" s="26"/>
      <c r="R12" s="26"/>
      <c r="S12" s="26"/>
      <c r="T12" s="26"/>
      <c r="U12" s="26"/>
      <c r="V12" s="49"/>
    </row>
    <row r="13" spans="1:22" ht="12.75" customHeight="1">
      <c r="A13" s="2869"/>
      <c r="B13" s="51"/>
      <c r="C13" s="53"/>
      <c r="D13" s="53"/>
      <c r="E13" s="53"/>
      <c r="F13" s="53"/>
      <c r="G13" s="53"/>
      <c r="H13" s="53"/>
      <c r="I13" s="53"/>
      <c r="J13" s="53"/>
      <c r="K13" s="53"/>
      <c r="L13" s="53"/>
      <c r="M13" s="53"/>
      <c r="N13" s="56"/>
      <c r="O13" s="974"/>
      <c r="P13" s="974"/>
      <c r="Q13" s="26"/>
      <c r="R13" s="26"/>
      <c r="S13" s="26"/>
      <c r="T13" s="26"/>
      <c r="U13" s="26"/>
      <c r="V13" s="49"/>
    </row>
    <row r="14" spans="1:22">
      <c r="A14" s="2869"/>
      <c r="B14" s="50"/>
      <c r="C14" s="53"/>
      <c r="D14" s="53"/>
      <c r="E14" s="53"/>
      <c r="F14" s="53"/>
      <c r="G14" s="53"/>
      <c r="H14" s="53"/>
      <c r="I14" s="53"/>
      <c r="J14" s="53"/>
      <c r="K14" s="53"/>
      <c r="L14" s="53"/>
      <c r="M14" s="53"/>
      <c r="N14" s="56"/>
      <c r="O14" s="974"/>
      <c r="P14" s="974"/>
      <c r="Q14" s="26"/>
      <c r="R14" s="26"/>
      <c r="S14" s="26"/>
      <c r="T14" s="26"/>
      <c r="U14" s="26"/>
      <c r="V14" s="49"/>
    </row>
    <row r="15" spans="1:22">
      <c r="A15" s="2869"/>
      <c r="B15" s="50"/>
      <c r="C15" s="53"/>
      <c r="D15" s="53"/>
      <c r="E15" s="53"/>
      <c r="F15" s="53"/>
      <c r="G15" s="53"/>
      <c r="H15" s="53"/>
      <c r="I15" s="53"/>
      <c r="J15" s="53"/>
      <c r="K15" s="53"/>
      <c r="L15" s="53"/>
      <c r="M15" s="53"/>
      <c r="N15" s="56"/>
      <c r="O15" s="974"/>
      <c r="P15" s="974"/>
      <c r="Q15" s="26"/>
      <c r="R15" s="26"/>
      <c r="S15" s="26"/>
      <c r="T15" s="26"/>
      <c r="U15" s="26"/>
      <c r="V15" s="49"/>
    </row>
    <row r="16" spans="1:22">
      <c r="A16" s="2869"/>
      <c r="B16" s="50"/>
      <c r="C16" s="53"/>
      <c r="D16" s="53"/>
      <c r="E16" s="53"/>
      <c r="F16" s="53"/>
      <c r="G16" s="53"/>
      <c r="H16" s="53"/>
      <c r="I16" s="53"/>
      <c r="J16" s="53"/>
      <c r="K16" s="53"/>
      <c r="L16" s="53"/>
      <c r="M16" s="53"/>
      <c r="N16" s="56"/>
      <c r="O16" s="974"/>
      <c r="P16" s="974"/>
      <c r="Q16" s="26"/>
      <c r="R16" s="26"/>
      <c r="S16" s="26"/>
      <c r="T16" s="26"/>
      <c r="U16" s="26"/>
      <c r="V16" s="49"/>
    </row>
    <row r="17" spans="1:22">
      <c r="A17" s="2869"/>
      <c r="B17" s="50"/>
      <c r="C17" s="53"/>
      <c r="D17" s="53"/>
      <c r="E17" s="53"/>
      <c r="F17" s="53"/>
      <c r="G17" s="53"/>
      <c r="H17" s="53"/>
      <c r="I17" s="53"/>
      <c r="J17" s="53"/>
      <c r="K17" s="53"/>
      <c r="L17" s="53"/>
      <c r="M17" s="53"/>
      <c r="N17" s="56"/>
      <c r="O17" s="974"/>
      <c r="P17" s="974"/>
      <c r="Q17" s="26"/>
      <c r="R17" s="26"/>
      <c r="S17" s="26"/>
      <c r="T17" s="26"/>
      <c r="U17" s="26"/>
      <c r="V17" s="49"/>
    </row>
    <row r="18" spans="1:22" ht="12.75" customHeight="1">
      <c r="A18" s="2869"/>
      <c r="B18" s="50"/>
      <c r="C18" s="53"/>
      <c r="D18" s="53"/>
      <c r="E18" s="53"/>
      <c r="F18" s="53"/>
      <c r="G18" s="53"/>
      <c r="H18" s="53"/>
      <c r="I18" s="53"/>
      <c r="J18" s="53"/>
      <c r="K18" s="53"/>
      <c r="L18" s="53"/>
      <c r="M18" s="53"/>
      <c r="N18" s="56"/>
      <c r="O18" s="974"/>
      <c r="P18" s="974"/>
      <c r="Q18" s="26"/>
      <c r="R18" s="26"/>
      <c r="S18" s="26"/>
      <c r="T18" s="26"/>
      <c r="U18" s="26"/>
      <c r="V18" s="49"/>
    </row>
    <row r="19" spans="1:22">
      <c r="A19" s="2869"/>
      <c r="B19" s="50"/>
      <c r="C19" s="53"/>
      <c r="D19" s="53"/>
      <c r="E19" s="53"/>
      <c r="F19" s="53"/>
      <c r="G19" s="53"/>
      <c r="H19" s="53"/>
      <c r="I19" s="53"/>
      <c r="J19" s="53"/>
      <c r="K19" s="53"/>
      <c r="L19" s="53"/>
      <c r="M19" s="53"/>
      <c r="N19" s="56"/>
      <c r="O19" s="974"/>
      <c r="P19" s="974"/>
      <c r="Q19" s="26"/>
      <c r="R19" s="26"/>
      <c r="S19" s="26"/>
      <c r="T19" s="26"/>
      <c r="U19" s="26"/>
      <c r="V19" s="49"/>
    </row>
    <row r="20" spans="1:22">
      <c r="A20" s="2869"/>
      <c r="B20" s="50"/>
      <c r="C20" s="53"/>
      <c r="D20" s="53"/>
      <c r="E20" s="53"/>
      <c r="F20" s="53"/>
      <c r="G20" s="53"/>
      <c r="H20" s="53"/>
      <c r="I20" s="53"/>
      <c r="J20" s="53"/>
      <c r="K20" s="53"/>
      <c r="L20" s="53"/>
      <c r="M20" s="53"/>
      <c r="N20" s="56"/>
      <c r="O20" s="974"/>
      <c r="P20" s="974"/>
      <c r="Q20" s="26"/>
      <c r="R20" s="26"/>
      <c r="S20" s="26"/>
      <c r="T20" s="26"/>
      <c r="U20" s="26"/>
      <c r="V20" s="49"/>
    </row>
    <row r="21" spans="1:22">
      <c r="A21" s="2869"/>
      <c r="B21" s="50"/>
      <c r="C21" s="53"/>
      <c r="D21" s="53"/>
      <c r="E21" s="53"/>
      <c r="F21" s="53"/>
      <c r="G21" s="53"/>
      <c r="H21" s="53"/>
      <c r="I21" s="53"/>
      <c r="J21" s="53"/>
      <c r="K21" s="53"/>
      <c r="L21" s="53"/>
      <c r="M21" s="53"/>
      <c r="N21" s="56"/>
      <c r="O21" s="974"/>
      <c r="P21" s="974"/>
      <c r="Q21" s="26"/>
      <c r="R21" s="26"/>
      <c r="S21" s="26"/>
      <c r="T21" s="26"/>
      <c r="U21" s="26"/>
      <c r="V21" s="49"/>
    </row>
    <row r="22" spans="1:22">
      <c r="A22" s="2869"/>
      <c r="B22" s="50"/>
      <c r="C22" s="53"/>
      <c r="D22" s="53"/>
      <c r="E22" s="53"/>
      <c r="F22" s="53"/>
      <c r="G22" s="53"/>
      <c r="H22" s="53"/>
      <c r="I22" s="53"/>
      <c r="J22" s="53"/>
      <c r="K22" s="53"/>
      <c r="L22" s="53"/>
      <c r="M22" s="53"/>
      <c r="N22" s="56"/>
      <c r="O22" s="974"/>
      <c r="P22" s="974"/>
      <c r="Q22" s="26"/>
      <c r="R22" s="26"/>
      <c r="S22" s="26"/>
      <c r="T22" s="26"/>
      <c r="U22" s="26"/>
      <c r="V22" s="49"/>
    </row>
    <row r="23" spans="1:22">
      <c r="A23" s="2869"/>
      <c r="B23" s="50"/>
      <c r="C23" s="53"/>
      <c r="D23" s="53"/>
      <c r="E23" s="53"/>
      <c r="F23" s="53"/>
      <c r="G23" s="53"/>
      <c r="H23" s="53"/>
      <c r="I23" s="53"/>
      <c r="J23" s="53"/>
      <c r="K23" s="53"/>
      <c r="L23" s="53"/>
      <c r="M23" s="53"/>
      <c r="N23" s="56"/>
      <c r="O23" s="974"/>
      <c r="P23" s="974"/>
      <c r="Q23" s="26"/>
      <c r="R23" s="26"/>
      <c r="S23" s="26"/>
      <c r="T23" s="26"/>
      <c r="U23" s="26"/>
      <c r="V23" s="49"/>
    </row>
    <row r="24" spans="1:22">
      <c r="A24" s="2869"/>
      <c r="B24" s="50"/>
      <c r="C24" s="53"/>
      <c r="D24" s="53"/>
      <c r="E24" s="53"/>
      <c r="F24" s="53"/>
      <c r="G24" s="53"/>
      <c r="H24" s="53"/>
      <c r="I24" s="53"/>
      <c r="J24" s="53"/>
      <c r="K24" s="53"/>
      <c r="L24" s="53"/>
      <c r="M24" s="53"/>
      <c r="N24" s="56"/>
      <c r="O24" s="974"/>
      <c r="P24" s="974"/>
      <c r="Q24" s="26"/>
      <c r="R24" s="26"/>
      <c r="S24" s="26"/>
      <c r="T24" s="26"/>
      <c r="U24" s="26"/>
      <c r="V24" s="49"/>
    </row>
    <row r="25" spans="1:22">
      <c r="A25" s="2869"/>
      <c r="B25" s="50"/>
      <c r="C25" s="53"/>
      <c r="D25" s="53"/>
      <c r="E25" s="53"/>
      <c r="F25" s="53"/>
      <c r="G25" s="53"/>
      <c r="H25" s="53"/>
      <c r="I25" s="53"/>
      <c r="J25" s="53"/>
      <c r="K25" s="53"/>
      <c r="L25" s="53"/>
      <c r="M25" s="53"/>
      <c r="N25" s="56"/>
      <c r="O25" s="974"/>
      <c r="P25" s="974"/>
      <c r="Q25" s="26"/>
      <c r="R25" s="26"/>
      <c r="S25" s="26"/>
      <c r="T25" s="26"/>
      <c r="U25" s="26"/>
      <c r="V25" s="49"/>
    </row>
    <row r="26" spans="1:22">
      <c r="A26" s="2869"/>
      <c r="B26" s="50"/>
      <c r="C26" s="53"/>
      <c r="D26" s="53"/>
      <c r="E26" s="53"/>
      <c r="F26" s="53"/>
      <c r="G26" s="53"/>
      <c r="H26" s="53"/>
      <c r="I26" s="53"/>
      <c r="J26" s="53"/>
      <c r="K26" s="53"/>
      <c r="L26" s="53"/>
      <c r="M26" s="53"/>
      <c r="N26" s="56"/>
      <c r="O26" s="974"/>
      <c r="P26" s="974"/>
      <c r="Q26" s="26"/>
      <c r="R26" s="26"/>
      <c r="S26" s="26"/>
      <c r="T26" s="26"/>
      <c r="U26" s="26"/>
      <c r="V26" s="49"/>
    </row>
    <row r="27" spans="1:22">
      <c r="A27" s="2870"/>
      <c r="B27" s="50"/>
      <c r="C27" s="53"/>
      <c r="D27" s="53"/>
      <c r="E27" s="53"/>
      <c r="F27" s="53"/>
      <c r="G27" s="53"/>
      <c r="H27" s="53"/>
      <c r="I27" s="53"/>
      <c r="J27" s="53"/>
      <c r="K27" s="53"/>
      <c r="L27" s="53"/>
      <c r="M27" s="53"/>
      <c r="N27" s="56"/>
      <c r="O27" s="974"/>
      <c r="P27" s="974"/>
      <c r="Q27" s="26"/>
      <c r="R27" s="26"/>
      <c r="S27" s="26"/>
      <c r="T27" s="26"/>
      <c r="U27" s="26"/>
      <c r="V27" s="49"/>
    </row>
    <row r="28" spans="1:22">
      <c r="A28" s="2869"/>
      <c r="B28" s="50"/>
      <c r="C28" s="53"/>
      <c r="D28" s="53"/>
      <c r="E28" s="53"/>
      <c r="F28" s="53"/>
      <c r="G28" s="53"/>
      <c r="H28" s="53"/>
      <c r="I28" s="53"/>
      <c r="J28" s="53"/>
      <c r="K28" s="53"/>
      <c r="L28" s="53"/>
      <c r="M28" s="53"/>
      <c r="N28" s="56"/>
      <c r="O28" s="974"/>
      <c r="P28" s="974"/>
      <c r="Q28" s="26"/>
      <c r="R28" s="26"/>
      <c r="S28" s="26"/>
      <c r="T28" s="26"/>
      <c r="U28" s="26"/>
      <c r="V28" s="49"/>
    </row>
    <row r="29" spans="1:22">
      <c r="A29" s="2869"/>
      <c r="B29" s="50"/>
      <c r="C29" s="53"/>
      <c r="D29" s="53"/>
      <c r="E29" s="53"/>
      <c r="F29" s="53"/>
      <c r="G29" s="53"/>
      <c r="H29" s="53"/>
      <c r="I29" s="53"/>
      <c r="J29" s="53"/>
      <c r="K29" s="53"/>
      <c r="L29" s="53"/>
      <c r="M29" s="53"/>
      <c r="N29" s="56"/>
      <c r="O29" s="974"/>
      <c r="P29" s="974"/>
      <c r="Q29" s="26"/>
      <c r="R29" s="26"/>
      <c r="S29" s="26"/>
      <c r="T29" s="26"/>
      <c r="U29" s="26"/>
      <c r="V29" s="49"/>
    </row>
    <row r="30" spans="1:22" ht="12.75" customHeight="1">
      <c r="A30" s="2869"/>
      <c r="B30" s="50"/>
      <c r="C30" s="53"/>
      <c r="D30" s="53"/>
      <c r="E30" s="53"/>
      <c r="F30" s="53"/>
      <c r="G30" s="53"/>
      <c r="H30" s="53"/>
      <c r="I30" s="53"/>
      <c r="J30" s="53"/>
      <c r="K30" s="53"/>
      <c r="L30" s="53"/>
      <c r="M30" s="53"/>
      <c r="N30" s="56"/>
      <c r="O30" s="974"/>
      <c r="P30" s="974"/>
      <c r="Q30" s="26"/>
      <c r="R30" s="26"/>
      <c r="S30" s="26"/>
      <c r="T30" s="26"/>
      <c r="U30" s="26"/>
      <c r="V30" s="49"/>
    </row>
    <row r="31" spans="1:22">
      <c r="A31" s="2869"/>
      <c r="B31" s="50"/>
      <c r="C31" s="53"/>
      <c r="D31" s="53"/>
      <c r="E31" s="53"/>
      <c r="F31" s="53"/>
      <c r="G31" s="53"/>
      <c r="H31" s="53"/>
      <c r="I31" s="53"/>
      <c r="J31" s="53"/>
      <c r="K31" s="53"/>
      <c r="L31" s="53"/>
      <c r="M31" s="53"/>
      <c r="N31" s="56"/>
      <c r="O31" s="974"/>
      <c r="P31" s="974"/>
      <c r="Q31" s="26"/>
      <c r="R31" s="26"/>
      <c r="S31" s="26"/>
      <c r="T31" s="26"/>
      <c r="U31" s="26"/>
      <c r="V31" s="49"/>
    </row>
    <row r="32" spans="1:22">
      <c r="A32" s="2869"/>
      <c r="B32" s="50"/>
      <c r="C32" s="53"/>
      <c r="D32" s="53"/>
      <c r="E32" s="53"/>
      <c r="F32" s="53"/>
      <c r="G32" s="53"/>
      <c r="H32" s="53"/>
      <c r="I32" s="53"/>
      <c r="J32" s="53"/>
      <c r="K32" s="53"/>
      <c r="L32" s="53"/>
      <c r="M32" s="53"/>
      <c r="N32" s="56"/>
      <c r="O32" s="974"/>
      <c r="P32" s="974"/>
      <c r="Q32" s="26"/>
      <c r="R32" s="26"/>
      <c r="S32" s="26"/>
      <c r="T32" s="26"/>
      <c r="U32" s="26"/>
      <c r="V32" s="49"/>
    </row>
    <row r="33" spans="1:22">
      <c r="A33" s="2869"/>
      <c r="B33" s="50"/>
      <c r="C33" s="53"/>
      <c r="D33" s="53"/>
      <c r="E33" s="53"/>
      <c r="F33" s="53"/>
      <c r="G33" s="53"/>
      <c r="H33" s="53"/>
      <c r="I33" s="53"/>
      <c r="J33" s="53"/>
      <c r="K33" s="53"/>
      <c r="L33" s="53"/>
      <c r="M33" s="53"/>
      <c r="N33" s="56"/>
      <c r="O33" s="974"/>
      <c r="P33" s="974"/>
      <c r="Q33" s="26"/>
      <c r="R33" s="26"/>
      <c r="S33" s="26"/>
      <c r="T33" s="26"/>
      <c r="U33" s="26"/>
      <c r="V33" s="49"/>
    </row>
    <row r="34" spans="1:22" ht="12.75" customHeight="1">
      <c r="A34" s="2869"/>
      <c r="B34" s="50"/>
      <c r="C34" s="53"/>
      <c r="D34" s="53"/>
      <c r="E34" s="53"/>
      <c r="F34" s="53"/>
      <c r="G34" s="53"/>
      <c r="H34" s="53"/>
      <c r="I34" s="53"/>
      <c r="J34" s="53"/>
      <c r="K34" s="53"/>
      <c r="L34" s="53"/>
      <c r="M34" s="53"/>
      <c r="N34" s="56"/>
      <c r="O34" s="974"/>
      <c r="P34" s="974"/>
      <c r="Q34" s="26"/>
      <c r="R34" s="26"/>
      <c r="S34" s="26"/>
      <c r="T34" s="26"/>
      <c r="U34" s="26"/>
      <c r="V34" s="49"/>
    </row>
    <row r="35" spans="1:22">
      <c r="A35" s="2869"/>
      <c r="B35" s="50"/>
      <c r="C35" s="53"/>
      <c r="D35" s="53"/>
      <c r="E35" s="53"/>
      <c r="F35" s="53"/>
      <c r="G35" s="53"/>
      <c r="H35" s="53"/>
      <c r="I35" s="53"/>
      <c r="J35" s="53"/>
      <c r="K35" s="53"/>
      <c r="L35" s="53"/>
      <c r="M35" s="53"/>
      <c r="N35" s="56"/>
      <c r="O35" s="974"/>
      <c r="P35" s="974"/>
      <c r="Q35" s="26"/>
      <c r="R35" s="26"/>
      <c r="S35" s="26"/>
      <c r="T35" s="26"/>
      <c r="U35" s="26"/>
      <c r="V35" s="49"/>
    </row>
    <row r="36" spans="1:22">
      <c r="A36" s="2869"/>
      <c r="B36" s="50"/>
      <c r="C36" s="53"/>
      <c r="D36" s="53"/>
      <c r="E36" s="53"/>
      <c r="F36" s="53"/>
      <c r="G36" s="53"/>
      <c r="H36" s="53"/>
      <c r="I36" s="53"/>
      <c r="J36" s="53"/>
      <c r="K36" s="53"/>
      <c r="L36" s="53"/>
      <c r="M36" s="53"/>
      <c r="N36" s="56"/>
      <c r="O36" s="974"/>
      <c r="P36" s="974"/>
      <c r="Q36" s="26"/>
      <c r="R36" s="26"/>
      <c r="S36" s="26"/>
      <c r="T36" s="26"/>
      <c r="U36" s="26"/>
      <c r="V36" s="49"/>
    </row>
    <row r="37" spans="1:22">
      <c r="A37" s="2869"/>
      <c r="B37" s="50"/>
      <c r="C37" s="57"/>
      <c r="D37" s="57"/>
      <c r="E37" s="57"/>
      <c r="F37" s="57"/>
      <c r="G37" s="57"/>
      <c r="H37" s="57"/>
      <c r="I37" s="57"/>
      <c r="J37" s="57"/>
      <c r="K37" s="57"/>
      <c r="L37" s="57"/>
      <c r="M37" s="57"/>
      <c r="N37" s="56"/>
      <c r="O37" s="974"/>
      <c r="P37" s="974"/>
      <c r="Q37" s="26"/>
      <c r="R37" s="26"/>
      <c r="S37" s="26"/>
      <c r="T37" s="26"/>
      <c r="U37" s="26"/>
      <c r="V37" s="49"/>
    </row>
    <row r="38" spans="1:22">
      <c r="A38" s="2869"/>
      <c r="B38" s="50"/>
      <c r="C38" s="58"/>
      <c r="D38" s="58"/>
      <c r="E38" s="58"/>
      <c r="F38" s="58"/>
      <c r="G38" s="58"/>
      <c r="H38" s="58"/>
      <c r="I38" s="58"/>
      <c r="J38" s="53"/>
      <c r="K38" s="53"/>
      <c r="L38" s="53"/>
      <c r="M38" s="53"/>
      <c r="N38" s="56"/>
      <c r="O38" s="974"/>
      <c r="P38" s="974"/>
      <c r="Q38" s="26"/>
      <c r="R38" s="26"/>
      <c r="S38" s="26"/>
      <c r="T38" s="26"/>
      <c r="U38" s="26"/>
      <c r="V38" s="49"/>
    </row>
    <row r="39" spans="1:22">
      <c r="A39" s="2869"/>
      <c r="B39" s="50"/>
      <c r="C39" s="59"/>
      <c r="D39" s="59"/>
      <c r="E39" s="59"/>
      <c r="F39" s="59"/>
      <c r="G39" s="59"/>
      <c r="H39" s="59"/>
      <c r="I39" s="60"/>
      <c r="J39" s="57"/>
      <c r="K39" s="53"/>
      <c r="L39" s="53"/>
      <c r="M39" s="53"/>
      <c r="N39" s="56"/>
      <c r="O39" s="974"/>
      <c r="P39" s="974"/>
      <c r="Q39" s="26"/>
      <c r="R39" s="26"/>
      <c r="S39" s="26"/>
      <c r="T39" s="26"/>
      <c r="U39" s="26"/>
      <c r="V39" s="49"/>
    </row>
    <row r="40" spans="1:22">
      <c r="A40" s="2869"/>
      <c r="B40" s="50"/>
      <c r="C40" s="59"/>
      <c r="D40" s="59"/>
      <c r="E40" s="59"/>
      <c r="F40" s="59"/>
      <c r="G40" s="59"/>
      <c r="H40" s="59"/>
      <c r="I40" s="60"/>
      <c r="J40" s="57"/>
      <c r="K40" s="53"/>
      <c r="L40" s="53"/>
      <c r="M40" s="53"/>
      <c r="N40" s="56"/>
      <c r="O40" s="974"/>
      <c r="P40" s="974"/>
      <c r="Q40" s="26"/>
      <c r="R40" s="26"/>
      <c r="S40" s="26"/>
      <c r="T40" s="26"/>
      <c r="U40" s="26"/>
      <c r="V40" s="49"/>
    </row>
    <row r="41" spans="1:22">
      <c r="A41" s="2869"/>
      <c r="B41" s="50"/>
      <c r="C41" s="61"/>
      <c r="D41" s="61"/>
      <c r="E41" s="61"/>
      <c r="F41" s="61"/>
      <c r="G41" s="61"/>
      <c r="H41" s="61"/>
      <c r="I41" s="61"/>
      <c r="J41" s="57"/>
      <c r="K41" s="53"/>
      <c r="L41" s="53"/>
      <c r="M41" s="53"/>
      <c r="N41" s="56"/>
      <c r="O41" s="974"/>
      <c r="P41" s="974"/>
      <c r="Q41" s="26"/>
      <c r="R41" s="26"/>
      <c r="S41" s="26"/>
      <c r="T41" s="26"/>
      <c r="U41" s="26"/>
      <c r="V41" s="49"/>
    </row>
    <row r="42" spans="1:22">
      <c r="A42" s="2869"/>
      <c r="B42" s="50"/>
      <c r="C42" s="61"/>
      <c r="D42" s="61"/>
      <c r="E42" s="61"/>
      <c r="F42" s="61"/>
      <c r="G42" s="61"/>
      <c r="H42" s="61"/>
      <c r="I42" s="61"/>
      <c r="J42" s="57"/>
      <c r="K42" s="53"/>
      <c r="L42" s="53"/>
      <c r="M42" s="53"/>
      <c r="N42" s="56"/>
      <c r="O42" s="974"/>
      <c r="P42" s="974"/>
      <c r="Q42" s="26"/>
      <c r="R42" s="26"/>
      <c r="S42" s="26"/>
      <c r="T42" s="26"/>
      <c r="U42" s="26"/>
      <c r="V42" s="49"/>
    </row>
    <row r="43" spans="1:22">
      <c r="A43" s="2869"/>
      <c r="B43" s="50"/>
      <c r="C43" s="61"/>
      <c r="D43" s="61"/>
      <c r="E43" s="61"/>
      <c r="F43" s="61"/>
      <c r="G43" s="61"/>
      <c r="H43" s="61"/>
      <c r="I43" s="61"/>
      <c r="J43" s="57"/>
      <c r="K43" s="53"/>
      <c r="L43" s="53"/>
      <c r="M43" s="53"/>
      <c r="N43" s="56"/>
      <c r="O43" s="974"/>
      <c r="P43" s="974"/>
      <c r="Q43" s="26"/>
      <c r="R43" s="26"/>
      <c r="S43" s="26"/>
      <c r="T43" s="26"/>
      <c r="U43" s="26"/>
      <c r="V43" s="49"/>
    </row>
    <row r="44" spans="1:22">
      <c r="A44" s="2869"/>
      <c r="B44" s="50"/>
      <c r="C44" s="61"/>
      <c r="D44" s="61"/>
      <c r="E44" s="61"/>
      <c r="F44" s="61"/>
      <c r="G44" s="61"/>
      <c r="H44" s="61"/>
      <c r="I44" s="61"/>
      <c r="J44" s="57"/>
      <c r="K44" s="62"/>
      <c r="L44" s="62"/>
      <c r="M44" s="62"/>
      <c r="N44" s="56"/>
      <c r="O44" s="981"/>
      <c r="P44" s="981"/>
      <c r="Q44" s="49"/>
      <c r="R44" s="49"/>
      <c r="S44" s="49"/>
      <c r="T44" s="49"/>
      <c r="U44" s="49"/>
      <c r="V44" s="49"/>
    </row>
    <row r="45" spans="1:22">
      <c r="A45" s="2871"/>
      <c r="B45" s="50"/>
      <c r="C45" s="63"/>
      <c r="D45" s="63"/>
      <c r="E45" s="63"/>
      <c r="F45" s="63"/>
      <c r="G45" s="63"/>
      <c r="H45" s="63"/>
      <c r="I45" s="63"/>
      <c r="J45" s="57"/>
      <c r="K45" s="53"/>
      <c r="L45" s="53"/>
      <c r="M45" s="53"/>
      <c r="N45" s="56"/>
      <c r="O45" s="974"/>
      <c r="P45" s="974"/>
      <c r="Q45" s="26"/>
      <c r="R45" s="26"/>
      <c r="S45" s="26"/>
      <c r="T45" s="26"/>
      <c r="U45" s="26"/>
      <c r="V45" s="26"/>
    </row>
    <row r="46" spans="1:22" ht="13.5" thickBot="1">
      <c r="A46" s="136"/>
      <c r="B46" s="52"/>
      <c r="C46" s="54"/>
      <c r="D46" s="54"/>
      <c r="E46" s="54"/>
      <c r="F46" s="54"/>
      <c r="G46" s="54"/>
      <c r="H46" s="54"/>
      <c r="I46" s="54"/>
      <c r="J46" s="54"/>
      <c r="K46" s="54"/>
      <c r="L46" s="54"/>
      <c r="M46" s="54"/>
      <c r="N46" s="55"/>
      <c r="O46" s="974"/>
      <c r="P46" s="974"/>
      <c r="Q46" s="26"/>
      <c r="R46" s="26"/>
      <c r="S46" s="25"/>
    </row>
    <row r="47" spans="1:22" ht="13.5" thickTop="1">
      <c r="A47" s="136"/>
      <c r="B47" s="282"/>
      <c r="C47" s="282"/>
      <c r="D47" s="282"/>
      <c r="E47" s="282"/>
      <c r="F47" s="282"/>
      <c r="G47" s="282"/>
      <c r="H47" s="282"/>
      <c r="I47" s="282"/>
      <c r="J47" s="973"/>
      <c r="K47" s="974"/>
      <c r="L47" s="974"/>
      <c r="M47" s="973"/>
      <c r="N47" s="973"/>
      <c r="O47" s="973"/>
      <c r="P47" s="973"/>
    </row>
    <row r="48" spans="1:22">
      <c r="A48" s="136"/>
      <c r="B48" s="282"/>
      <c r="C48" s="282"/>
      <c r="D48" s="282"/>
      <c r="E48" s="282"/>
      <c r="F48" s="282"/>
      <c r="G48" s="282"/>
      <c r="H48" s="282"/>
      <c r="I48" s="282"/>
      <c r="J48" s="973"/>
      <c r="K48" s="974"/>
      <c r="L48" s="974"/>
      <c r="M48" s="973"/>
      <c r="N48" s="973"/>
      <c r="O48" s="973"/>
      <c r="P48" s="973"/>
    </row>
    <row r="49" spans="1:16">
      <c r="A49" s="973"/>
      <c r="B49" s="282"/>
      <c r="C49" s="282"/>
      <c r="D49" s="282"/>
      <c r="E49" s="282"/>
      <c r="F49" s="282"/>
      <c r="G49" s="282"/>
      <c r="H49" s="282"/>
      <c r="I49" s="282"/>
      <c r="J49" s="973"/>
      <c r="K49" s="974"/>
      <c r="L49" s="974"/>
      <c r="M49" s="973"/>
      <c r="N49" s="973"/>
      <c r="O49" s="973"/>
      <c r="P49" s="973"/>
    </row>
    <row r="50" spans="1:16">
      <c r="A50" s="973"/>
      <c r="B50" s="282"/>
      <c r="C50" s="282"/>
      <c r="D50" s="282"/>
      <c r="E50" s="282"/>
      <c r="F50" s="282"/>
      <c r="G50" s="282"/>
      <c r="H50" s="282"/>
      <c r="I50" s="282"/>
      <c r="J50" s="973"/>
      <c r="K50" s="974"/>
      <c r="L50" s="974"/>
      <c r="M50" s="973"/>
      <c r="N50" s="973"/>
      <c r="O50" s="973"/>
      <c r="P50" s="973"/>
    </row>
    <row r="51" spans="1:16">
      <c r="B51"/>
      <c r="C51"/>
      <c r="D51"/>
      <c r="E51"/>
      <c r="F51"/>
      <c r="G51"/>
      <c r="H51"/>
      <c r="I51"/>
      <c r="K51" s="26"/>
      <c r="L51" s="26"/>
    </row>
    <row r="52" spans="1:16">
      <c r="B52"/>
      <c r="C52"/>
      <c r="D52"/>
      <c r="E52"/>
      <c r="F52"/>
      <c r="G52"/>
      <c r="H52"/>
      <c r="I52"/>
      <c r="K52" s="26"/>
      <c r="L52" s="26"/>
    </row>
    <row r="53" spans="1:16">
      <c r="B53"/>
      <c r="C53"/>
      <c r="D53"/>
      <c r="E53"/>
      <c r="F53"/>
      <c r="G53"/>
      <c r="H53"/>
      <c r="I53"/>
      <c r="K53" s="26"/>
      <c r="L53" s="26"/>
    </row>
    <row r="54" spans="1:16">
      <c r="B54"/>
      <c r="C54"/>
      <c r="D54"/>
      <c r="E54"/>
      <c r="F54"/>
      <c r="G54"/>
      <c r="H54"/>
      <c r="I54"/>
      <c r="K54" s="26"/>
      <c r="L54" s="26"/>
    </row>
    <row r="55" spans="1:16">
      <c r="B55"/>
      <c r="C55"/>
      <c r="D55"/>
      <c r="E55"/>
      <c r="F55"/>
      <c r="G55"/>
      <c r="H55"/>
      <c r="I55"/>
      <c r="J55"/>
      <c r="K55" s="26"/>
      <c r="L55" s="26"/>
    </row>
    <row r="56" spans="1:16">
      <c r="B56"/>
      <c r="C56"/>
      <c r="D56"/>
      <c r="E56"/>
      <c r="F56"/>
      <c r="G56"/>
      <c r="H56"/>
      <c r="I56"/>
      <c r="J56"/>
    </row>
    <row r="57" spans="1:16">
      <c r="B57"/>
      <c r="C57"/>
      <c r="D57"/>
      <c r="E57"/>
      <c r="F57"/>
      <c r="G57"/>
      <c r="H57"/>
      <c r="I57"/>
      <c r="J57"/>
    </row>
    <row r="58" spans="1:16">
      <c r="B58"/>
      <c r="C58"/>
      <c r="D58"/>
      <c r="E58"/>
      <c r="F58"/>
      <c r="G58"/>
      <c r="H58"/>
      <c r="I58"/>
      <c r="J58"/>
    </row>
    <row r="59" spans="1:16">
      <c r="B59"/>
      <c r="C59"/>
      <c r="D59"/>
      <c r="E59"/>
      <c r="F59"/>
      <c r="G59"/>
      <c r="H59"/>
      <c r="I59"/>
      <c r="J59"/>
    </row>
    <row r="60" spans="1:16">
      <c r="B60"/>
      <c r="C60"/>
      <c r="D60"/>
      <c r="E60"/>
      <c r="F60"/>
      <c r="G60"/>
      <c r="H60"/>
      <c r="I60"/>
      <c r="J60"/>
    </row>
  </sheetData>
  <phoneticPr fontId="12" type="noConversion"/>
  <pageMargins left="0.74803149606299213" right="0.74803149606299213" top="0.98425196850393704" bottom="0.98425196850393704" header="0.51181102362204722" footer="0.51181102362204722"/>
  <pageSetup paperSize="9" scale="66" orientation="landscape" r:id="rId1"/>
  <headerFooter alignWithMargins="0">
    <oddFooter>&amp;L&amp;D&amp;C&amp; Pro Forma: &amp;A
&amp;F&amp;R&amp;P o&amp;Of &amp;N</oddFooter>
  </headerFooter>
  <customProperties>
    <customPr name="layoutContexts" r:id="rId2"/>
  </customProperties>
  <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92D050"/>
    <pageSetUpPr autoPageBreaks="0" fitToPage="1"/>
  </sheetPr>
  <dimension ref="A1:AE83"/>
  <sheetViews>
    <sheetView showGridLines="0" topLeftCell="B10" zoomScale="85" zoomScaleNormal="85" workbookViewId="0">
      <selection activeCell="H22" sqref="H22"/>
    </sheetView>
  </sheetViews>
  <sheetFormatPr defaultRowHeight="12.75"/>
  <cols>
    <col min="1" max="1" width="17.7109375" style="65" hidden="1" customWidth="1"/>
    <col min="2" max="2" width="16.140625" customWidth="1"/>
    <col min="3" max="3" width="56.140625" customWidth="1"/>
    <col min="4" max="4" width="21.28515625" customWidth="1"/>
    <col min="5" max="5" width="25" customWidth="1"/>
    <col min="6" max="10" width="18.7109375" customWidth="1"/>
    <col min="11" max="11" width="15.42578125" customWidth="1"/>
    <col min="12" max="12" width="22.85546875" customWidth="1"/>
  </cols>
  <sheetData>
    <row r="1" spans="1:31" s="217" customFormat="1" ht="24" customHeight="1">
      <c r="C1" s="2272" t="str">
        <f>IF(dms_DataQuality="backcast",INDEX(dms_Worksheet_List,MATCH(dms_Model,dms_Model_List))&amp;" BACKCAST",INDEX(dms_Worksheet_List,MATCH(dms_Model,dms_Model_List)))</f>
        <v>REGULATORY REPORTING STATEMENT</v>
      </c>
      <c r="D1" s="518"/>
      <c r="E1" s="518"/>
      <c r="F1" s="518"/>
      <c r="G1" s="518"/>
      <c r="H1" s="518"/>
      <c r="I1" s="518"/>
      <c r="J1" s="518"/>
      <c r="K1" s="518"/>
      <c r="L1" s="518"/>
      <c r="M1"/>
      <c r="N1"/>
      <c r="O1"/>
      <c r="P1"/>
      <c r="Q1"/>
      <c r="R1"/>
      <c r="S1"/>
      <c r="T1"/>
      <c r="U1"/>
      <c r="V1"/>
      <c r="W1"/>
      <c r="X1"/>
      <c r="Y1"/>
      <c r="Z1"/>
      <c r="AA1"/>
      <c r="AB1"/>
      <c r="AC1"/>
      <c r="AD1"/>
      <c r="AE1"/>
    </row>
    <row r="2" spans="1:31" s="217" customFormat="1" ht="24" customHeight="1">
      <c r="C2" s="2277" t="str">
        <f>INDEX(dms_TradingNameFull_List,MATCH(dms_TradingName,dms_TradingName_List))</f>
        <v>Multinet Gas (DB No.1) Pty Ltd (ACN 086 026 986), Multinet Gas (DB No.2) Pty Ltd (ACN 086 230 122)</v>
      </c>
      <c r="D2" s="220"/>
      <c r="E2" s="220"/>
      <c r="F2" s="220"/>
      <c r="G2" s="220"/>
      <c r="H2" s="220"/>
      <c r="I2" s="220"/>
      <c r="J2" s="220"/>
      <c r="K2" s="220"/>
      <c r="L2" s="220"/>
      <c r="M2"/>
      <c r="N2"/>
      <c r="O2"/>
      <c r="P2"/>
      <c r="Q2"/>
      <c r="R2"/>
      <c r="S2"/>
      <c r="T2"/>
      <c r="U2"/>
      <c r="V2"/>
      <c r="W2"/>
      <c r="X2"/>
      <c r="Y2"/>
      <c r="Z2"/>
      <c r="AA2"/>
      <c r="AB2"/>
      <c r="AC2"/>
      <c r="AD2"/>
      <c r="AE2"/>
    </row>
    <row r="3" spans="1:31" s="217" customFormat="1" ht="24" customHeight="1">
      <c r="C3" s="2277" t="str">
        <f ca="1">IF(SUM(dms_SingleYear_Model)&gt;0,CRY,CONCATENATE(FRCP_y1," to ",dms_MultiYear_FinalYear_Result))</f>
        <v>2018 to 2022</v>
      </c>
      <c r="D3" s="221"/>
      <c r="E3" s="221"/>
      <c r="F3" s="221"/>
      <c r="G3" s="221"/>
      <c r="H3" s="221"/>
      <c r="I3" s="221"/>
      <c r="J3" s="221"/>
      <c r="K3" s="221"/>
      <c r="L3" s="221"/>
      <c r="M3"/>
      <c r="N3"/>
      <c r="O3"/>
      <c r="P3"/>
      <c r="Q3"/>
      <c r="R3"/>
      <c r="S3"/>
      <c r="T3"/>
      <c r="U3"/>
      <c r="V3"/>
      <c r="W3"/>
      <c r="X3"/>
      <c r="Y3"/>
      <c r="Z3"/>
      <c r="AA3"/>
      <c r="AB3"/>
      <c r="AC3"/>
      <c r="AD3"/>
      <c r="AE3"/>
    </row>
    <row r="4" spans="1:31" s="159" customFormat="1" ht="24" customHeight="1">
      <c r="B4"/>
      <c r="C4" s="12" t="s">
        <v>381</v>
      </c>
      <c r="D4" s="12"/>
      <c r="E4" s="12"/>
      <c r="F4" s="12"/>
      <c r="G4" s="12"/>
      <c r="H4" s="12"/>
      <c r="I4" s="12"/>
      <c r="J4" s="12"/>
      <c r="K4" s="12"/>
      <c r="L4" s="12"/>
      <c r="M4"/>
      <c r="N4"/>
      <c r="O4"/>
      <c r="P4"/>
      <c r="Q4"/>
      <c r="R4"/>
      <c r="S4"/>
      <c r="T4"/>
      <c r="U4"/>
      <c r="V4"/>
      <c r="W4"/>
      <c r="X4"/>
      <c r="Y4"/>
      <c r="Z4"/>
      <c r="AA4"/>
      <c r="AB4"/>
      <c r="AC4"/>
      <c r="AD4"/>
      <c r="AE4"/>
    </row>
    <row r="5" spans="1:31">
      <c r="A5" s="282"/>
      <c r="B5" s="282"/>
      <c r="C5" s="282"/>
      <c r="D5" s="282"/>
      <c r="E5" s="282"/>
      <c r="F5" s="282"/>
      <c r="G5" s="282"/>
      <c r="H5" s="282"/>
      <c r="I5" s="282"/>
      <c r="J5" s="282"/>
      <c r="K5" s="282"/>
      <c r="L5" s="282"/>
    </row>
    <row r="6" spans="1:31" s="65" customFormat="1" ht="12.75" customHeight="1">
      <c r="A6" s="282"/>
      <c r="B6" s="282"/>
      <c r="C6" s="282"/>
      <c r="D6" s="282"/>
      <c r="E6" s="282"/>
      <c r="F6" s="282"/>
      <c r="G6" s="282"/>
      <c r="H6" s="282"/>
      <c r="I6" s="282"/>
      <c r="J6" s="282"/>
      <c r="K6" s="282"/>
      <c r="L6" s="282"/>
      <c r="M6"/>
      <c r="N6"/>
      <c r="O6"/>
      <c r="P6"/>
      <c r="Q6"/>
      <c r="R6"/>
      <c r="S6"/>
      <c r="T6"/>
      <c r="U6"/>
      <c r="V6"/>
      <c r="W6"/>
      <c r="X6"/>
      <c r="Y6"/>
      <c r="Z6"/>
      <c r="AA6"/>
      <c r="AB6"/>
      <c r="AC6"/>
      <c r="AD6"/>
      <c r="AE6"/>
    </row>
    <row r="7" spans="1:31" s="65" customFormat="1" ht="12.75" customHeight="1">
      <c r="A7" s="282"/>
      <c r="B7" s="282"/>
      <c r="C7" s="84" t="s">
        <v>61</v>
      </c>
      <c r="D7" s="84"/>
      <c r="E7" s="84"/>
      <c r="F7" s="84"/>
      <c r="G7" s="149"/>
      <c r="H7" s="149"/>
      <c r="I7" s="282"/>
      <c r="J7" s="282"/>
      <c r="K7" s="282"/>
      <c r="L7" s="282"/>
      <c r="M7"/>
      <c r="N7"/>
      <c r="O7"/>
      <c r="P7"/>
      <c r="Q7"/>
      <c r="R7"/>
      <c r="S7"/>
      <c r="T7"/>
      <c r="U7"/>
      <c r="V7"/>
      <c r="W7"/>
      <c r="X7"/>
      <c r="Y7"/>
      <c r="Z7"/>
      <c r="AA7"/>
      <c r="AB7"/>
      <c r="AC7"/>
      <c r="AD7"/>
      <c r="AE7"/>
    </row>
    <row r="8" spans="1:31" s="65" customFormat="1" ht="30.75" customHeight="1">
      <c r="A8" s="282"/>
      <c r="B8" s="282"/>
      <c r="C8" s="4593" t="s">
        <v>232</v>
      </c>
      <c r="D8" s="4594"/>
      <c r="E8" s="4594"/>
      <c r="F8" s="4594"/>
      <c r="G8" s="4594"/>
      <c r="H8" s="4594"/>
      <c r="I8" s="282"/>
      <c r="J8" s="282"/>
      <c r="K8" s="282"/>
      <c r="L8" s="282"/>
      <c r="M8"/>
      <c r="N8"/>
      <c r="O8"/>
      <c r="P8"/>
      <c r="Q8"/>
      <c r="R8"/>
      <c r="S8"/>
      <c r="T8"/>
      <c r="U8"/>
      <c r="V8"/>
      <c r="W8"/>
      <c r="X8"/>
      <c r="Y8"/>
      <c r="Z8"/>
      <c r="AA8"/>
      <c r="AB8"/>
      <c r="AC8"/>
      <c r="AD8"/>
      <c r="AE8"/>
    </row>
    <row r="9" spans="1:31" s="65" customFormat="1" ht="12.75" customHeight="1">
      <c r="A9" s="282"/>
      <c r="B9" s="282"/>
      <c r="C9" s="111"/>
      <c r="D9" s="84"/>
      <c r="E9" s="84"/>
      <c r="F9" s="84"/>
      <c r="G9" s="149"/>
      <c r="H9" s="149"/>
      <c r="I9" s="282"/>
      <c r="J9" s="282"/>
      <c r="K9" s="282"/>
      <c r="L9" s="282"/>
      <c r="M9"/>
      <c r="N9"/>
      <c r="O9"/>
      <c r="P9"/>
      <c r="Q9"/>
      <c r="R9"/>
      <c r="S9"/>
      <c r="T9"/>
      <c r="U9"/>
      <c r="V9"/>
      <c r="W9"/>
      <c r="X9"/>
      <c r="Y9"/>
      <c r="Z9"/>
      <c r="AA9"/>
      <c r="AB9"/>
      <c r="AC9"/>
      <c r="AD9"/>
      <c r="AE9"/>
    </row>
    <row r="10" spans="1:31" s="65" customFormat="1" ht="12.75" customHeight="1">
      <c r="A10" s="282"/>
      <c r="B10" s="282"/>
      <c r="C10" s="148" t="s">
        <v>2</v>
      </c>
      <c r="D10" s="148"/>
      <c r="E10" s="84"/>
      <c r="F10" s="84"/>
      <c r="G10" s="149"/>
      <c r="H10" s="149"/>
      <c r="I10" s="282"/>
      <c r="J10" s="282"/>
      <c r="K10" s="282"/>
      <c r="L10" s="282"/>
      <c r="M10"/>
      <c r="N10"/>
      <c r="O10"/>
      <c r="P10"/>
      <c r="Q10"/>
      <c r="R10"/>
      <c r="S10"/>
      <c r="T10"/>
      <c r="U10"/>
      <c r="V10"/>
      <c r="W10"/>
      <c r="X10"/>
      <c r="Y10"/>
      <c r="Z10"/>
      <c r="AA10"/>
      <c r="AB10"/>
      <c r="AC10"/>
      <c r="AD10"/>
      <c r="AE10"/>
    </row>
    <row r="11" spans="1:31" s="65" customFormat="1" ht="12.75" customHeight="1">
      <c r="A11" s="282"/>
      <c r="B11" s="282"/>
      <c r="C11" s="148"/>
      <c r="D11" s="148"/>
      <c r="E11" s="84"/>
      <c r="F11" s="84"/>
      <c r="G11" s="149"/>
      <c r="H11" s="149"/>
      <c r="I11" s="282"/>
      <c r="J11" s="282"/>
      <c r="K11" s="282"/>
      <c r="L11" s="282"/>
      <c r="M11"/>
      <c r="N11"/>
      <c r="O11"/>
      <c r="P11"/>
      <c r="Q11"/>
      <c r="R11"/>
      <c r="S11"/>
      <c r="T11"/>
      <c r="U11"/>
      <c r="V11"/>
      <c r="W11"/>
      <c r="X11"/>
      <c r="Y11"/>
      <c r="Z11"/>
      <c r="AA11"/>
      <c r="AB11"/>
      <c r="AC11"/>
      <c r="AD11"/>
      <c r="AE11"/>
    </row>
    <row r="12" spans="1:31" s="65" customFormat="1" ht="12.75" customHeight="1">
      <c r="A12" s="282"/>
      <c r="B12" s="282"/>
      <c r="C12" s="111" t="s">
        <v>235</v>
      </c>
      <c r="D12" s="111"/>
      <c r="E12" s="84"/>
      <c r="F12" s="84"/>
      <c r="G12" s="149"/>
      <c r="H12" s="149"/>
      <c r="I12" s="282"/>
      <c r="J12" s="282"/>
      <c r="K12" s="282"/>
      <c r="L12" s="282"/>
      <c r="M12"/>
      <c r="N12"/>
      <c r="O12"/>
      <c r="P12"/>
      <c r="Q12"/>
      <c r="R12"/>
      <c r="S12"/>
      <c r="T12"/>
      <c r="U12"/>
      <c r="V12"/>
      <c r="W12"/>
      <c r="X12"/>
      <c r="Y12"/>
      <c r="Z12"/>
      <c r="AA12"/>
      <c r="AB12"/>
      <c r="AC12"/>
      <c r="AD12"/>
      <c r="AE12"/>
    </row>
    <row r="13" spans="1:31" s="65" customFormat="1" ht="12.75" customHeight="1">
      <c r="A13" s="282"/>
      <c r="B13" s="282"/>
      <c r="C13" s="111"/>
      <c r="D13" s="111"/>
      <c r="E13" s="84"/>
      <c r="F13" s="84"/>
      <c r="G13" s="149"/>
      <c r="H13" s="149"/>
      <c r="I13" s="282"/>
      <c r="J13" s="282"/>
      <c r="K13" s="282"/>
      <c r="L13" s="282"/>
      <c r="M13"/>
      <c r="N13"/>
      <c r="O13"/>
      <c r="P13"/>
      <c r="Q13"/>
      <c r="R13"/>
      <c r="S13"/>
      <c r="T13"/>
      <c r="U13"/>
      <c r="V13"/>
      <c r="W13"/>
      <c r="X13"/>
      <c r="Y13"/>
      <c r="Z13"/>
      <c r="AA13"/>
      <c r="AB13"/>
      <c r="AC13"/>
      <c r="AD13"/>
      <c r="AE13"/>
    </row>
    <row r="14" spans="1:31" s="65" customFormat="1" ht="12.75" customHeight="1">
      <c r="A14" s="282"/>
      <c r="B14" s="282"/>
      <c r="C14" s="569"/>
      <c r="D14" s="569"/>
      <c r="E14" s="1304"/>
      <c r="F14" s="1304"/>
      <c r="G14" s="282"/>
      <c r="H14" s="282"/>
      <c r="I14" s="282"/>
      <c r="J14" s="282"/>
      <c r="K14" s="282"/>
      <c r="L14" s="282"/>
      <c r="M14"/>
      <c r="N14"/>
      <c r="O14"/>
      <c r="P14"/>
      <c r="Q14"/>
      <c r="R14"/>
      <c r="S14"/>
      <c r="T14"/>
      <c r="U14"/>
      <c r="V14"/>
      <c r="W14"/>
      <c r="X14"/>
      <c r="Y14"/>
      <c r="Z14"/>
      <c r="AA14"/>
      <c r="AB14"/>
      <c r="AC14"/>
      <c r="AD14"/>
      <c r="AE14"/>
    </row>
    <row r="15" spans="1:31" s="65" customFormat="1" ht="12.75" customHeight="1">
      <c r="A15" s="282"/>
      <c r="B15" s="282"/>
      <c r="C15" s="569"/>
      <c r="D15" s="569"/>
      <c r="E15" s="1304"/>
      <c r="F15" s="1304"/>
      <c r="G15" s="282"/>
      <c r="H15" s="282"/>
      <c r="I15" s="282"/>
      <c r="J15" s="282"/>
      <c r="K15" s="282"/>
      <c r="L15" s="282"/>
      <c r="M15"/>
      <c r="N15"/>
      <c r="O15"/>
      <c r="P15"/>
      <c r="Q15"/>
      <c r="R15"/>
      <c r="S15"/>
      <c r="T15"/>
      <c r="U15"/>
      <c r="V15"/>
      <c r="W15"/>
      <c r="X15"/>
      <c r="Y15"/>
      <c r="Z15"/>
      <c r="AA15"/>
      <c r="AB15"/>
      <c r="AC15"/>
      <c r="AD15"/>
      <c r="AE15"/>
    </row>
    <row r="16" spans="1:31" s="65" customFormat="1" ht="12.75" customHeight="1">
      <c r="A16" s="282"/>
      <c r="B16" s="282"/>
      <c r="C16" s="282"/>
      <c r="D16" s="282"/>
      <c r="E16" s="282"/>
      <c r="F16" s="282"/>
      <c r="G16" s="282"/>
      <c r="H16" s="282"/>
      <c r="I16" s="282"/>
      <c r="J16" s="282"/>
      <c r="K16" s="282"/>
      <c r="L16" s="282"/>
      <c r="M16"/>
      <c r="N16"/>
      <c r="O16"/>
      <c r="P16"/>
      <c r="Q16"/>
      <c r="R16"/>
      <c r="S16"/>
      <c r="T16"/>
      <c r="U16"/>
      <c r="V16"/>
      <c r="W16"/>
      <c r="X16"/>
      <c r="Y16"/>
      <c r="Z16"/>
      <c r="AA16"/>
      <c r="AB16"/>
      <c r="AC16"/>
      <c r="AD16"/>
      <c r="AE16"/>
    </row>
    <row r="17" spans="1:31" s="136" customFormat="1" ht="18">
      <c r="A17" s="1268"/>
      <c r="B17" s="1268"/>
      <c r="C17" s="827" t="s">
        <v>1470</v>
      </c>
      <c r="D17" s="828"/>
      <c r="E17" s="828"/>
      <c r="F17" s="828"/>
      <c r="G17" s="828"/>
      <c r="H17" s="828"/>
      <c r="I17" s="828"/>
      <c r="J17" s="828"/>
      <c r="K17" s="828"/>
      <c r="L17" s="828"/>
      <c r="M17" s="1266"/>
      <c r="N17" s="1266"/>
      <c r="O17" s="1266"/>
      <c r="P17" s="1266"/>
      <c r="Q17" s="1266"/>
      <c r="R17" s="1266"/>
      <c r="S17" s="1266"/>
      <c r="T17" s="1266"/>
      <c r="U17" s="1266"/>
      <c r="V17" s="1266"/>
      <c r="W17" s="1266"/>
      <c r="X17" s="1266"/>
      <c r="Y17" s="1266"/>
      <c r="Z17" s="1266"/>
      <c r="AA17" s="1266"/>
      <c r="AB17" s="1266"/>
      <c r="AC17" s="1266"/>
      <c r="AD17" s="1266"/>
      <c r="AE17" s="1266"/>
    </row>
    <row r="18" spans="1:31" s="1272" customFormat="1" ht="13.5" thickBot="1">
      <c r="A18" s="974"/>
      <c r="B18" s="974"/>
      <c r="C18" s="974"/>
      <c r="D18" s="974"/>
      <c r="E18" s="974"/>
      <c r="F18" s="974"/>
      <c r="G18" s="974"/>
      <c r="H18" s="974"/>
      <c r="I18" s="974"/>
      <c r="J18" s="974"/>
      <c r="K18" s="974"/>
      <c r="L18" s="974"/>
    </row>
    <row r="19" spans="1:31" s="1272" customFormat="1" ht="15.75" thickBot="1">
      <c r="A19" s="974"/>
      <c r="B19" s="974"/>
      <c r="C19" s="813" t="s">
        <v>390</v>
      </c>
      <c r="D19" s="814"/>
      <c r="E19" s="815"/>
      <c r="F19" s="974"/>
      <c r="G19" s="974"/>
      <c r="H19" s="974"/>
      <c r="I19" s="974"/>
      <c r="J19" s="974"/>
      <c r="K19" s="974"/>
      <c r="L19" s="974"/>
    </row>
    <row r="20" spans="1:31" s="1272" customFormat="1" ht="27" customHeight="1" thickBot="1">
      <c r="A20" s="974"/>
      <c r="B20" s="974"/>
      <c r="C20" s="2952" t="s">
        <v>733</v>
      </c>
      <c r="D20" s="816" t="s">
        <v>734</v>
      </c>
      <c r="E20" s="818" t="s">
        <v>735</v>
      </c>
      <c r="F20" s="974"/>
      <c r="G20" s="974"/>
      <c r="H20" s="974"/>
      <c r="I20" s="974"/>
      <c r="J20" s="974"/>
      <c r="K20" s="974"/>
      <c r="L20" s="974"/>
    </row>
    <row r="21" spans="1:31" s="1266" customFormat="1" ht="40.5" customHeight="1" thickBot="1">
      <c r="A21" s="1268"/>
      <c r="B21" s="1268"/>
      <c r="C21" s="757" t="s">
        <v>231</v>
      </c>
      <c r="D21" s="3475">
        <f>[12]ComponentAverage!$I$9/E26</f>
        <v>0.21876644748126822</v>
      </c>
      <c r="E21" s="3475">
        <f>[12]ComponentAverage!$I$20/E35</f>
        <v>8.7252915518178126E-2</v>
      </c>
      <c r="F21" s="974"/>
      <c r="G21" s="974"/>
      <c r="H21" s="974"/>
      <c r="I21" s="974"/>
      <c r="J21" s="1268"/>
      <c r="K21" s="1268"/>
      <c r="L21" s="1268"/>
    </row>
    <row r="22" spans="1:31" s="1266" customFormat="1" ht="23.25" customHeight="1" thickBot="1">
      <c r="A22" s="1268"/>
      <c r="B22" s="1268"/>
      <c r="C22" s="825" t="s">
        <v>127</v>
      </c>
      <c r="D22" s="3476" t="s">
        <v>1612</v>
      </c>
      <c r="E22" s="3476" t="s">
        <v>1613</v>
      </c>
      <c r="F22" s="974"/>
      <c r="G22" s="974"/>
      <c r="H22" s="974"/>
      <c r="I22" s="974"/>
      <c r="J22" s="1268"/>
      <c r="K22" s="1268"/>
      <c r="L22" s="1268"/>
    </row>
    <row r="23" spans="1:31" s="1266" customFormat="1" ht="15.75" thickBot="1">
      <c r="A23" s="1268"/>
      <c r="B23" s="1268"/>
      <c r="C23" s="812"/>
      <c r="D23" s="541"/>
      <c r="E23" s="541"/>
      <c r="F23" s="974"/>
      <c r="G23" s="974"/>
      <c r="H23" s="974"/>
      <c r="I23" s="974"/>
      <c r="J23" s="1268"/>
      <c r="K23" s="1268"/>
      <c r="L23" s="1268"/>
    </row>
    <row r="24" spans="1:31" s="1266" customFormat="1" ht="20.25" customHeight="1" thickBot="1">
      <c r="A24" s="1268"/>
      <c r="B24" s="1268"/>
      <c r="C24" s="813" t="s">
        <v>736</v>
      </c>
      <c r="D24" s="814"/>
      <c r="E24" s="815"/>
      <c r="F24" s="1268"/>
      <c r="G24" s="1268"/>
      <c r="H24" s="1268"/>
      <c r="I24" s="1268"/>
      <c r="J24" s="1268"/>
      <c r="K24" s="1268"/>
      <c r="L24" s="1268"/>
    </row>
    <row r="25" spans="1:31" s="1266" customFormat="1" ht="31.5" customHeight="1">
      <c r="A25" s="1268"/>
      <c r="B25" s="1268"/>
      <c r="C25" s="2952" t="s">
        <v>223</v>
      </c>
      <c r="D25" s="816" t="s">
        <v>224</v>
      </c>
      <c r="E25" s="818" t="str">
        <f>CONCATENATE("Annual bill amount 
($",CRCP_y5,")")</f>
        <v>Annual bill amount 
($2017)</v>
      </c>
      <c r="F25" s="974"/>
      <c r="G25" s="974"/>
      <c r="H25" s="974"/>
      <c r="I25" s="974"/>
      <c r="J25" s="1268"/>
      <c r="K25" s="1268"/>
      <c r="L25" s="1268"/>
    </row>
    <row r="26" spans="1:31" s="1266" customFormat="1">
      <c r="A26" s="1268"/>
      <c r="B26" s="1268"/>
      <c r="C26" s="821" t="s">
        <v>234</v>
      </c>
      <c r="D26" s="817" t="s">
        <v>1614</v>
      </c>
      <c r="E26" s="819">
        <f>[12]CustomerChange!$I$83*1.015</f>
        <v>1287.1475093033118</v>
      </c>
      <c r="F26" s="974"/>
      <c r="G26" s="974"/>
      <c r="H26" s="974"/>
      <c r="I26" s="974"/>
      <c r="J26" s="1268"/>
      <c r="K26" s="1268"/>
      <c r="L26" s="1268"/>
    </row>
    <row r="27" spans="1:31" s="1266" customFormat="1">
      <c r="A27" s="1268"/>
      <c r="B27" s="1268"/>
      <c r="C27" s="821" t="s">
        <v>225</v>
      </c>
      <c r="D27" s="817"/>
      <c r="E27" s="820"/>
      <c r="F27" s="974"/>
      <c r="G27" s="974"/>
      <c r="H27" s="974"/>
      <c r="I27" s="974"/>
      <c r="J27" s="1268"/>
      <c r="K27" s="1268"/>
      <c r="L27" s="1268"/>
    </row>
    <row r="28" spans="1:31" s="1266" customFormat="1">
      <c r="A28" s="1268"/>
      <c r="B28" s="1268"/>
      <c r="C28" s="821" t="s">
        <v>225</v>
      </c>
      <c r="D28" s="817"/>
      <c r="E28" s="820"/>
      <c r="F28" s="974"/>
      <c r="G28" s="974"/>
      <c r="H28" s="974"/>
      <c r="I28" s="974"/>
      <c r="J28" s="1268"/>
      <c r="K28" s="1268"/>
      <c r="L28" s="1268"/>
    </row>
    <row r="29" spans="1:31" s="1266" customFormat="1">
      <c r="A29" s="1268"/>
      <c r="B29" s="1268"/>
      <c r="C29" s="821" t="s">
        <v>225</v>
      </c>
      <c r="D29" s="817"/>
      <c r="E29" s="820"/>
      <c r="F29" s="974"/>
      <c r="G29" s="974"/>
      <c r="H29" s="974"/>
      <c r="I29" s="974"/>
      <c r="J29" s="1268"/>
      <c r="K29" s="1268"/>
      <c r="L29" s="1268"/>
    </row>
    <row r="30" spans="1:31" s="1266" customFormat="1" ht="13.5" thickBot="1">
      <c r="A30" s="1268"/>
      <c r="B30" s="1268"/>
      <c r="C30" s="822" t="s">
        <v>225</v>
      </c>
      <c r="D30" s="823"/>
      <c r="E30" s="824"/>
      <c r="F30" s="974"/>
      <c r="G30" s="974"/>
      <c r="H30" s="974"/>
      <c r="I30" s="974"/>
      <c r="J30" s="1268"/>
      <c r="K30" s="1268"/>
      <c r="L30" s="1268"/>
    </row>
    <row r="31" spans="1:31" s="1266" customFormat="1" ht="23.25" customHeight="1" thickBot="1">
      <c r="A31" s="1268"/>
      <c r="B31" s="1268"/>
      <c r="C31" s="825" t="s">
        <v>127</v>
      </c>
      <c r="D31" s="3476" t="s">
        <v>1615</v>
      </c>
      <c r="E31" s="3476" t="s">
        <v>1616</v>
      </c>
      <c r="F31" s="974"/>
      <c r="G31" s="974"/>
      <c r="H31" s="974"/>
      <c r="I31" s="974"/>
      <c r="J31" s="1268"/>
      <c r="K31" s="1268"/>
      <c r="L31" s="1268"/>
    </row>
    <row r="32" spans="1:31" s="1266" customFormat="1" ht="36" customHeight="1" thickBot="1">
      <c r="A32" s="1268"/>
      <c r="B32" s="1268"/>
      <c r="C32" s="541"/>
      <c r="D32" s="541"/>
      <c r="E32" s="541"/>
      <c r="F32" s="974"/>
      <c r="G32" s="974"/>
      <c r="H32" s="974"/>
      <c r="I32" s="974"/>
      <c r="J32" s="1268"/>
      <c r="K32" s="1268"/>
      <c r="L32" s="1268"/>
    </row>
    <row r="33" spans="1:12" s="1266" customFormat="1" ht="20.25" customHeight="1" thickBot="1">
      <c r="A33" s="1268"/>
      <c r="B33" s="1268"/>
      <c r="C33" s="813" t="s">
        <v>1471</v>
      </c>
      <c r="D33" s="814"/>
      <c r="E33" s="815"/>
      <c r="F33" s="1268"/>
      <c r="G33" s="1268"/>
      <c r="H33" s="1268"/>
      <c r="I33" s="1268"/>
      <c r="J33" s="1268"/>
      <c r="K33" s="1268"/>
      <c r="L33" s="1268"/>
    </row>
    <row r="34" spans="1:12" s="1266" customFormat="1" ht="31.5" customHeight="1">
      <c r="A34" s="1268"/>
      <c r="B34" s="1268"/>
      <c r="C34" s="2952" t="s">
        <v>223</v>
      </c>
      <c r="D34" s="816" t="s">
        <v>224</v>
      </c>
      <c r="E34" s="818" t="str">
        <f>CONCATENATE("Annual bill amount 
($",CRCP_y5,")")</f>
        <v>Annual bill amount 
($2017)</v>
      </c>
      <c r="F34" s="974"/>
      <c r="G34" s="974"/>
      <c r="H34" s="974"/>
      <c r="I34" s="974"/>
      <c r="J34" s="1268"/>
      <c r="K34" s="1268"/>
      <c r="L34" s="1268"/>
    </row>
    <row r="35" spans="1:12" s="1266" customFormat="1">
      <c r="A35" s="1268"/>
      <c r="B35" s="1268"/>
      <c r="C35" s="821" t="s">
        <v>1472</v>
      </c>
      <c r="D35" s="817"/>
      <c r="E35" s="820">
        <f>[12]CustomerChange!$J$140*1.015</f>
        <v>6208.8385730720474</v>
      </c>
      <c r="F35" s="974"/>
      <c r="G35" s="974"/>
      <c r="H35" s="974"/>
      <c r="I35" s="974"/>
      <c r="J35" s="1268"/>
      <c r="K35" s="1268"/>
      <c r="L35" s="1268"/>
    </row>
    <row r="36" spans="1:12" s="1266" customFormat="1">
      <c r="A36" s="1268"/>
      <c r="B36" s="1268"/>
      <c r="C36" s="821" t="s">
        <v>230</v>
      </c>
      <c r="D36" s="817"/>
      <c r="E36" s="820"/>
      <c r="F36" s="974"/>
      <c r="G36" s="974"/>
      <c r="H36" s="974"/>
      <c r="I36" s="974"/>
      <c r="J36" s="1268"/>
      <c r="K36" s="1268"/>
      <c r="L36" s="1268"/>
    </row>
    <row r="37" spans="1:12" s="1266" customFormat="1">
      <c r="A37" s="1268"/>
      <c r="B37" s="1268"/>
      <c r="C37" s="821" t="s">
        <v>230</v>
      </c>
      <c r="D37" s="817"/>
      <c r="E37" s="820"/>
      <c r="F37" s="974"/>
      <c r="G37" s="974"/>
      <c r="H37" s="974"/>
      <c r="I37" s="974"/>
      <c r="J37" s="1268"/>
      <c r="K37" s="1268"/>
      <c r="L37" s="1268"/>
    </row>
    <row r="38" spans="1:12" s="1266" customFormat="1" ht="13.5" thickBot="1">
      <c r="A38" s="1268"/>
      <c r="B38" s="1268"/>
      <c r="C38" s="821" t="s">
        <v>230</v>
      </c>
      <c r="D38" s="817"/>
      <c r="E38" s="820"/>
      <c r="F38" s="974"/>
      <c r="G38" s="974"/>
      <c r="H38" s="974"/>
      <c r="I38" s="974"/>
      <c r="J38" s="1268"/>
      <c r="K38" s="1268"/>
      <c r="L38" s="1268"/>
    </row>
    <row r="39" spans="1:12" s="1266" customFormat="1" ht="23.25" customHeight="1" thickBot="1">
      <c r="A39" s="1268"/>
      <c r="B39" s="1268"/>
      <c r="C39" s="1563" t="s">
        <v>127</v>
      </c>
      <c r="D39" s="3476" t="s">
        <v>1617</v>
      </c>
      <c r="E39" s="3476" t="s">
        <v>1618</v>
      </c>
      <c r="F39" s="974"/>
      <c r="G39" s="974"/>
      <c r="H39" s="974"/>
      <c r="I39" s="974"/>
      <c r="J39" s="1268"/>
      <c r="K39" s="1268"/>
      <c r="L39" s="1268"/>
    </row>
    <row r="40" spans="1:12" s="1266" customFormat="1" ht="50.25" customHeight="1" thickBot="1">
      <c r="A40" s="1268"/>
      <c r="B40" s="1268"/>
      <c r="C40" s="541"/>
      <c r="D40" s="541"/>
      <c r="E40" s="541"/>
      <c r="F40" s="974"/>
      <c r="G40" s="974"/>
      <c r="H40" s="974"/>
      <c r="I40" s="974"/>
      <c r="J40" s="1268"/>
      <c r="K40" s="1268"/>
      <c r="L40" s="1268"/>
    </row>
    <row r="41" spans="1:12" s="1266" customFormat="1" ht="15.75" thickBot="1">
      <c r="B41" s="1268"/>
      <c r="C41" s="771" t="s">
        <v>737</v>
      </c>
      <c r="D41" s="2950"/>
      <c r="E41" s="772"/>
      <c r="F41" s="772"/>
      <c r="G41" s="772"/>
      <c r="H41" s="772"/>
      <c r="I41" s="772"/>
      <c r="J41" s="773"/>
      <c r="K41" s="1268"/>
    </row>
    <row r="42" spans="1:12" s="1266" customFormat="1">
      <c r="B42" s="1268"/>
      <c r="C42" s="2951"/>
      <c r="D42" s="2952">
        <f>CRCP_y5</f>
        <v>2017</v>
      </c>
      <c r="E42" s="816" t="str">
        <f>FRCP_y1</f>
        <v>2018</v>
      </c>
      <c r="F42" s="816">
        <f>FRCP_y2</f>
        <v>2019</v>
      </c>
      <c r="G42" s="816">
        <f>FRCP_y3</f>
        <v>2020</v>
      </c>
      <c r="H42" s="816">
        <f>FRCP_y4</f>
        <v>2021</v>
      </c>
      <c r="I42" s="816">
        <f>FRCP_y5</f>
        <v>2022</v>
      </c>
      <c r="J42" s="2953" t="s">
        <v>226</v>
      </c>
      <c r="K42" s="1268"/>
    </row>
    <row r="43" spans="1:12" s="1266" customFormat="1">
      <c r="B43" s="1268"/>
      <c r="C43" s="838" t="s">
        <v>1473</v>
      </c>
      <c r="D43" s="2954"/>
      <c r="E43" s="2955">
        <f>'[13]X factors'!G10</f>
        <v>1.6799999999999999E-2</v>
      </c>
      <c r="F43" s="2955">
        <f>'[13]X factors'!H10</f>
        <v>1.6799999999999999E-2</v>
      </c>
      <c r="G43" s="2955">
        <f>'[13]X factors'!I10</f>
        <v>1.6799999999999999E-2</v>
      </c>
      <c r="H43" s="2955">
        <f>'[13]X factors'!J10</f>
        <v>1.6799999999999999E-2</v>
      </c>
      <c r="I43" s="2955">
        <f>'[13]X factors'!K10</f>
        <v>1.6799999999999999E-2</v>
      </c>
      <c r="J43" s="2956"/>
      <c r="K43" s="1268"/>
    </row>
    <row r="44" spans="1:12" s="1266" customFormat="1">
      <c r="B44" s="1268"/>
      <c r="C44" s="838" t="s">
        <v>1474</v>
      </c>
      <c r="D44" s="2954"/>
      <c r="E44" s="2955">
        <v>-9.1200000000000003E-2</v>
      </c>
      <c r="F44" s="2955">
        <v>-0.02</v>
      </c>
      <c r="G44" s="2955">
        <v>-0.02</v>
      </c>
      <c r="H44" s="2955">
        <v>-0.02</v>
      </c>
      <c r="I44" s="2955">
        <v>-0.02</v>
      </c>
      <c r="J44" s="2956"/>
      <c r="K44" s="1268"/>
    </row>
    <row r="45" spans="1:12" s="1266" customFormat="1">
      <c r="B45" s="1268"/>
      <c r="C45" s="2957"/>
      <c r="D45" s="2954"/>
      <c r="E45" s="826"/>
      <c r="F45" s="826"/>
      <c r="G45" s="826"/>
      <c r="H45" s="826"/>
      <c r="I45" s="826"/>
      <c r="J45" s="2956"/>
      <c r="K45" s="1268"/>
    </row>
    <row r="46" spans="1:12" s="1266" customFormat="1" ht="13.5" thickBot="1">
      <c r="B46" s="1268"/>
      <c r="C46" s="2958" t="s">
        <v>227</v>
      </c>
      <c r="D46" s="2959"/>
      <c r="E46" s="2933">
        <f>(1+E43)*(1-E44)-1</f>
        <v>0.10953215999999988</v>
      </c>
      <c r="F46" s="2933">
        <f>(1+F43)*(1-F44)-1</f>
        <v>3.7135999999999836E-2</v>
      </c>
      <c r="G46" s="2933">
        <f>(1+G43)*(1-G44)-1</f>
        <v>3.7135999999999836E-2</v>
      </c>
      <c r="H46" s="2933">
        <f>(1+H43)*(1-H44)-1</f>
        <v>3.7135999999999836E-2</v>
      </c>
      <c r="I46" s="2933">
        <f>(1+I43)*(1-I44)-1</f>
        <v>3.7135999999999836E-2</v>
      </c>
      <c r="J46" s="2960">
        <f>+AVERAGE(E46:I46)</f>
        <v>5.1615231999999844E-2</v>
      </c>
      <c r="K46" s="1268"/>
    </row>
    <row r="47" spans="1:12" s="1266" customFormat="1">
      <c r="B47" s="1268"/>
      <c r="C47" s="136"/>
      <c r="D47" s="136"/>
      <c r="E47" s="136"/>
      <c r="F47" s="136"/>
      <c r="G47" s="136"/>
      <c r="H47" s="136"/>
      <c r="I47" s="136"/>
      <c r="J47" s="136"/>
      <c r="K47" s="1268"/>
      <c r="L47" s="1268"/>
    </row>
    <row r="48" spans="1:12" s="1266" customFormat="1" ht="13.5" thickBot="1">
      <c r="B48" s="1268"/>
      <c r="C48" s="136"/>
      <c r="D48" s="136"/>
      <c r="E48" s="136"/>
      <c r="F48" s="136"/>
      <c r="G48" s="136"/>
      <c r="H48" s="136"/>
      <c r="I48" s="136"/>
      <c r="J48" s="136"/>
      <c r="K48" s="1268"/>
      <c r="L48" s="1268"/>
    </row>
    <row r="49" spans="2:13" s="1266" customFormat="1" ht="15.75" thickBot="1">
      <c r="B49" s="1268"/>
      <c r="C49" s="771" t="s">
        <v>738</v>
      </c>
      <c r="D49" s="814"/>
      <c r="E49" s="814"/>
      <c r="F49" s="814"/>
      <c r="G49" s="814"/>
      <c r="H49" s="814"/>
      <c r="I49" s="814"/>
      <c r="J49" s="814"/>
      <c r="K49" s="772"/>
      <c r="L49" s="773"/>
    </row>
    <row r="50" spans="2:13" s="1266" customFormat="1" ht="15.75" thickBot="1">
      <c r="B50" s="1268"/>
      <c r="C50" s="2961" t="s">
        <v>223</v>
      </c>
      <c r="D50" s="4595" t="s">
        <v>569</v>
      </c>
      <c r="E50" s="4596"/>
      <c r="F50" s="4596"/>
      <c r="G50" s="4596"/>
      <c r="H50" s="4596"/>
      <c r="I50" s="4596"/>
      <c r="J50" s="4597"/>
      <c r="K50" s="4598" t="s">
        <v>226</v>
      </c>
      <c r="L50" s="4600" t="s">
        <v>228</v>
      </c>
    </row>
    <row r="51" spans="2:13" s="1266" customFormat="1" ht="13.5" thickBot="1">
      <c r="B51" s="1268"/>
      <c r="C51" s="2962"/>
      <c r="D51" s="2963">
        <f>CRCP_y5</f>
        <v>2017</v>
      </c>
      <c r="E51" s="2964" t="str">
        <f>FRCP_y1</f>
        <v>2018</v>
      </c>
      <c r="F51" s="2964">
        <f>FRCP_y2</f>
        <v>2019</v>
      </c>
      <c r="G51" s="2964">
        <f>FRCP_y3</f>
        <v>2020</v>
      </c>
      <c r="H51" s="2964">
        <f>FRCP_y4</f>
        <v>2021</v>
      </c>
      <c r="I51" s="2964">
        <f>FRCP_y5</f>
        <v>2022</v>
      </c>
      <c r="J51" s="2965" t="str">
        <f>"Total "&amp;D51&amp;"-"&amp;RIGHT(I51,2)</f>
        <v>Total 2017-22</v>
      </c>
      <c r="K51" s="4599"/>
      <c r="L51" s="4601"/>
    </row>
    <row r="52" spans="2:13" s="1266" customFormat="1">
      <c r="B52" s="1268"/>
      <c r="C52" s="2966" t="str">
        <f>+C26</f>
        <v>eg Residential customer bill - reference service</v>
      </c>
      <c r="D52" s="2935">
        <f>E26*$D$21</f>
        <v>281.58468799464816</v>
      </c>
      <c r="E52" s="2934">
        <f>D52*(1+E$46)</f>
        <v>312.42726709362802</v>
      </c>
      <c r="F52" s="2934">
        <f>E52*(1+F$46)</f>
        <v>324.02956608441696</v>
      </c>
      <c r="G52" s="2934">
        <f>F52*(1+G$46)</f>
        <v>336.06272805052782</v>
      </c>
      <c r="H52" s="2934">
        <f>G52*(1+H$46)</f>
        <v>348.54275351941214</v>
      </c>
      <c r="I52" s="2934">
        <f>H52*(1+I$46)</f>
        <v>361.486237214109</v>
      </c>
      <c r="J52" s="2967"/>
      <c r="K52" s="2935"/>
      <c r="L52" s="2945"/>
    </row>
    <row r="53" spans="2:13" s="1266" customFormat="1">
      <c r="B53" s="1564"/>
      <c r="C53" s="2968" t="s">
        <v>229</v>
      </c>
      <c r="D53" s="2937"/>
      <c r="E53" s="2936">
        <f>+E52-D52</f>
        <v>30.842579098979854</v>
      </c>
      <c r="F53" s="2936">
        <f>+F52-E52</f>
        <v>11.602298990788938</v>
      </c>
      <c r="G53" s="2936">
        <f>+G52-F52</f>
        <v>12.033161966110868</v>
      </c>
      <c r="H53" s="2936">
        <f>+H52-G52</f>
        <v>12.480025468884321</v>
      </c>
      <c r="I53" s="2936">
        <f>+I52-H52</f>
        <v>12.943483694696852</v>
      </c>
      <c r="J53" s="2969">
        <f>+SUM(E53:I53)</f>
        <v>79.901549219460833</v>
      </c>
      <c r="K53" s="2937">
        <f>+AVERAGE(E53:I53)</f>
        <v>15.980309843892167</v>
      </c>
      <c r="L53" s="2970">
        <f>(I52/D52)^(1/5)-1</f>
        <v>5.1227095663342714E-2</v>
      </c>
      <c r="M53" s="1565"/>
    </row>
    <row r="54" spans="2:13" s="1266" customFormat="1">
      <c r="B54" s="1268"/>
      <c r="C54" s="2971"/>
      <c r="D54" s="2944"/>
      <c r="E54" s="2938"/>
      <c r="F54" s="2938"/>
      <c r="G54" s="2938"/>
      <c r="H54" s="2938"/>
      <c r="I54" s="2938"/>
      <c r="J54" s="2972"/>
      <c r="K54" s="2939"/>
      <c r="L54" s="2947"/>
    </row>
    <row r="55" spans="2:13" s="1266" customFormat="1">
      <c r="B55" s="1268"/>
      <c r="C55" s="2973" t="str">
        <f>+C27</f>
        <v>&lt;NSP to insert any additional items&gt;</v>
      </c>
      <c r="D55" s="2941">
        <f>E27*$D$21</f>
        <v>0</v>
      </c>
      <c r="E55" s="2940">
        <f>D55*(1+E$46)</f>
        <v>0</v>
      </c>
      <c r="F55" s="2940">
        <f>E55*(1+F$46)</f>
        <v>0</v>
      </c>
      <c r="G55" s="2940">
        <f>F55*(1+G$46)</f>
        <v>0</v>
      </c>
      <c r="H55" s="2940">
        <f>G55*(1+H$46)</f>
        <v>0</v>
      </c>
      <c r="I55" s="2940">
        <f>H55*(1+I$46)</f>
        <v>0</v>
      </c>
      <c r="J55" s="2974"/>
      <c r="K55" s="2941"/>
      <c r="L55" s="2948"/>
    </row>
    <row r="56" spans="2:13" s="1266" customFormat="1">
      <c r="B56" s="1564"/>
      <c r="C56" s="2968" t="s">
        <v>229</v>
      </c>
      <c r="D56" s="2937"/>
      <c r="E56" s="2936">
        <f>+E55-D55</f>
        <v>0</v>
      </c>
      <c r="F56" s="2936">
        <f>+F55-E55</f>
        <v>0</v>
      </c>
      <c r="G56" s="2936">
        <f>+G55-F55</f>
        <v>0</v>
      </c>
      <c r="H56" s="2936">
        <f>+H55-G55</f>
        <v>0</v>
      </c>
      <c r="I56" s="2936">
        <f>+I55-H55</f>
        <v>0</v>
      </c>
      <c r="J56" s="2969">
        <f>+SUM(E56:I56)</f>
        <v>0</v>
      </c>
      <c r="K56" s="2937">
        <f>+AVERAGE(E56:I56)</f>
        <v>0</v>
      </c>
      <c r="L56" s="2970" t="e">
        <f>(I55/D55)^(1/5)-1</f>
        <v>#DIV/0!</v>
      </c>
      <c r="M56" s="1565"/>
    </row>
    <row r="57" spans="2:13" s="1266" customFormat="1">
      <c r="B57" s="1268"/>
      <c r="C57" s="2971"/>
      <c r="D57" s="2944"/>
      <c r="E57" s="2938"/>
      <c r="F57" s="2938"/>
      <c r="G57" s="2938"/>
      <c r="H57" s="2938"/>
      <c r="I57" s="2938"/>
      <c r="J57" s="2972"/>
      <c r="K57" s="2939"/>
      <c r="L57" s="2947"/>
    </row>
    <row r="58" spans="2:13" s="1266" customFormat="1">
      <c r="B58" s="1268"/>
      <c r="C58" s="2973" t="str">
        <f>+C28</f>
        <v>&lt;NSP to insert any additional items&gt;</v>
      </c>
      <c r="D58" s="2941">
        <f>E28*$D$21</f>
        <v>0</v>
      </c>
      <c r="E58" s="2940">
        <f>D58*(1+E$46)</f>
        <v>0</v>
      </c>
      <c r="F58" s="2940">
        <f>E58*(1+F$46)</f>
        <v>0</v>
      </c>
      <c r="G58" s="2940">
        <f>F58*(1+G$46)</f>
        <v>0</v>
      </c>
      <c r="H58" s="2940">
        <f>G58*(1+H$46)</f>
        <v>0</v>
      </c>
      <c r="I58" s="2940">
        <f>H58*(1+I$46)</f>
        <v>0</v>
      </c>
      <c r="J58" s="2974"/>
      <c r="K58" s="2941"/>
      <c r="L58" s="2948"/>
    </row>
    <row r="59" spans="2:13" s="1266" customFormat="1">
      <c r="B59" s="1564"/>
      <c r="C59" s="2968" t="s">
        <v>229</v>
      </c>
      <c r="D59" s="2937"/>
      <c r="E59" s="2936">
        <f>+E58-D58</f>
        <v>0</v>
      </c>
      <c r="F59" s="2936">
        <f>+F58-E58</f>
        <v>0</v>
      </c>
      <c r="G59" s="2936">
        <f>+G58-F58</f>
        <v>0</v>
      </c>
      <c r="H59" s="2936">
        <f>+H58-G58</f>
        <v>0</v>
      </c>
      <c r="I59" s="2936">
        <f>+I58-H58</f>
        <v>0</v>
      </c>
      <c r="J59" s="2969">
        <f>+SUM(E59:I59)</f>
        <v>0</v>
      </c>
      <c r="K59" s="2937">
        <f>+AVERAGE(E59:I59)</f>
        <v>0</v>
      </c>
      <c r="L59" s="2970" t="e">
        <f>(I58/D58)^(1/5)-1</f>
        <v>#DIV/0!</v>
      </c>
      <c r="M59" s="1565"/>
    </row>
    <row r="60" spans="2:13" s="1266" customFormat="1">
      <c r="B60" s="1268"/>
      <c r="C60" s="2971"/>
      <c r="D60" s="2944"/>
      <c r="E60" s="2938"/>
      <c r="F60" s="2938"/>
      <c r="G60" s="2938"/>
      <c r="H60" s="2938"/>
      <c r="I60" s="2938"/>
      <c r="J60" s="2972"/>
      <c r="K60" s="2939"/>
      <c r="L60" s="2947"/>
    </row>
    <row r="61" spans="2:13" s="1266" customFormat="1">
      <c r="B61" s="1268"/>
      <c r="C61" s="2973" t="str">
        <f>+C29</f>
        <v>&lt;NSP to insert any additional items&gt;</v>
      </c>
      <c r="D61" s="2941">
        <f>E29*$D$21</f>
        <v>0</v>
      </c>
      <c r="E61" s="2940">
        <f>D61*(1+E$46)</f>
        <v>0</v>
      </c>
      <c r="F61" s="2940">
        <f>E61*(1+F$46)</f>
        <v>0</v>
      </c>
      <c r="G61" s="2940">
        <f>F61*(1+G$46)</f>
        <v>0</v>
      </c>
      <c r="H61" s="2940">
        <f>G61*(1+H$46)</f>
        <v>0</v>
      </c>
      <c r="I61" s="2940">
        <f>H61*(1+I$46)</f>
        <v>0</v>
      </c>
      <c r="J61" s="2974"/>
      <c r="K61" s="2941"/>
      <c r="L61" s="2948"/>
    </row>
    <row r="62" spans="2:13" s="1266" customFormat="1">
      <c r="B62" s="1564"/>
      <c r="C62" s="2968" t="s">
        <v>229</v>
      </c>
      <c r="D62" s="2937"/>
      <c r="E62" s="2936">
        <f>+E61-D61</f>
        <v>0</v>
      </c>
      <c r="F62" s="2936">
        <f>+F61-E61</f>
        <v>0</v>
      </c>
      <c r="G62" s="2936">
        <f>+G61-F61</f>
        <v>0</v>
      </c>
      <c r="H62" s="2936">
        <f>+H61-G61</f>
        <v>0</v>
      </c>
      <c r="I62" s="2936">
        <f>+I61-H61</f>
        <v>0</v>
      </c>
      <c r="J62" s="2969">
        <f>+SUM(E62:I62)</f>
        <v>0</v>
      </c>
      <c r="K62" s="2937">
        <f>+AVERAGE(E62:I62)</f>
        <v>0</v>
      </c>
      <c r="L62" s="2970" t="e">
        <f>(I61/D61)^(1/5)-1</f>
        <v>#DIV/0!</v>
      </c>
      <c r="M62" s="1565"/>
    </row>
    <row r="63" spans="2:13" s="1266" customFormat="1">
      <c r="B63" s="1268"/>
      <c r="C63" s="2971"/>
      <c r="D63" s="2944"/>
      <c r="E63" s="2938"/>
      <c r="F63" s="2938"/>
      <c r="G63" s="2938"/>
      <c r="H63" s="2938"/>
      <c r="I63" s="2938"/>
      <c r="J63" s="2972"/>
      <c r="K63" s="2939"/>
      <c r="L63" s="2947"/>
    </row>
    <row r="64" spans="2:13" s="1266" customFormat="1">
      <c r="B64" s="1268"/>
      <c r="C64" s="2973" t="str">
        <f>+C30</f>
        <v>&lt;NSP to insert any additional items&gt;</v>
      </c>
      <c r="D64" s="2941">
        <f>E30*$D$21</f>
        <v>0</v>
      </c>
      <c r="E64" s="2940">
        <f>D64*(1+E$46)</f>
        <v>0</v>
      </c>
      <c r="F64" s="2940">
        <f>E64*(1+F$46)</f>
        <v>0</v>
      </c>
      <c r="G64" s="2940">
        <f>F64*(1+G$46)</f>
        <v>0</v>
      </c>
      <c r="H64" s="2940">
        <f>G64*(1+H$46)</f>
        <v>0</v>
      </c>
      <c r="I64" s="2940">
        <f>H64*(1+I$46)</f>
        <v>0</v>
      </c>
      <c r="J64" s="2974"/>
      <c r="K64" s="2941"/>
      <c r="L64" s="2948"/>
    </row>
    <row r="65" spans="2:13" s="1266" customFormat="1" ht="13.5" thickBot="1">
      <c r="B65" s="1564"/>
      <c r="C65" s="2975" t="s">
        <v>229</v>
      </c>
      <c r="D65" s="2943"/>
      <c r="E65" s="2942">
        <f>+E64-D64</f>
        <v>0</v>
      </c>
      <c r="F65" s="2942">
        <f>+F64-E64</f>
        <v>0</v>
      </c>
      <c r="G65" s="2942">
        <f>+G64-F64</f>
        <v>0</v>
      </c>
      <c r="H65" s="2942">
        <f>+H64-G64</f>
        <v>0</v>
      </c>
      <c r="I65" s="2942">
        <f>+I64-H64</f>
        <v>0</v>
      </c>
      <c r="J65" s="2976">
        <f>+SUM(E65:I65)</f>
        <v>0</v>
      </c>
      <c r="K65" s="2943">
        <f>+AVERAGE(E65:I65)</f>
        <v>0</v>
      </c>
      <c r="L65" s="2977" t="e">
        <f>(I64/D64)^(1/5)-1</f>
        <v>#DIV/0!</v>
      </c>
      <c r="M65" s="1565"/>
    </row>
    <row r="66" spans="2:13" s="1266" customFormat="1">
      <c r="B66" s="1268"/>
      <c r="C66" s="1268"/>
      <c r="D66" s="1268"/>
      <c r="E66" s="1268"/>
      <c r="F66" s="1268"/>
      <c r="G66" s="1268"/>
      <c r="H66" s="1268"/>
      <c r="I66" s="1268"/>
      <c r="J66" s="1268"/>
      <c r="K66" s="1268"/>
      <c r="L66" s="1268"/>
    </row>
    <row r="67" spans="2:13" s="1266" customFormat="1" ht="13.5" thickBot="1">
      <c r="B67" s="1268"/>
      <c r="C67" s="1268"/>
      <c r="D67" s="1268"/>
      <c r="E67" s="1268"/>
      <c r="F67" s="1268"/>
      <c r="G67" s="1268"/>
      <c r="H67" s="1268"/>
      <c r="I67" s="1268"/>
      <c r="J67" s="1268"/>
      <c r="K67" s="1268"/>
      <c r="L67" s="1268"/>
    </row>
    <row r="68" spans="2:13" s="1266" customFormat="1" ht="15.75" thickBot="1">
      <c r="B68" s="1268"/>
      <c r="C68" s="771" t="s">
        <v>1475</v>
      </c>
      <c r="D68" s="772"/>
      <c r="E68" s="772"/>
      <c r="F68" s="772"/>
      <c r="G68" s="772"/>
      <c r="H68" s="772"/>
      <c r="I68" s="772"/>
      <c r="J68" s="772"/>
      <c r="K68" s="772"/>
      <c r="L68" s="773"/>
    </row>
    <row r="69" spans="2:13" s="1266" customFormat="1" ht="15.75" thickBot="1">
      <c r="B69" s="1268"/>
      <c r="C69" s="2961" t="s">
        <v>223</v>
      </c>
      <c r="D69" s="4595" t="s">
        <v>569</v>
      </c>
      <c r="E69" s="4596"/>
      <c r="F69" s="4596"/>
      <c r="G69" s="4596"/>
      <c r="H69" s="4596"/>
      <c r="I69" s="4596"/>
      <c r="J69" s="4597"/>
      <c r="K69" s="4598" t="s">
        <v>226</v>
      </c>
      <c r="L69" s="4600" t="s">
        <v>228</v>
      </c>
    </row>
    <row r="70" spans="2:13" s="1266" customFormat="1" ht="13.5" thickBot="1">
      <c r="B70" s="1268"/>
      <c r="C70" s="2962"/>
      <c r="D70" s="2963">
        <f>CRCP_y5</f>
        <v>2017</v>
      </c>
      <c r="E70" s="2964" t="str">
        <f>FRCP_y1</f>
        <v>2018</v>
      </c>
      <c r="F70" s="2964">
        <f>FRCP_y2</f>
        <v>2019</v>
      </c>
      <c r="G70" s="2964">
        <f>FRCP_y3</f>
        <v>2020</v>
      </c>
      <c r="H70" s="2964">
        <f>FRCP_y4</f>
        <v>2021</v>
      </c>
      <c r="I70" s="2964">
        <f>FRCP_y5</f>
        <v>2022</v>
      </c>
      <c r="J70" s="2965" t="str">
        <f>"Total "&amp;D70&amp;"-"&amp;RIGHT(I70,2)</f>
        <v>Total 2017-22</v>
      </c>
      <c r="K70" s="4599"/>
      <c r="L70" s="4601"/>
    </row>
    <row r="71" spans="2:13" s="1266" customFormat="1">
      <c r="B71" s="1268"/>
      <c r="C71" s="2966" t="str">
        <f>+C35</f>
        <v>eg Small business customer bill - reference service</v>
      </c>
      <c r="D71" s="2935">
        <f>E35*$E$21</f>
        <v>541.73926748226097</v>
      </c>
      <c r="E71" s="2934">
        <f>D71*(1+E$46)</f>
        <v>601.0771396064107</v>
      </c>
      <c r="F71" s="2934">
        <f>E71*(1+F$46)</f>
        <v>623.39874026283428</v>
      </c>
      <c r="G71" s="2934">
        <f>F71*(1+G$46)</f>
        <v>646.54927588123485</v>
      </c>
      <c r="H71" s="2934">
        <f>G71*(1+H$46)</f>
        <v>670.55952979036033</v>
      </c>
      <c r="I71" s="2934">
        <f>H71*(1+I$46)</f>
        <v>695.46142848865509</v>
      </c>
      <c r="J71" s="2967"/>
      <c r="K71" s="2935"/>
      <c r="L71" s="2945"/>
    </row>
    <row r="72" spans="2:13" s="1266" customFormat="1">
      <c r="B72" s="1268"/>
      <c r="C72" s="2968" t="s">
        <v>229</v>
      </c>
      <c r="D72" s="2937"/>
      <c r="E72" s="2936">
        <f>+E71-D71</f>
        <v>59.337872124149726</v>
      </c>
      <c r="F72" s="2936">
        <f>+F71-E71</f>
        <v>22.321600656423584</v>
      </c>
      <c r="G72" s="2936">
        <f>+G71-F71</f>
        <v>23.150535618400568</v>
      </c>
      <c r="H72" s="2936">
        <f>+H71-G71</f>
        <v>24.010253909125481</v>
      </c>
      <c r="I72" s="2936">
        <f>+I71-H71</f>
        <v>24.901898698294758</v>
      </c>
      <c r="J72" s="2969">
        <f>+SUM(E72:I72)</f>
        <v>153.72216100639412</v>
      </c>
      <c r="K72" s="2941">
        <f>+AVERAGE(E72:I72)</f>
        <v>30.744432201278823</v>
      </c>
      <c r="L72" s="2946">
        <f>(I71/D71)^(1/5)-1</f>
        <v>5.1227095663342714E-2</v>
      </c>
    </row>
    <row r="73" spans="2:13" s="1266" customFormat="1">
      <c r="B73" s="1268"/>
      <c r="C73" s="2971"/>
      <c r="D73" s="2944"/>
      <c r="E73" s="2938"/>
      <c r="F73" s="2938"/>
      <c r="G73" s="2938"/>
      <c r="H73" s="2938"/>
      <c r="I73" s="2938"/>
      <c r="J73" s="2972"/>
      <c r="K73" s="2939"/>
      <c r="L73" s="2947"/>
    </row>
    <row r="74" spans="2:13" s="1266" customFormat="1">
      <c r="B74" s="1268"/>
      <c r="C74" s="2973" t="str">
        <f>+C36</f>
        <v>&lt;Service provider to insert any additional items&gt;</v>
      </c>
      <c r="D74" s="2941">
        <f>E36*$E$21</f>
        <v>0</v>
      </c>
      <c r="E74" s="2940">
        <f>D74*(1+E$46)</f>
        <v>0</v>
      </c>
      <c r="F74" s="2940">
        <f>E74*(1+F$46)</f>
        <v>0</v>
      </c>
      <c r="G74" s="2940">
        <f>F74*(1+G$46)</f>
        <v>0</v>
      </c>
      <c r="H74" s="2940">
        <f>G74*(1+H$46)</f>
        <v>0</v>
      </c>
      <c r="I74" s="2940">
        <f>H74*(1+I$46)</f>
        <v>0</v>
      </c>
      <c r="J74" s="2974"/>
      <c r="K74" s="2941"/>
      <c r="L74" s="2948"/>
    </row>
    <row r="75" spans="2:13" s="1266" customFormat="1">
      <c r="B75" s="1268"/>
      <c r="C75" s="2968" t="s">
        <v>229</v>
      </c>
      <c r="D75" s="2937"/>
      <c r="E75" s="2936">
        <f>+E74-D74</f>
        <v>0</v>
      </c>
      <c r="F75" s="2936">
        <f>+F74-E74</f>
        <v>0</v>
      </c>
      <c r="G75" s="2936">
        <f>+G74-F74</f>
        <v>0</v>
      </c>
      <c r="H75" s="2936">
        <f>+H74-G74</f>
        <v>0</v>
      </c>
      <c r="I75" s="2936">
        <f>+I74-H74</f>
        <v>0</v>
      </c>
      <c r="J75" s="2969">
        <f>+SUM(E75:I75)</f>
        <v>0</v>
      </c>
      <c r="K75" s="2941">
        <f>+AVERAGE(E75:I75)</f>
        <v>0</v>
      </c>
      <c r="L75" s="2978" t="e">
        <f>+K75/E36</f>
        <v>#DIV/0!</v>
      </c>
    </row>
    <row r="76" spans="2:13" s="1266" customFormat="1">
      <c r="B76" s="1268"/>
      <c r="C76" s="2971"/>
      <c r="D76" s="2944"/>
      <c r="E76" s="2938"/>
      <c r="F76" s="2938"/>
      <c r="G76" s="2938"/>
      <c r="H76" s="2938"/>
      <c r="I76" s="2938"/>
      <c r="J76" s="2972"/>
      <c r="K76" s="2939"/>
      <c r="L76" s="2947"/>
    </row>
    <row r="77" spans="2:13" s="1266" customFormat="1">
      <c r="B77" s="1268"/>
      <c r="C77" s="2973" t="str">
        <f>+C37</f>
        <v>&lt;Service provider to insert any additional items&gt;</v>
      </c>
      <c r="D77" s="2941">
        <f>E37*$E$21</f>
        <v>0</v>
      </c>
      <c r="E77" s="2940">
        <f>D77*(1+E$46)</f>
        <v>0</v>
      </c>
      <c r="F77" s="2940">
        <f>E77*(1+F$46)</f>
        <v>0</v>
      </c>
      <c r="G77" s="2940">
        <f>F77*(1+G$46)</f>
        <v>0</v>
      </c>
      <c r="H77" s="2940">
        <f>G77*(1+H$46)</f>
        <v>0</v>
      </c>
      <c r="I77" s="2940">
        <f>H77*(1+I$46)</f>
        <v>0</v>
      </c>
      <c r="J77" s="2974"/>
      <c r="K77" s="2941"/>
      <c r="L77" s="2948"/>
    </row>
    <row r="78" spans="2:13" s="1266" customFormat="1">
      <c r="B78" s="1268"/>
      <c r="C78" s="2968" t="s">
        <v>229</v>
      </c>
      <c r="D78" s="2937"/>
      <c r="E78" s="2936">
        <f>+E77-D77</f>
        <v>0</v>
      </c>
      <c r="F78" s="2936">
        <f>+F77-E77</f>
        <v>0</v>
      </c>
      <c r="G78" s="2936">
        <f>+G77-F77</f>
        <v>0</v>
      </c>
      <c r="H78" s="2936">
        <f>+H77-G77</f>
        <v>0</v>
      </c>
      <c r="I78" s="2936">
        <f>+I77-H77</f>
        <v>0</v>
      </c>
      <c r="J78" s="2969">
        <f>+SUM(E78:I78)</f>
        <v>0</v>
      </c>
      <c r="K78" s="2941">
        <f>+AVERAGE(E78:I78)</f>
        <v>0</v>
      </c>
      <c r="L78" s="2978" t="e">
        <f>+K78/E37</f>
        <v>#DIV/0!</v>
      </c>
    </row>
    <row r="79" spans="2:13" s="1266" customFormat="1">
      <c r="B79" s="1268"/>
      <c r="C79" s="2971"/>
      <c r="D79" s="2944"/>
      <c r="E79" s="2938"/>
      <c r="F79" s="2938"/>
      <c r="G79" s="2938"/>
      <c r="H79" s="2938"/>
      <c r="I79" s="2938"/>
      <c r="J79" s="2972"/>
      <c r="K79" s="2939"/>
      <c r="L79" s="2947"/>
    </row>
    <row r="80" spans="2:13" s="1266" customFormat="1">
      <c r="B80" s="1268"/>
      <c r="C80" s="2973" t="str">
        <f>+C38</f>
        <v>&lt;Service provider to insert any additional items&gt;</v>
      </c>
      <c r="D80" s="2941">
        <f>E38*$E$21</f>
        <v>0</v>
      </c>
      <c r="E80" s="2940">
        <f>D80*(1+E$46)</f>
        <v>0</v>
      </c>
      <c r="F80" s="2940">
        <f>E80*(1+F$46)</f>
        <v>0</v>
      </c>
      <c r="G80" s="2940">
        <f>F80*(1+G$46)</f>
        <v>0</v>
      </c>
      <c r="H80" s="2940">
        <f>G80*(1+H$46)</f>
        <v>0</v>
      </c>
      <c r="I80" s="2940">
        <f>H80*(1+I$46)</f>
        <v>0</v>
      </c>
      <c r="J80" s="2974"/>
      <c r="K80" s="2941"/>
      <c r="L80" s="2948"/>
    </row>
    <row r="81" spans="2:13" s="1266" customFormat="1" ht="13.5" thickBot="1">
      <c r="B81" s="1268"/>
      <c r="C81" s="2975" t="s">
        <v>229</v>
      </c>
      <c r="D81" s="2943"/>
      <c r="E81" s="2942">
        <f>+E80-D80</f>
        <v>0</v>
      </c>
      <c r="F81" s="2942">
        <f>+F80-E80</f>
        <v>0</v>
      </c>
      <c r="G81" s="2942">
        <f>+G80-F80</f>
        <v>0</v>
      </c>
      <c r="H81" s="2942">
        <f>+H80-G80</f>
        <v>0</v>
      </c>
      <c r="I81" s="2942">
        <f>+I80-H80</f>
        <v>0</v>
      </c>
      <c r="J81" s="2976">
        <f>+SUM(E81:I81)</f>
        <v>0</v>
      </c>
      <c r="K81" s="2949">
        <f>+AVERAGE(E81:I81)</f>
        <v>0</v>
      </c>
      <c r="L81" s="2979" t="e">
        <f>+K81/E40</f>
        <v>#DIV/0!</v>
      </c>
    </row>
    <row r="82" spans="2:13">
      <c r="B82" s="1266"/>
      <c r="C82" s="1266"/>
      <c r="D82" s="1268"/>
      <c r="E82" s="1268"/>
      <c r="F82" s="1268"/>
      <c r="G82" s="1268"/>
      <c r="H82" s="1268"/>
      <c r="I82" s="1268"/>
      <c r="J82" s="1268"/>
      <c r="K82" s="1266"/>
      <c r="L82" s="1266"/>
      <c r="M82" s="1266"/>
    </row>
    <row r="83" spans="2:13">
      <c r="B83" s="1266"/>
      <c r="C83" s="1266"/>
      <c r="D83" s="1268"/>
      <c r="E83" s="1268"/>
      <c r="F83" s="1268"/>
      <c r="G83" s="1268"/>
      <c r="H83" s="1268"/>
      <c r="I83" s="1268"/>
      <c r="J83" s="1268"/>
      <c r="K83" s="1266"/>
      <c r="L83" s="1266"/>
      <c r="M83" s="1266"/>
    </row>
  </sheetData>
  <mergeCells count="7">
    <mergeCell ref="C8:H8"/>
    <mergeCell ref="D50:J50"/>
    <mergeCell ref="K50:K51"/>
    <mergeCell ref="L50:L51"/>
    <mergeCell ref="D69:J69"/>
    <mergeCell ref="K69:K70"/>
    <mergeCell ref="L69:L70"/>
  </mergeCells>
  <pageMargins left="0.70866141732283472" right="0.70866141732283472" top="0.74803149606299213" bottom="0.74803149606299213" header="0.31496062992125984" footer="0.31496062992125984"/>
  <pageSetup paperSize="9" scale="48" orientation="landscape" r:id="rId1"/>
  <customProperties>
    <customPr name="layoutContexts" r:id="rId2"/>
    <customPr name="SaveUndoMode" r:id="rId3"/>
  </customProperties>
  <drawing r:id="rId4"/>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92D050"/>
    <pageSetUpPr autoPageBreaks="0"/>
  </sheetPr>
  <dimension ref="A1:AD51"/>
  <sheetViews>
    <sheetView showGridLines="0" tabSelected="1" zoomScale="70" zoomScaleNormal="70" workbookViewId="0">
      <selection activeCell="C48" sqref="C48"/>
    </sheetView>
  </sheetViews>
  <sheetFormatPr defaultColWidth="9.140625" defaultRowHeight="12.75"/>
  <cols>
    <col min="1" max="1" width="18.5703125" style="20" customWidth="1"/>
    <col min="2" max="2" width="64.85546875" style="20" bestFit="1" customWidth="1"/>
    <col min="3" max="3" width="24.42578125" style="20" customWidth="1"/>
    <col min="4" max="4" width="22.7109375" customWidth="1"/>
    <col min="5" max="5" width="14.28515625" customWidth="1"/>
    <col min="6" max="30" width="8.7109375" customWidth="1"/>
    <col min="31" max="16384" width="9.140625" style="20"/>
  </cols>
  <sheetData>
    <row r="1" spans="1:30" s="217" customFormat="1" ht="24" customHeight="1">
      <c r="B1" s="2272" t="str">
        <f>IF(dms_DataQuality="backcast",INDEX(dms_Worksheet_List,MATCH(dms_Model,dms_Model_List))&amp;" BACKCAST",INDEX(dms_Worksheet_List,MATCH(dms_Model,dms_Model_List)))</f>
        <v>REGULATORY REPORTING STATEMENT</v>
      </c>
      <c r="C1" s="518"/>
      <c r="D1" s="518"/>
      <c r="E1" s="518"/>
      <c r="F1"/>
      <c r="G1"/>
      <c r="H1"/>
      <c r="I1"/>
      <c r="J1"/>
      <c r="K1"/>
      <c r="L1"/>
      <c r="M1"/>
      <c r="N1"/>
      <c r="O1"/>
      <c r="P1"/>
      <c r="Q1"/>
      <c r="R1"/>
      <c r="S1"/>
      <c r="T1"/>
      <c r="U1"/>
      <c r="V1"/>
      <c r="W1"/>
      <c r="X1"/>
      <c r="Y1"/>
      <c r="Z1"/>
      <c r="AA1"/>
      <c r="AB1"/>
      <c r="AC1"/>
      <c r="AD1"/>
    </row>
    <row r="2" spans="1:30" s="217" customFormat="1" ht="24" customHeight="1">
      <c r="B2" s="2277" t="str">
        <f>INDEX(dms_TradingNameFull_List,MATCH(dms_TradingName,dms_TradingName_List))</f>
        <v>Multinet Gas (DB No.1) Pty Ltd (ACN 086 026 986), Multinet Gas (DB No.2) Pty Ltd (ACN 086 230 122)</v>
      </c>
      <c r="C2" s="220"/>
      <c r="D2" s="1267"/>
      <c r="E2" s="1267"/>
      <c r="F2"/>
      <c r="G2"/>
      <c r="H2"/>
      <c r="I2"/>
      <c r="J2"/>
      <c r="K2"/>
      <c r="L2"/>
      <c r="M2"/>
      <c r="N2"/>
      <c r="O2"/>
      <c r="P2"/>
      <c r="Q2"/>
      <c r="R2"/>
      <c r="S2"/>
      <c r="T2"/>
      <c r="U2"/>
      <c r="V2"/>
      <c r="W2"/>
      <c r="X2"/>
      <c r="Y2"/>
      <c r="Z2"/>
      <c r="AA2"/>
      <c r="AB2"/>
      <c r="AC2"/>
      <c r="AD2"/>
    </row>
    <row r="3" spans="1:30" s="217" customFormat="1" ht="24" customHeight="1">
      <c r="B3" s="2277" t="str">
        <f ca="1">IF(SUM(dms_SingleYear_Model)&gt;0,CRY,CONCATENATE(FRCP_y1," to ",dms_MultiYear_FinalYear_Result))</f>
        <v>2018 to 2022</v>
      </c>
      <c r="C3" s="221"/>
      <c r="D3" s="1265"/>
      <c r="E3" s="1265"/>
      <c r="F3"/>
      <c r="G3"/>
      <c r="H3"/>
      <c r="I3"/>
      <c r="J3"/>
      <c r="K3"/>
      <c r="L3"/>
      <c r="M3"/>
      <c r="N3"/>
      <c r="O3"/>
      <c r="P3"/>
      <c r="Q3"/>
      <c r="R3"/>
      <c r="S3"/>
      <c r="T3"/>
      <c r="U3"/>
      <c r="V3"/>
      <c r="W3"/>
      <c r="X3"/>
      <c r="Y3"/>
      <c r="Z3"/>
      <c r="AA3"/>
      <c r="AB3"/>
      <c r="AC3"/>
      <c r="AD3"/>
    </row>
    <row r="4" spans="1:30" s="159" customFormat="1" ht="24" customHeight="1">
      <c r="B4" s="10" t="s">
        <v>382</v>
      </c>
      <c r="C4" s="12"/>
      <c r="D4" s="12"/>
      <c r="E4" s="12"/>
      <c r="F4"/>
      <c r="G4"/>
      <c r="H4"/>
      <c r="I4"/>
      <c r="J4"/>
      <c r="K4"/>
      <c r="L4"/>
      <c r="M4"/>
      <c r="N4"/>
      <c r="O4"/>
      <c r="P4"/>
      <c r="Q4"/>
      <c r="R4"/>
      <c r="S4"/>
      <c r="T4"/>
      <c r="U4"/>
      <c r="V4"/>
      <c r="W4"/>
      <c r="X4"/>
      <c r="Y4"/>
      <c r="Z4"/>
      <c r="AA4"/>
      <c r="AB4"/>
      <c r="AC4"/>
      <c r="AD4"/>
    </row>
    <row r="5" spans="1:30">
      <c r="A5" s="391"/>
      <c r="B5" s="974"/>
      <c r="C5" s="974"/>
      <c r="D5" s="1268"/>
      <c r="E5" s="1268"/>
    </row>
    <row r="6" spans="1:30">
      <c r="A6" s="592"/>
      <c r="B6" s="974"/>
      <c r="C6" s="974"/>
      <c r="D6" s="1268"/>
      <c r="E6" s="1268"/>
    </row>
    <row r="7" spans="1:30">
      <c r="A7" s="592"/>
      <c r="B7" s="67" t="s">
        <v>61</v>
      </c>
      <c r="C7" s="66"/>
    </row>
    <row r="8" spans="1:30" s="830" customFormat="1" ht="27" customHeight="1">
      <c r="A8" s="829"/>
      <c r="B8" s="4602" t="s">
        <v>394</v>
      </c>
      <c r="C8" s="4602"/>
      <c r="D8"/>
      <c r="E8"/>
      <c r="F8"/>
      <c r="G8"/>
      <c r="H8"/>
      <c r="I8"/>
      <c r="J8"/>
      <c r="K8"/>
      <c r="L8"/>
      <c r="M8"/>
      <c r="N8"/>
      <c r="O8"/>
      <c r="P8"/>
      <c r="Q8"/>
      <c r="R8"/>
      <c r="S8"/>
      <c r="T8"/>
      <c r="U8"/>
      <c r="V8"/>
      <c r="W8"/>
      <c r="X8"/>
      <c r="Y8"/>
      <c r="Z8"/>
      <c r="AA8"/>
      <c r="AB8"/>
      <c r="AC8"/>
      <c r="AD8"/>
    </row>
    <row r="9" spans="1:30" ht="29.25" customHeight="1">
      <c r="A9" s="592"/>
      <c r="B9" s="4220" t="str">
        <f>CONCATENATE("Where ",dms_TradingName," intends to apply the Rate of return guideline, in tables 22.1 to 22.4 enter the relevant value or formula used for each item.")</f>
        <v>Where Multinet Gas intends to apply the Rate of return guideline, in tables 22.1 to 22.4 enter the relevant value or formula used for each item.</v>
      </c>
      <c r="C9" s="4220"/>
    </row>
    <row r="10" spans="1:30" ht="29.25" customHeight="1">
      <c r="A10" s="592"/>
      <c r="B10" s="4220" t="str">
        <f>CONCATENATE("Where ", dms_TradingName," does not intend to apply the Rate of return guideline, ", dms_TradingName," should provide a separate model, which shows the build-up of its forecast rate of return.")</f>
        <v>Where Multinet Gas does not intend to apply the Rate of return guideline, Multinet Gas should provide a separate model, which shows the build-up of its forecast rate of return.</v>
      </c>
      <c r="C10" s="4220"/>
    </row>
    <row r="11" spans="1:30" ht="33" customHeight="1">
      <c r="A11" s="592"/>
      <c r="B11" s="1272"/>
      <c r="C11" s="1272"/>
    </row>
    <row r="12" spans="1:30" s="136" customFormat="1" ht="18.75" thickBot="1">
      <c r="A12" s="1268"/>
      <c r="B12" s="827" t="s">
        <v>533</v>
      </c>
      <c r="C12" s="828"/>
      <c r="D12" s="1266"/>
      <c r="E12" s="1266"/>
      <c r="F12" s="1266"/>
      <c r="G12" s="1266"/>
      <c r="H12" s="1266"/>
      <c r="I12" s="1266"/>
      <c r="J12" s="1266"/>
      <c r="K12" s="1266"/>
      <c r="L12" s="1266"/>
      <c r="M12" s="1266"/>
      <c r="N12" s="1266"/>
      <c r="O12" s="1266"/>
      <c r="P12" s="1266"/>
      <c r="Q12" s="1266"/>
      <c r="R12" s="1266"/>
      <c r="S12" s="1266"/>
      <c r="T12" s="1266"/>
      <c r="U12" s="1266"/>
      <c r="V12" s="1266"/>
      <c r="W12" s="1266"/>
      <c r="X12" s="1266"/>
      <c r="Y12" s="1266"/>
      <c r="Z12" s="1266"/>
      <c r="AA12" s="1266"/>
      <c r="AB12" s="1266"/>
      <c r="AC12" s="1266"/>
      <c r="AD12" s="1266"/>
    </row>
    <row r="13" spans="1:30" s="95" customFormat="1" ht="18.75" thickBot="1">
      <c r="A13" s="725"/>
      <c r="B13" s="2867" t="s">
        <v>392</v>
      </c>
      <c r="C13" s="1381"/>
      <c r="D13"/>
      <c r="E13"/>
      <c r="F13"/>
      <c r="G13"/>
      <c r="H13"/>
      <c r="I13"/>
      <c r="J13"/>
      <c r="K13"/>
      <c r="L13"/>
      <c r="M13"/>
      <c r="N13"/>
      <c r="O13"/>
      <c r="P13"/>
      <c r="Q13"/>
      <c r="R13"/>
      <c r="S13"/>
      <c r="T13"/>
      <c r="U13"/>
      <c r="V13"/>
      <c r="W13"/>
      <c r="X13"/>
      <c r="Y13"/>
      <c r="Z13"/>
      <c r="AA13"/>
      <c r="AB13"/>
      <c r="AC13"/>
      <c r="AD13"/>
    </row>
    <row r="14" spans="1:30">
      <c r="A14" s="592"/>
      <c r="B14" s="3435" t="s">
        <v>1416</v>
      </c>
      <c r="C14" s="3436" t="s">
        <v>1714</v>
      </c>
    </row>
    <row r="15" spans="1:30">
      <c r="A15" s="592"/>
      <c r="B15" s="3437"/>
      <c r="C15" s="3438"/>
    </row>
    <row r="16" spans="1:30">
      <c r="A16" s="592"/>
      <c r="B16" s="3437" t="s">
        <v>1417</v>
      </c>
      <c r="C16" s="3438" t="s">
        <v>1714</v>
      </c>
    </row>
    <row r="17" spans="1:30">
      <c r="A17" s="592"/>
      <c r="B17" s="3434" t="s">
        <v>39</v>
      </c>
      <c r="C17" s="3441">
        <v>1.9199999999999998E-2</v>
      </c>
    </row>
    <row r="18" spans="1:30">
      <c r="A18" s="592"/>
      <c r="B18" s="3434" t="s">
        <v>137</v>
      </c>
      <c r="C18" s="3439" t="s">
        <v>1603</v>
      </c>
    </row>
    <row r="19" spans="1:30">
      <c r="A19" s="592"/>
      <c r="B19" s="3434" t="s">
        <v>40</v>
      </c>
      <c r="C19" s="3441">
        <v>1.6799999999999999E-2</v>
      </c>
    </row>
    <row r="20" spans="1:30">
      <c r="A20" s="592"/>
      <c r="B20" s="3434" t="s">
        <v>42</v>
      </c>
      <c r="C20" s="3442">
        <v>7.4999999999999997E-2</v>
      </c>
    </row>
    <row r="21" spans="1:30">
      <c r="A21" s="592"/>
      <c r="B21" s="3434" t="s">
        <v>73</v>
      </c>
      <c r="C21" s="3443">
        <v>0.7</v>
      </c>
    </row>
    <row r="22" spans="1:30" s="1272" customFormat="1">
      <c r="A22" s="974"/>
      <c r="B22" s="3448" t="s">
        <v>1694</v>
      </c>
      <c r="C22" s="3814">
        <v>1.1399999999999999</v>
      </c>
      <c r="D22" s="1266"/>
      <c r="E22" s="1266"/>
      <c r="F22" s="1266"/>
      <c r="G22" s="1266"/>
      <c r="H22" s="1266"/>
      <c r="I22" s="1266"/>
      <c r="J22" s="1266"/>
      <c r="K22" s="1266"/>
      <c r="L22" s="1266"/>
      <c r="M22" s="1266"/>
      <c r="N22" s="1266"/>
      <c r="O22" s="1266"/>
      <c r="P22" s="1266"/>
      <c r="Q22" s="1266"/>
      <c r="R22" s="1266"/>
      <c r="S22" s="1266"/>
      <c r="T22" s="1266"/>
      <c r="U22" s="1266"/>
      <c r="V22" s="1266"/>
      <c r="W22" s="1266"/>
      <c r="X22" s="1266"/>
      <c r="Y22" s="1266"/>
      <c r="Z22" s="1266"/>
      <c r="AA22" s="1266"/>
      <c r="AB22" s="1266"/>
      <c r="AC22" s="1266"/>
      <c r="AD22" s="1266"/>
    </row>
    <row r="23" spans="1:30" s="95" customFormat="1" ht="13.5" thickBot="1">
      <c r="A23" s="725"/>
      <c r="B23" s="3440" t="s">
        <v>1418</v>
      </c>
      <c r="C23" s="3444">
        <v>6.3899999999999998E-2</v>
      </c>
      <c r="D23"/>
      <c r="E23"/>
      <c r="F23"/>
      <c r="G23"/>
      <c r="H23"/>
      <c r="I23"/>
      <c r="J23"/>
      <c r="K23"/>
      <c r="L23"/>
      <c r="M23"/>
      <c r="N23"/>
      <c r="O23"/>
      <c r="P23"/>
      <c r="Q23"/>
      <c r="R23"/>
      <c r="S23"/>
      <c r="T23"/>
      <c r="U23"/>
      <c r="V23"/>
      <c r="W23"/>
      <c r="X23"/>
      <c r="Y23"/>
      <c r="Z23"/>
      <c r="AA23"/>
      <c r="AB23"/>
      <c r="AC23"/>
      <c r="AD23"/>
    </row>
    <row r="24" spans="1:30" ht="16.5" thickBot="1">
      <c r="A24" s="592"/>
      <c r="B24" s="68"/>
      <c r="C24" s="1272"/>
    </row>
    <row r="25" spans="1:30" ht="18.75" thickBot="1">
      <c r="A25" s="592"/>
      <c r="B25" s="2867" t="s">
        <v>391</v>
      </c>
      <c r="C25" s="1381"/>
    </row>
    <row r="26" spans="1:30">
      <c r="A26" s="592"/>
      <c r="B26" s="3445" t="s">
        <v>1419</v>
      </c>
      <c r="C26" s="3449" t="s">
        <v>1714</v>
      </c>
    </row>
    <row r="27" spans="1:30">
      <c r="A27" s="592"/>
      <c r="B27" s="3445"/>
      <c r="C27" s="3450"/>
    </row>
    <row r="28" spans="1:30">
      <c r="A28" s="592"/>
      <c r="B28" s="3445" t="s">
        <v>1420</v>
      </c>
      <c r="C28" s="3450" t="s">
        <v>1714</v>
      </c>
    </row>
    <row r="29" spans="1:30" s="95" customFormat="1">
      <c r="A29" s="725"/>
      <c r="B29" s="3445" t="s">
        <v>1421</v>
      </c>
      <c r="C29" s="3450" t="s">
        <v>1714</v>
      </c>
      <c r="D29"/>
      <c r="E29"/>
      <c r="F29"/>
      <c r="G29"/>
      <c r="H29"/>
      <c r="I29"/>
      <c r="J29"/>
      <c r="K29"/>
      <c r="L29"/>
      <c r="M29"/>
      <c r="N29"/>
      <c r="O29"/>
      <c r="P29"/>
      <c r="Q29"/>
      <c r="R29"/>
      <c r="S29"/>
      <c r="T29"/>
      <c r="U29"/>
      <c r="V29"/>
      <c r="W29"/>
      <c r="X29"/>
      <c r="Y29"/>
      <c r="Z29"/>
      <c r="AA29"/>
      <c r="AB29"/>
      <c r="AC29"/>
      <c r="AD29"/>
    </row>
    <row r="30" spans="1:30">
      <c r="A30" s="592"/>
      <c r="B30" s="3445" t="s">
        <v>1422</v>
      </c>
      <c r="C30" s="3450" t="s">
        <v>1714</v>
      </c>
    </row>
    <row r="31" spans="1:30">
      <c r="A31" s="592"/>
      <c r="B31" s="3445" t="s">
        <v>1423</v>
      </c>
      <c r="C31" s="3450" t="s">
        <v>1714</v>
      </c>
    </row>
    <row r="32" spans="1:30" s="1272" customFormat="1">
      <c r="A32" s="974"/>
      <c r="B32" s="3445" t="s">
        <v>1424</v>
      </c>
      <c r="C32" s="3450" t="s">
        <v>1714</v>
      </c>
      <c r="D32" s="1266"/>
      <c r="E32" s="1266"/>
      <c r="F32" s="1266"/>
      <c r="G32" s="1266"/>
      <c r="H32" s="1266"/>
      <c r="I32" s="1266"/>
      <c r="J32" s="1266"/>
      <c r="K32" s="1266"/>
      <c r="L32" s="1266"/>
      <c r="M32" s="1266"/>
      <c r="N32" s="1266"/>
      <c r="O32" s="1266"/>
      <c r="P32" s="1266"/>
      <c r="Q32" s="1266"/>
      <c r="R32" s="1266"/>
      <c r="S32" s="1266"/>
      <c r="T32" s="1266"/>
      <c r="U32" s="1266"/>
      <c r="V32" s="1266"/>
      <c r="W32" s="1266"/>
      <c r="X32" s="1266"/>
      <c r="Y32" s="1266"/>
      <c r="Z32" s="1266"/>
      <c r="AA32" s="1266"/>
      <c r="AB32" s="1266"/>
      <c r="AC32" s="1266"/>
      <c r="AD32" s="1266"/>
    </row>
    <row r="33" spans="1:30">
      <c r="A33" s="592"/>
      <c r="B33" s="3445" t="s">
        <v>41</v>
      </c>
      <c r="C33" s="3451" t="s">
        <v>1604</v>
      </c>
    </row>
    <row r="34" spans="1:30">
      <c r="A34" s="592"/>
      <c r="B34" s="3445" t="s">
        <v>136</v>
      </c>
      <c r="C34" s="3451" t="s">
        <v>1603</v>
      </c>
    </row>
    <row r="35" spans="1:30" s="95" customFormat="1" ht="25.5">
      <c r="A35" s="725"/>
      <c r="B35" s="3448" t="s">
        <v>1425</v>
      </c>
      <c r="C35" s="3447" t="s">
        <v>1715</v>
      </c>
      <c r="D35"/>
      <c r="E35"/>
      <c r="F35"/>
      <c r="G35"/>
      <c r="H35"/>
      <c r="I35"/>
      <c r="J35"/>
      <c r="K35"/>
      <c r="L35"/>
      <c r="M35"/>
      <c r="N35"/>
      <c r="O35"/>
      <c r="P35"/>
      <c r="Q35"/>
      <c r="R35"/>
      <c r="S35"/>
      <c r="T35"/>
      <c r="U35"/>
      <c r="V35"/>
      <c r="W35"/>
      <c r="X35"/>
      <c r="Y35"/>
      <c r="Z35"/>
      <c r="AA35"/>
      <c r="AB35"/>
      <c r="AC35"/>
      <c r="AD35"/>
    </row>
    <row r="36" spans="1:30" ht="26.25" thickBot="1">
      <c r="A36" s="592"/>
      <c r="B36" s="3452" t="s">
        <v>1426</v>
      </c>
      <c r="C36" s="3446" t="s">
        <v>1605</v>
      </c>
    </row>
    <row r="37" spans="1:30" ht="13.5" thickBot="1">
      <c r="A37" s="592"/>
      <c r="B37" s="1272"/>
      <c r="C37" s="1272"/>
    </row>
    <row r="38" spans="1:30" ht="18.75" thickBot="1">
      <c r="A38" s="592"/>
      <c r="B38" s="2867" t="s">
        <v>393</v>
      </c>
      <c r="C38" s="1381"/>
    </row>
    <row r="39" spans="1:30">
      <c r="A39" s="592"/>
      <c r="B39" s="3454" t="s">
        <v>43</v>
      </c>
      <c r="C39" s="3457">
        <v>0.3</v>
      </c>
    </row>
    <row r="40" spans="1:30">
      <c r="B40" s="3453" t="s">
        <v>1431</v>
      </c>
      <c r="C40" s="3456">
        <v>0.4</v>
      </c>
    </row>
    <row r="41" spans="1:30" ht="13.5" thickBot="1">
      <c r="B41" s="3455" t="s">
        <v>44</v>
      </c>
      <c r="C41" s="3458">
        <v>0.6</v>
      </c>
    </row>
    <row r="42" spans="1:30" ht="13.5" thickBot="1">
      <c r="B42" s="1272"/>
      <c r="C42" s="1272"/>
    </row>
    <row r="43" spans="1:30" ht="18.75" thickBot="1">
      <c r="B43" s="2867" t="s">
        <v>653</v>
      </c>
      <c r="C43" s="1381"/>
    </row>
    <row r="44" spans="1:30">
      <c r="B44" s="3459" t="s">
        <v>623</v>
      </c>
      <c r="C44" s="3460" t="s">
        <v>1606</v>
      </c>
    </row>
    <row r="45" spans="1:30" ht="13.5" thickBot="1">
      <c r="B45" s="3461" t="s">
        <v>654</v>
      </c>
      <c r="C45" s="3462" t="s">
        <v>1607</v>
      </c>
    </row>
    <row r="46" spans="1:30" ht="13.5" thickBot="1">
      <c r="B46" s="974"/>
      <c r="C46" s="974"/>
    </row>
    <row r="47" spans="1:30" ht="18.75" thickBot="1">
      <c r="B47" s="2867" t="s">
        <v>1427</v>
      </c>
      <c r="C47" s="1381"/>
    </row>
    <row r="48" spans="1:30">
      <c r="B48" s="3463" t="s">
        <v>1430</v>
      </c>
      <c r="C48" s="3467">
        <v>8.3099999999999993E-2</v>
      </c>
    </row>
    <row r="49" spans="2:3">
      <c r="B49" s="3465" t="s">
        <v>1429</v>
      </c>
      <c r="C49" s="3468">
        <v>4.6699999999999998E-2</v>
      </c>
    </row>
    <row r="50" spans="2:3" ht="13.5" thickBot="1">
      <c r="B50" s="3464" t="s">
        <v>1428</v>
      </c>
      <c r="C50" s="3466">
        <v>6.13E-2</v>
      </c>
    </row>
    <row r="51" spans="2:3">
      <c r="B51" s="1272"/>
      <c r="C51" s="1272"/>
    </row>
  </sheetData>
  <mergeCells count="3">
    <mergeCell ref="B8:C8"/>
    <mergeCell ref="B9:C9"/>
    <mergeCell ref="B10:C10"/>
  </mergeCells>
  <phoneticPr fontId="14" type="noConversion"/>
  <pageMargins left="0.75" right="0.75" top="1" bottom="1" header="0.5" footer="0.5"/>
  <pageSetup paperSize="9" orientation="portrait" r:id="rId1"/>
  <headerFooter alignWithMargins="0"/>
  <customProperties>
    <customPr name="layoutContexts" r:id="rId2"/>
    <customPr name="SaveUndoMode" r:id="rId3"/>
  </customProperties>
  <drawing r:id="rId4"/>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92D050"/>
    <pageSetUpPr autoPageBreaks="0"/>
  </sheetPr>
  <dimension ref="A1:AE122"/>
  <sheetViews>
    <sheetView showGridLines="0" topLeftCell="C1" zoomScale="70" zoomScaleNormal="70" workbookViewId="0">
      <selection activeCell="C56" sqref="C56:L56"/>
    </sheetView>
  </sheetViews>
  <sheetFormatPr defaultColWidth="9.140625" defaultRowHeight="20.100000000000001" customHeight="1" outlineLevelRow="1"/>
  <cols>
    <col min="1" max="1" width="13.140625" style="94" customWidth="1"/>
    <col min="2" max="2" width="66.42578125" style="76" customWidth="1"/>
    <col min="3" max="3" width="15.7109375" style="76" customWidth="1"/>
    <col min="4" max="8" width="15.7109375" style="94" customWidth="1"/>
    <col min="9" max="11" width="14.28515625" style="94" bestFit="1" customWidth="1"/>
    <col min="12" max="12" width="17.7109375" style="94" customWidth="1"/>
    <col min="13" max="17" width="15.7109375" style="94" customWidth="1"/>
    <col min="18" max="18" width="13" customWidth="1"/>
    <col min="19" max="19" width="11.5703125" bestFit="1" customWidth="1"/>
    <col min="20" max="20" width="8.7109375"/>
    <col min="21" max="21" width="15.7109375" style="76" customWidth="1"/>
    <col min="22" max="26" width="15.7109375" style="1266" customWidth="1"/>
    <col min="27" max="27" width="12.5703125" style="1266" customWidth="1"/>
    <col min="28" max="28" width="13.140625" style="1266" customWidth="1"/>
    <col min="29" max="16384" width="9.140625" style="94"/>
  </cols>
  <sheetData>
    <row r="1" spans="1:31" s="217" customFormat="1" ht="23.1" customHeight="1">
      <c r="B1" s="2272" t="str">
        <f>IF(dms_DataQuality="backcast",INDEX(dms_Worksheet_List,MATCH(dms_Model,dms_Model_List))&amp;" BACKCAST",INDEX(dms_Worksheet_List,MATCH(dms_Model,dms_Model_List)))</f>
        <v>REGULATORY REPORTING STATEMENT</v>
      </c>
      <c r="C1" s="518"/>
      <c r="D1" s="518"/>
      <c r="E1" s="518"/>
      <c r="F1" s="518"/>
      <c r="G1" s="518"/>
      <c r="H1" s="518"/>
      <c r="I1" s="518"/>
      <c r="J1" s="518"/>
      <c r="K1" s="518"/>
      <c r="L1" s="518"/>
      <c r="M1" s="518"/>
      <c r="N1" s="518"/>
      <c r="O1" s="518"/>
      <c r="P1" s="518"/>
      <c r="Q1" s="518"/>
      <c r="R1" s="518"/>
      <c r="S1" s="518"/>
      <c r="T1" s="518"/>
      <c r="U1" s="518"/>
      <c r="V1" s="518"/>
      <c r="W1" s="518"/>
      <c r="X1" s="518"/>
      <c r="Y1" s="518"/>
      <c r="Z1" s="518"/>
      <c r="AA1" s="518"/>
      <c r="AB1" s="518"/>
    </row>
    <row r="2" spans="1:31" s="217" customFormat="1" ht="23.1" customHeight="1">
      <c r="B2" s="2277" t="str">
        <f>INDEX(dms_TradingNameFull_List,MATCH(dms_TradingName,dms_TradingName_List))</f>
        <v>Multinet Gas (DB No.1) Pty Ltd (ACN 086 026 986), Multinet Gas (DB No.2) Pty Ltd (ACN 086 230 122)</v>
      </c>
      <c r="C2" s="220"/>
      <c r="D2" s="220"/>
      <c r="E2" s="220"/>
      <c r="F2" s="220"/>
      <c r="G2" s="220"/>
      <c r="H2" s="220"/>
      <c r="I2" s="220"/>
      <c r="J2" s="220"/>
      <c r="K2" s="220"/>
      <c r="L2" s="220"/>
      <c r="M2" s="220"/>
      <c r="N2" s="220"/>
      <c r="O2" s="220"/>
      <c r="P2" s="220"/>
      <c r="Q2" s="220"/>
      <c r="R2" s="1267"/>
      <c r="S2" s="1267"/>
      <c r="T2" s="1267"/>
      <c r="U2" s="1267"/>
      <c r="V2" s="1267"/>
      <c r="W2" s="1267"/>
      <c r="X2" s="1267"/>
      <c r="Y2" s="1267"/>
      <c r="Z2" s="1267"/>
      <c r="AA2" s="1267"/>
      <c r="AB2" s="1267"/>
    </row>
    <row r="3" spans="1:31" s="217" customFormat="1" ht="23.1" customHeight="1">
      <c r="B3" s="2277" t="str">
        <f ca="1">IF(SUM(dms_SingleYear_Model)&gt;0,CRY,CONCATENATE(FRCP_y1," to ",dms_MultiYear_FinalYear_Result))</f>
        <v>2018 to 2022</v>
      </c>
      <c r="C3" s="221"/>
      <c r="D3" s="221"/>
      <c r="E3" s="221"/>
      <c r="F3" s="221"/>
      <c r="G3" s="221"/>
      <c r="H3" s="221"/>
      <c r="I3" s="221"/>
      <c r="J3" s="221"/>
      <c r="K3" s="221"/>
      <c r="L3" s="221"/>
      <c r="M3" s="221"/>
      <c r="N3" s="221"/>
      <c r="O3" s="221"/>
      <c r="P3" s="221"/>
      <c r="Q3" s="221"/>
      <c r="R3" s="1265"/>
      <c r="S3" s="1265"/>
      <c r="T3" s="1265"/>
      <c r="U3" s="1265"/>
      <c r="V3" s="1265"/>
      <c r="W3" s="1265"/>
      <c r="X3" s="1265"/>
      <c r="Y3" s="1265"/>
      <c r="Z3" s="1265"/>
      <c r="AA3" s="1265"/>
      <c r="AB3" s="1265"/>
    </row>
    <row r="4" spans="1:31" s="1275" customFormat="1" ht="24" customHeight="1">
      <c r="B4" s="3" t="s">
        <v>487</v>
      </c>
      <c r="C4" s="4"/>
      <c r="D4" s="4"/>
      <c r="E4" s="4"/>
      <c r="F4" s="4"/>
      <c r="G4" s="4"/>
      <c r="H4" s="4"/>
      <c r="I4" s="4"/>
      <c r="J4" s="4"/>
      <c r="K4" s="4"/>
      <c r="L4" s="4"/>
      <c r="M4" s="4"/>
      <c r="N4" s="4"/>
      <c r="O4" s="4"/>
      <c r="P4" s="4"/>
      <c r="Q4" s="4"/>
      <c r="R4" s="4"/>
      <c r="S4" s="4"/>
      <c r="T4" s="4"/>
      <c r="U4" s="4"/>
      <c r="V4" s="4"/>
      <c r="W4" s="4"/>
      <c r="X4" s="4"/>
      <c r="Y4" s="4"/>
      <c r="Z4" s="4"/>
      <c r="AA4" s="4"/>
      <c r="AB4" s="4"/>
    </row>
    <row r="5" spans="1:31" customFormat="1" ht="36.75" customHeight="1"/>
    <row r="6" spans="1:31" s="95" customFormat="1" ht="25.5">
      <c r="A6" s="725"/>
      <c r="B6" s="116" t="s">
        <v>61</v>
      </c>
      <c r="C6" s="831"/>
      <c r="D6" s="831"/>
      <c r="E6" s="831"/>
      <c r="F6" s="831"/>
      <c r="G6" s="831"/>
      <c r="H6" s="831"/>
      <c r="I6" s="831"/>
      <c r="J6" s="831"/>
      <c r="K6" s="831"/>
      <c r="L6" s="831"/>
      <c r="M6" s="831"/>
      <c r="N6" s="831"/>
      <c r="O6" s="831"/>
      <c r="P6" s="831"/>
      <c r="Q6" s="831"/>
      <c r="R6"/>
      <c r="S6"/>
      <c r="T6"/>
      <c r="U6" s="831"/>
      <c r="V6" s="831"/>
      <c r="W6" s="831"/>
      <c r="X6" s="831"/>
      <c r="Y6" s="831"/>
      <c r="Z6" s="831"/>
      <c r="AA6" s="831"/>
      <c r="AB6" s="831"/>
    </row>
    <row r="7" spans="1:31" s="95" customFormat="1" ht="25.5">
      <c r="A7" s="725"/>
      <c r="B7" s="117" t="s">
        <v>6</v>
      </c>
      <c r="C7" s="831"/>
      <c r="D7" s="831"/>
      <c r="E7" s="831"/>
      <c r="F7" s="831"/>
      <c r="G7" s="831"/>
      <c r="H7" s="831"/>
      <c r="I7" s="831"/>
      <c r="J7" s="831"/>
      <c r="K7" s="831"/>
      <c r="L7" s="831"/>
      <c r="M7" s="831"/>
      <c r="N7" s="831"/>
      <c r="O7" s="831"/>
      <c r="P7" s="831"/>
      <c r="Q7" s="831"/>
      <c r="R7"/>
      <c r="S7"/>
      <c r="T7"/>
      <c r="U7" s="831"/>
      <c r="V7" s="831"/>
      <c r="W7" s="831"/>
      <c r="X7" s="831"/>
      <c r="Y7" s="831"/>
      <c r="Z7" s="831"/>
      <c r="AA7" s="831"/>
      <c r="AB7" s="831"/>
    </row>
    <row r="8" spans="1:31" s="100" customFormat="1" ht="33" customHeight="1">
      <c r="A8" s="836"/>
      <c r="B8" s="102" t="s">
        <v>1437</v>
      </c>
      <c r="C8" s="831"/>
      <c r="D8" s="831"/>
      <c r="E8" s="831"/>
      <c r="F8" s="832"/>
      <c r="G8" s="832"/>
      <c r="H8" s="832"/>
      <c r="I8" s="832"/>
      <c r="J8" s="832"/>
      <c r="K8" s="832"/>
      <c r="L8" s="832"/>
      <c r="M8" s="832"/>
      <c r="N8" s="832"/>
      <c r="O8" s="832"/>
      <c r="P8" s="832"/>
      <c r="Q8" s="832"/>
      <c r="R8"/>
      <c r="S8"/>
      <c r="T8"/>
      <c r="U8" s="831"/>
      <c r="V8" s="831"/>
      <c r="W8" s="831"/>
      <c r="X8" s="832"/>
      <c r="Y8" s="832"/>
      <c r="Z8" s="832"/>
      <c r="AA8" s="832"/>
      <c r="AB8" s="832"/>
    </row>
    <row r="9" spans="1:31" s="100" customFormat="1" ht="33" customHeight="1">
      <c r="A9" s="836"/>
      <c r="B9" s="102" t="s">
        <v>474</v>
      </c>
      <c r="C9" s="831"/>
      <c r="D9" s="831"/>
      <c r="E9" s="1419"/>
      <c r="F9" s="832"/>
      <c r="G9" s="832"/>
      <c r="H9" s="832"/>
      <c r="I9" s="832"/>
      <c r="J9" s="832"/>
      <c r="K9" s="832"/>
      <c r="L9" s="832"/>
      <c r="M9" s="832"/>
      <c r="N9" s="832"/>
      <c r="O9" s="832"/>
      <c r="P9" s="832"/>
      <c r="Q9" s="832"/>
      <c r="R9"/>
      <c r="S9"/>
      <c r="T9"/>
      <c r="U9" s="831"/>
      <c r="V9" s="831"/>
      <c r="W9" s="1419"/>
      <c r="X9" s="832"/>
      <c r="Y9" s="832"/>
      <c r="Z9" s="832"/>
      <c r="AA9" s="832"/>
      <c r="AB9" s="832"/>
    </row>
    <row r="10" spans="1:31" s="100" customFormat="1" ht="33" customHeight="1">
      <c r="A10" s="836"/>
      <c r="B10" s="102" t="str">
        <f>CONCATENATE("If ",dms_TradingName," intends to treat expenditure on meter replacement as operating expenditure, separate meter replacement expenditure into new and refurbished.")</f>
        <v>If Multinet Gas intends to treat expenditure on meter replacement as operating expenditure, separate meter replacement expenditure into new and refurbished.</v>
      </c>
      <c r="C10" s="831"/>
      <c r="D10" s="831"/>
      <c r="E10" s="831"/>
      <c r="F10" s="832"/>
      <c r="G10" s="832"/>
      <c r="H10" s="832"/>
      <c r="I10" s="832"/>
      <c r="J10" s="832"/>
      <c r="K10" s="832"/>
      <c r="L10" s="832"/>
      <c r="M10" s="832"/>
      <c r="N10" s="832"/>
      <c r="O10" s="832"/>
      <c r="P10" s="832"/>
      <c r="Q10" s="832"/>
      <c r="R10"/>
      <c r="S10"/>
      <c r="T10"/>
      <c r="U10" s="831"/>
      <c r="V10" s="831"/>
      <c r="W10" s="831"/>
      <c r="X10" s="832"/>
      <c r="Y10" s="832"/>
      <c r="Z10" s="832"/>
      <c r="AA10" s="832"/>
      <c r="AB10" s="832"/>
    </row>
    <row r="11" spans="1:31" s="100" customFormat="1" ht="20.100000000000001" customHeight="1">
      <c r="A11" s="836"/>
      <c r="B11" s="102" t="s">
        <v>488</v>
      </c>
      <c r="C11" s="832"/>
      <c r="D11" s="832"/>
      <c r="E11" s="832"/>
      <c r="F11" s="832"/>
      <c r="G11" s="832"/>
      <c r="H11" s="832"/>
      <c r="I11" s="832"/>
      <c r="J11" s="832"/>
      <c r="K11" s="832"/>
      <c r="L11" s="832"/>
      <c r="M11" s="832"/>
      <c r="N11" s="832"/>
      <c r="O11" s="832"/>
      <c r="P11" s="832"/>
      <c r="Q11" s="832"/>
      <c r="R11"/>
      <c r="S11"/>
      <c r="T11"/>
      <c r="U11" s="832"/>
      <c r="V11" s="832"/>
      <c r="W11" s="832"/>
      <c r="X11" s="832"/>
      <c r="Y11" s="832"/>
      <c r="Z11" s="832"/>
      <c r="AA11" s="832"/>
      <c r="AB11" s="832"/>
    </row>
    <row r="12" spans="1:31" s="95" customFormat="1" ht="20.100000000000001" customHeight="1">
      <c r="A12" s="775"/>
      <c r="B12" s="96"/>
      <c r="C12" s="775"/>
      <c r="D12" s="775"/>
      <c r="E12" s="775"/>
      <c r="F12" s="831"/>
      <c r="G12" s="775"/>
      <c r="H12" s="775"/>
      <c r="I12" s="775"/>
      <c r="J12" s="775"/>
      <c r="K12" s="775"/>
      <c r="L12" s="775"/>
      <c r="M12" s="831"/>
      <c r="N12" s="831"/>
      <c r="O12" s="831"/>
      <c r="P12" s="831"/>
      <c r="Q12" s="831"/>
      <c r="R12"/>
      <c r="S12"/>
      <c r="T12"/>
      <c r="U12" s="974"/>
      <c r="V12" s="974"/>
      <c r="W12" s="974"/>
      <c r="X12" s="831"/>
      <c r="Y12" s="974"/>
      <c r="Z12" s="974"/>
      <c r="AA12" s="974"/>
      <c r="AB12" s="974"/>
    </row>
    <row r="13" spans="1:31" s="69" customFormat="1" ht="20.100000000000001" customHeight="1" thickBot="1">
      <c r="A13" s="392"/>
      <c r="C13" s="392"/>
      <c r="D13" s="392"/>
      <c r="E13" s="392"/>
      <c r="F13" s="392"/>
      <c r="G13" s="392"/>
      <c r="H13" s="392"/>
      <c r="I13" s="392"/>
      <c r="J13" s="392"/>
      <c r="K13" s="392"/>
      <c r="L13" s="392"/>
      <c r="M13" s="392"/>
      <c r="N13" s="392"/>
      <c r="O13" s="392"/>
      <c r="P13" s="392"/>
      <c r="Q13" s="392"/>
      <c r="R13"/>
      <c r="S13"/>
      <c r="T13"/>
      <c r="U13" s="1268"/>
      <c r="V13" s="1268"/>
      <c r="W13" s="1268"/>
      <c r="X13" s="1268"/>
      <c r="Y13" s="1268"/>
      <c r="Z13" s="1268"/>
      <c r="AA13" s="1268"/>
      <c r="AB13" s="1268"/>
    </row>
    <row r="14" spans="1:31" s="136" customFormat="1" ht="27.75" customHeight="1" thickBot="1">
      <c r="A14" s="1268"/>
      <c r="B14" s="833" t="s">
        <v>534</v>
      </c>
      <c r="C14" s="863"/>
      <c r="D14" s="863"/>
      <c r="E14" s="863"/>
      <c r="F14" s="863"/>
      <c r="G14" s="863"/>
      <c r="H14" s="863"/>
      <c r="I14" s="863"/>
      <c r="J14" s="863"/>
      <c r="K14" s="863"/>
      <c r="L14" s="863"/>
      <c r="M14" s="863"/>
      <c r="N14" s="863"/>
      <c r="O14" s="863"/>
      <c r="P14" s="863"/>
      <c r="Q14" s="864"/>
      <c r="R14"/>
      <c r="S14" s="1268"/>
      <c r="U14" s="769" t="s">
        <v>674</v>
      </c>
      <c r="V14" s="863"/>
      <c r="W14" s="863"/>
      <c r="X14" s="863"/>
      <c r="Y14" s="863"/>
      <c r="Z14" s="863"/>
      <c r="AA14" s="863"/>
      <c r="AB14" s="864"/>
    </row>
    <row r="15" spans="1:31" s="136" customFormat="1" ht="29.25" customHeight="1" thickBot="1">
      <c r="A15" s="1268"/>
      <c r="B15" s="1372" t="s">
        <v>536</v>
      </c>
      <c r="C15" s="1373"/>
      <c r="D15" s="1373"/>
      <c r="E15" s="1373"/>
      <c r="F15" s="1373"/>
      <c r="G15" s="1373"/>
      <c r="H15" s="1373"/>
      <c r="I15" s="1373"/>
      <c r="J15" s="1373"/>
      <c r="K15" s="1373"/>
      <c r="L15" s="1373"/>
      <c r="M15" s="1373"/>
      <c r="N15" s="1373"/>
      <c r="O15" s="1373"/>
      <c r="P15" s="1373"/>
      <c r="Q15" s="1374"/>
      <c r="R15" s="1266"/>
      <c r="S15" s="1268"/>
      <c r="U15" s="1372"/>
      <c r="V15" s="1373"/>
      <c r="W15" s="1373"/>
      <c r="X15" s="1373"/>
      <c r="Y15" s="1373"/>
      <c r="Z15" s="1373"/>
      <c r="AA15" s="1373"/>
      <c r="AB15" s="1374"/>
    </row>
    <row r="16" spans="1:31" s="72" customFormat="1" ht="16.5" customHeight="1">
      <c r="A16" s="732"/>
      <c r="B16" s="4576"/>
      <c r="C16" s="4565" t="s">
        <v>36</v>
      </c>
      <c r="D16" s="4137"/>
      <c r="E16" s="4137"/>
      <c r="F16" s="4137"/>
      <c r="G16" s="4137"/>
      <c r="H16" s="4187" t="s">
        <v>37</v>
      </c>
      <c r="I16" s="4188"/>
      <c r="J16" s="4188"/>
      <c r="K16" s="4188"/>
      <c r="L16" s="4188"/>
      <c r="M16" s="4105" t="s">
        <v>75</v>
      </c>
      <c r="N16" s="4105"/>
      <c r="O16" s="4105"/>
      <c r="P16" s="4105"/>
      <c r="Q16" s="4572"/>
      <c r="R16"/>
      <c r="S16"/>
      <c r="T16"/>
      <c r="U16" s="4186" t="s">
        <v>36</v>
      </c>
      <c r="V16" s="4137"/>
      <c r="W16" s="4137"/>
      <c r="X16" s="4137"/>
      <c r="Y16" s="4137"/>
      <c r="Z16" s="4187" t="s">
        <v>37</v>
      </c>
      <c r="AA16" s="4188"/>
      <c r="AB16" s="4189"/>
      <c r="AC16" s="65"/>
      <c r="AD16" s="65"/>
      <c r="AE16" s="65"/>
    </row>
    <row r="17" spans="1:28" s="69" customFormat="1" ht="15" customHeight="1">
      <c r="A17" s="348"/>
      <c r="B17" s="4577"/>
      <c r="C17" s="4125" t="s">
        <v>569</v>
      </c>
      <c r="D17" s="4126"/>
      <c r="E17" s="4126"/>
      <c r="F17" s="4126"/>
      <c r="G17" s="4126"/>
      <c r="H17" s="4126"/>
      <c r="I17" s="4126"/>
      <c r="J17" s="4127"/>
      <c r="K17" s="4128" t="str">
        <f>CONCATENATE("$0's, real ",dms_DollarReal)</f>
        <v>$0's, real December 2017</v>
      </c>
      <c r="L17" s="4129"/>
      <c r="M17" s="4129"/>
      <c r="N17" s="4129"/>
      <c r="O17" s="4129"/>
      <c r="P17" s="4129"/>
      <c r="Q17" s="4475"/>
      <c r="R17"/>
      <c r="S17"/>
      <c r="T17"/>
      <c r="U17" s="4125" t="str">
        <f>CONCATENATE("$0's, real ",dms_DollarReal)</f>
        <v>$0's, real December 2017</v>
      </c>
      <c r="V17" s="4126"/>
      <c r="W17" s="4126"/>
      <c r="X17" s="4126"/>
      <c r="Y17" s="4126"/>
      <c r="Z17" s="4126"/>
      <c r="AA17" s="4126"/>
      <c r="AB17" s="4169"/>
    </row>
    <row r="18" spans="1:28" s="72" customFormat="1" ht="16.5" customHeight="1">
      <c r="A18"/>
      <c r="B18" s="4577"/>
      <c r="C18" s="4125" t="s">
        <v>56</v>
      </c>
      <c r="D18" s="4126"/>
      <c r="E18" s="4126"/>
      <c r="F18" s="4126"/>
      <c r="G18" s="4126"/>
      <c r="H18" s="4126"/>
      <c r="I18" s="4126"/>
      <c r="J18" s="4127"/>
      <c r="K18" s="4128" t="s">
        <v>57</v>
      </c>
      <c r="L18" s="4129"/>
      <c r="M18" s="4129"/>
      <c r="N18" s="4129"/>
      <c r="O18" s="4129"/>
      <c r="P18" s="4129"/>
      <c r="Q18" s="4475"/>
      <c r="R18"/>
      <c r="S18"/>
      <c r="T18"/>
      <c r="U18" s="4125" t="s">
        <v>56</v>
      </c>
      <c r="V18" s="4126"/>
      <c r="W18" s="4126"/>
      <c r="X18" s="4126"/>
      <c r="Y18" s="4126"/>
      <c r="Z18" s="4126"/>
      <c r="AA18" s="4126"/>
      <c r="AB18" s="4169"/>
    </row>
    <row r="19" spans="1:28" s="69" customFormat="1" ht="12.75" customHeight="1" thickBot="1">
      <c r="A19"/>
      <c r="B19" s="4578"/>
      <c r="C19" s="375">
        <f t="array" ref="C19:G19">PRCP</f>
        <v>2008</v>
      </c>
      <c r="D19" s="374">
        <v>2009</v>
      </c>
      <c r="E19" s="374">
        <v>2010</v>
      </c>
      <c r="F19" s="374">
        <v>2011</v>
      </c>
      <c r="G19" s="374">
        <v>2012</v>
      </c>
      <c r="H19" s="376">
        <f>CRCP_y1</f>
        <v>2013</v>
      </c>
      <c r="I19" s="376">
        <f>CRCP_y2</f>
        <v>2014</v>
      </c>
      <c r="J19" s="376">
        <f>CRCP_y3</f>
        <v>2015</v>
      </c>
      <c r="K19" s="376">
        <f>CRCP_y4</f>
        <v>2016</v>
      </c>
      <c r="L19" s="376">
        <f>CRCP_y5</f>
        <v>2017</v>
      </c>
      <c r="M19" s="374" t="str">
        <f t="array" ref="M19:Q19">FRCP</f>
        <v>2018</v>
      </c>
      <c r="N19" s="374">
        <v>2019</v>
      </c>
      <c r="O19" s="374">
        <v>2020</v>
      </c>
      <c r="P19" s="374">
        <v>2021</v>
      </c>
      <c r="Q19" s="713">
        <v>2022</v>
      </c>
      <c r="R19"/>
      <c r="S19"/>
      <c r="T19"/>
      <c r="U19" s="1521">
        <f t="array" ref="U19:Y19">PRCP</f>
        <v>2008</v>
      </c>
      <c r="V19" s="374">
        <v>2009</v>
      </c>
      <c r="W19" s="374">
        <v>2010</v>
      </c>
      <c r="X19" s="374">
        <v>2011</v>
      </c>
      <c r="Y19" s="374">
        <v>2012</v>
      </c>
      <c r="Z19" s="376">
        <f>CRCP_y1</f>
        <v>2013</v>
      </c>
      <c r="AA19" s="376">
        <f>CRCP_y2</f>
        <v>2014</v>
      </c>
      <c r="AB19" s="568">
        <f>CRCP_y3</f>
        <v>2015</v>
      </c>
    </row>
    <row r="20" spans="1:28" s="136" customFormat="1" ht="21.75" customHeight="1" thickBot="1">
      <c r="A20" s="501"/>
      <c r="B20" s="771" t="s">
        <v>535</v>
      </c>
      <c r="C20" s="1368"/>
      <c r="D20" s="1368"/>
      <c r="E20" s="1368"/>
      <c r="F20" s="1368"/>
      <c r="G20" s="1368"/>
      <c r="H20" s="1368"/>
      <c r="I20" s="1368"/>
      <c r="J20" s="1368"/>
      <c r="K20" s="1368"/>
      <c r="L20" s="1368"/>
      <c r="M20" s="1368"/>
      <c r="N20" s="1368"/>
      <c r="O20" s="1368"/>
      <c r="P20" s="1368"/>
      <c r="Q20" s="1369"/>
      <c r="R20" s="1266"/>
      <c r="S20" s="1268"/>
      <c r="U20" s="1367"/>
      <c r="V20" s="1368"/>
      <c r="W20" s="1368"/>
      <c r="X20" s="1368"/>
      <c r="Y20" s="1368"/>
      <c r="Z20" s="1368"/>
      <c r="AA20" s="1368"/>
      <c r="AB20" s="1369"/>
    </row>
    <row r="21" spans="1:28" s="136" customFormat="1" ht="21.75" customHeight="1">
      <c r="A21" s="501"/>
      <c r="B21" s="1415" t="s">
        <v>1361</v>
      </c>
      <c r="C21" s="1416"/>
      <c r="D21" s="1416"/>
      <c r="E21" s="1416"/>
      <c r="F21" s="1416"/>
      <c r="G21" s="1416"/>
      <c r="H21" s="1416"/>
      <c r="I21" s="1416"/>
      <c r="J21" s="1416"/>
      <c r="K21" s="1416"/>
      <c r="L21" s="1416"/>
      <c r="M21" s="1416"/>
      <c r="N21" s="1416"/>
      <c r="O21" s="1416"/>
      <c r="P21" s="1416"/>
      <c r="Q21" s="1417"/>
      <c r="R21" s="1266"/>
      <c r="S21" s="1268"/>
      <c r="U21" s="1905"/>
      <c r="V21" s="1416"/>
      <c r="W21" s="1416"/>
      <c r="X21" s="1416"/>
      <c r="Y21" s="1416"/>
      <c r="Z21" s="1416"/>
      <c r="AA21" s="1416"/>
      <c r="AB21" s="1417"/>
    </row>
    <row r="22" spans="1:28" s="1266" customFormat="1" ht="20.100000000000001" customHeight="1" outlineLevel="1">
      <c r="B22" s="2859" t="s">
        <v>1362</v>
      </c>
      <c r="C22" s="2856"/>
      <c r="D22" s="2857"/>
      <c r="E22" s="2857"/>
      <c r="F22" s="2857"/>
      <c r="G22" s="2858"/>
      <c r="H22" s="2856"/>
      <c r="I22" s="2857"/>
      <c r="J22" s="2857"/>
      <c r="K22" s="2857"/>
      <c r="L22" s="2857"/>
      <c r="M22" s="2856"/>
      <c r="N22" s="2857"/>
      <c r="O22" s="2857"/>
      <c r="P22" s="2857"/>
      <c r="Q22" s="2858"/>
      <c r="U22" s="1906"/>
      <c r="V22" s="1907"/>
      <c r="W22" s="1907"/>
      <c r="X22" s="1907"/>
      <c r="Y22" s="1908"/>
      <c r="Z22" s="1906"/>
      <c r="AA22" s="1907"/>
      <c r="AB22" s="1908"/>
    </row>
    <row r="23" spans="1:28" s="1266" customFormat="1" ht="20.100000000000001" customHeight="1" outlineLevel="1">
      <c r="B23" s="1418" t="s">
        <v>1363</v>
      </c>
      <c r="C23" s="3021">
        <v>5678573.6967159873</v>
      </c>
      <c r="D23" s="3022">
        <v>11043649.092572704</v>
      </c>
      <c r="E23" s="3022">
        <v>9854008.2031266075</v>
      </c>
      <c r="F23" s="3022">
        <v>17044852.141665284</v>
      </c>
      <c r="G23" s="3023">
        <v>16032171.66</v>
      </c>
      <c r="H23" s="3021">
        <v>6615167.2735543866</v>
      </c>
      <c r="I23" s="3022">
        <v>6823653.3999999966</v>
      </c>
      <c r="J23" s="3022">
        <v>6142672.5199999996</v>
      </c>
      <c r="K23" s="3022">
        <v>7015029.5179799963</v>
      </c>
      <c r="L23" s="3022">
        <v>10968163.768136026</v>
      </c>
      <c r="M23" s="3021">
        <v>11078920.019070636</v>
      </c>
      <c r="N23" s="3022">
        <v>11117919.707598049</v>
      </c>
      <c r="O23" s="3022">
        <v>11226652.19865828</v>
      </c>
      <c r="P23" s="3022">
        <v>11336631.877816767</v>
      </c>
      <c r="Q23" s="3023">
        <v>11448681.478609635</v>
      </c>
      <c r="U23" s="1906"/>
      <c r="V23" s="1907"/>
      <c r="W23" s="1907"/>
      <c r="X23" s="1907"/>
      <c r="Y23" s="1908"/>
      <c r="Z23" s="1906"/>
      <c r="AA23" s="1907"/>
      <c r="AB23" s="1908"/>
    </row>
    <row r="24" spans="1:28" s="1266" customFormat="1" ht="20.100000000000001" customHeight="1" outlineLevel="1">
      <c r="B24" s="1418" t="s">
        <v>1364</v>
      </c>
      <c r="C24" s="3021">
        <v>1155573.4833065271</v>
      </c>
      <c r="D24" s="3022">
        <v>2862629.2564749639</v>
      </c>
      <c r="E24" s="3022">
        <v>2494988.516309449</v>
      </c>
      <c r="F24" s="3022">
        <v>1911398.5995837376</v>
      </c>
      <c r="G24" s="3023">
        <v>3278054.122639678</v>
      </c>
      <c r="H24" s="3021">
        <v>253507.68</v>
      </c>
      <c r="I24" s="3022">
        <v>389161.31000000006</v>
      </c>
      <c r="J24" s="3022">
        <v>151109.14999999997</v>
      </c>
      <c r="K24" s="3022">
        <v>211427.25160999998</v>
      </c>
      <c r="L24" s="3022">
        <v>464208</v>
      </c>
      <c r="M24" s="3021">
        <v>467032.2488444139</v>
      </c>
      <c r="N24" s="3022">
        <v>469901.08914628427</v>
      </c>
      <c r="O24" s="3022">
        <v>473675.44129447569</v>
      </c>
      <c r="P24" s="3022">
        <v>477495.3869895286</v>
      </c>
      <c r="Q24" s="3023">
        <v>481353.49885370757</v>
      </c>
      <c r="U24" s="1906"/>
      <c r="V24" s="1907"/>
      <c r="W24" s="1907"/>
      <c r="X24" s="1907"/>
      <c r="Y24" s="1908"/>
      <c r="Z24" s="1906"/>
      <c r="AA24" s="1907"/>
      <c r="AB24" s="1908"/>
    </row>
    <row r="25" spans="1:28" s="1266" customFormat="1" ht="20.100000000000001" customHeight="1" outlineLevel="1">
      <c r="B25" s="1418" t="s">
        <v>1365</v>
      </c>
      <c r="C25" s="3021">
        <v>0</v>
      </c>
      <c r="D25" s="3022">
        <v>0</v>
      </c>
      <c r="E25" s="3022">
        <v>0</v>
      </c>
      <c r="F25" s="3022">
        <v>0</v>
      </c>
      <c r="G25" s="3023">
        <v>0</v>
      </c>
      <c r="H25" s="3021">
        <v>62506.229999999996</v>
      </c>
      <c r="I25" s="3022">
        <v>0</v>
      </c>
      <c r="J25" s="3022">
        <v>141881.82</v>
      </c>
      <c r="K25" s="3022">
        <v>0</v>
      </c>
      <c r="L25" s="3022">
        <v>0</v>
      </c>
      <c r="M25" s="3021">
        <v>0</v>
      </c>
      <c r="N25" s="3022">
        <v>0</v>
      </c>
      <c r="O25" s="3022">
        <v>0</v>
      </c>
      <c r="P25" s="3022">
        <v>0</v>
      </c>
      <c r="Q25" s="3023">
        <v>0</v>
      </c>
      <c r="U25" s="1906"/>
      <c r="V25" s="1907"/>
      <c r="W25" s="1907"/>
      <c r="X25" s="1907"/>
      <c r="Y25" s="1908"/>
      <c r="Z25" s="1906"/>
      <c r="AA25" s="1907"/>
      <c r="AB25" s="1908"/>
    </row>
    <row r="26" spans="1:28" s="1266" customFormat="1" ht="20.100000000000001" customHeight="1" outlineLevel="1">
      <c r="B26" s="1418" t="s">
        <v>1366</v>
      </c>
      <c r="C26" s="3021">
        <v>0</v>
      </c>
      <c r="D26" s="3022">
        <v>5197763.427076376</v>
      </c>
      <c r="E26" s="3022">
        <v>3584904.1762381848</v>
      </c>
      <c r="F26" s="3022">
        <v>4056368.3721294533</v>
      </c>
      <c r="G26" s="3023">
        <v>4315384.8399999989</v>
      </c>
      <c r="H26" s="3021">
        <v>1628202.23</v>
      </c>
      <c r="I26" s="3022">
        <v>2305522.6900000004</v>
      </c>
      <c r="J26" s="3022">
        <v>4123262.0700000008</v>
      </c>
      <c r="K26" s="3022">
        <v>3389467.9848099998</v>
      </c>
      <c r="L26" s="3022">
        <v>2895192.2834472656</v>
      </c>
      <c r="M26" s="3021">
        <v>2958895.6235920135</v>
      </c>
      <c r="N26" s="3022">
        <v>2977071.2622209373</v>
      </c>
      <c r="O26" s="3022">
        <v>3000983.2234643423</v>
      </c>
      <c r="P26" s="3022">
        <v>3025184.8741551638</v>
      </c>
      <c r="Q26" s="3023">
        <v>3049628.4019262092</v>
      </c>
      <c r="U26" s="1906"/>
      <c r="V26" s="1907"/>
      <c r="W26" s="1907"/>
      <c r="X26" s="1907"/>
      <c r="Y26" s="1908"/>
      <c r="Z26" s="1906"/>
      <c r="AA26" s="1907"/>
      <c r="AB26" s="1908"/>
    </row>
    <row r="27" spans="1:28" s="1266" customFormat="1" ht="20.100000000000001" customHeight="1" outlineLevel="1">
      <c r="B27" s="1418" t="s">
        <v>1367</v>
      </c>
      <c r="C27" s="3021">
        <v>1862288.9126628528</v>
      </c>
      <c r="D27" s="3022">
        <v>715855.17797883134</v>
      </c>
      <c r="E27" s="3022">
        <v>669356.21128271671</v>
      </c>
      <c r="F27" s="3022">
        <v>140297.53622809795</v>
      </c>
      <c r="G27" s="3023">
        <v>5736271.3601212781</v>
      </c>
      <c r="H27" s="3021">
        <v>2945829.74</v>
      </c>
      <c r="I27" s="3022">
        <v>3584026.41</v>
      </c>
      <c r="J27" s="3022">
        <v>2654360.56</v>
      </c>
      <c r="K27" s="3022">
        <v>2778012.6452200003</v>
      </c>
      <c r="L27" s="3022">
        <v>3165739.1190325925</v>
      </c>
      <c r="M27" s="3021">
        <v>3186999.162457854</v>
      </c>
      <c r="N27" s="3022">
        <v>3217310.0468987012</v>
      </c>
      <c r="O27" s="3022">
        <v>3251004.1798992315</v>
      </c>
      <c r="P27" s="3022">
        <v>3285159.7982143457</v>
      </c>
      <c r="Q27" s="3023">
        <v>3319706.083933617</v>
      </c>
      <c r="U27" s="1906"/>
      <c r="V27" s="1907"/>
      <c r="W27" s="1907"/>
      <c r="X27" s="1907"/>
      <c r="Y27" s="1908"/>
      <c r="Z27" s="1906"/>
      <c r="AA27" s="1907"/>
      <c r="AB27" s="1908"/>
    </row>
    <row r="28" spans="1:28" s="1266" customFormat="1" ht="20.100000000000001" customHeight="1" outlineLevel="1">
      <c r="B28" s="1418" t="s">
        <v>1368</v>
      </c>
      <c r="C28" s="3021">
        <v>244723.73460605473</v>
      </c>
      <c r="D28" s="3022">
        <v>229633.02181645294</v>
      </c>
      <c r="E28" s="3022">
        <v>82799.654751090158</v>
      </c>
      <c r="F28" s="3022">
        <v>17105.04245002069</v>
      </c>
      <c r="G28" s="3023">
        <v>290163.33723904163</v>
      </c>
      <c r="H28" s="3021">
        <v>286462.55999999994</v>
      </c>
      <c r="I28" s="3022">
        <v>253905.38999999996</v>
      </c>
      <c r="J28" s="3022">
        <v>205760.97000000006</v>
      </c>
      <c r="K28" s="3022">
        <v>378351.09344999999</v>
      </c>
      <c r="L28" s="3022">
        <v>492318.28186037182</v>
      </c>
      <c r="M28" s="3021">
        <v>496912.85697947326</v>
      </c>
      <c r="N28" s="3022">
        <v>501571.51612991589</v>
      </c>
      <c r="O28" s="3022">
        <v>507014.75284757471</v>
      </c>
      <c r="P28" s="3022">
        <v>511735.06444015098</v>
      </c>
      <c r="Q28" s="3023">
        <v>517383.87892758043</v>
      </c>
      <c r="U28" s="1906"/>
      <c r="V28" s="1907"/>
      <c r="W28" s="1907"/>
      <c r="X28" s="1907"/>
      <c r="Y28" s="1908"/>
      <c r="Z28" s="1906"/>
      <c r="AA28" s="1907"/>
      <c r="AB28" s="1908"/>
    </row>
    <row r="29" spans="1:28" s="1266" customFormat="1" ht="20.100000000000001" customHeight="1" outlineLevel="1">
      <c r="B29" s="1418" t="s">
        <v>275</v>
      </c>
      <c r="C29" s="3021">
        <v>802640.67890761956</v>
      </c>
      <c r="D29" s="3022">
        <v>360839.68755043612</v>
      </c>
      <c r="E29" s="3022">
        <v>649452.31754527753</v>
      </c>
      <c r="F29" s="3022">
        <v>261371.29896239174</v>
      </c>
      <c r="G29" s="3023">
        <v>1484064.1199999999</v>
      </c>
      <c r="H29" s="3021">
        <v>1237419.9400000002</v>
      </c>
      <c r="I29" s="3022">
        <v>721000.06999999983</v>
      </c>
      <c r="J29" s="3022">
        <v>1047456.6299999999</v>
      </c>
      <c r="K29" s="3022">
        <v>1521168.9681500001</v>
      </c>
      <c r="L29" s="3022">
        <v>1504938.4932438121</v>
      </c>
      <c r="M29" s="3021">
        <v>1262031.4737605576</v>
      </c>
      <c r="N29" s="3022">
        <v>1170737.9713726244</v>
      </c>
      <c r="O29" s="3022">
        <v>1286952.2882521239</v>
      </c>
      <c r="P29" s="3022">
        <v>2190352.1767823268</v>
      </c>
      <c r="Q29" s="3023">
        <v>2654383.9337995094</v>
      </c>
      <c r="U29" s="1906"/>
      <c r="V29" s="1907"/>
      <c r="W29" s="1907"/>
      <c r="X29" s="1907"/>
      <c r="Y29" s="1908"/>
      <c r="Z29" s="1906"/>
      <c r="AA29" s="1907"/>
      <c r="AB29" s="1908"/>
    </row>
    <row r="30" spans="1:28" s="1266" customFormat="1" ht="20.100000000000001" customHeight="1" outlineLevel="1">
      <c r="B30" s="1418" t="s">
        <v>1369</v>
      </c>
      <c r="C30" s="3021">
        <v>0</v>
      </c>
      <c r="D30" s="3022">
        <v>0</v>
      </c>
      <c r="E30" s="3022">
        <v>0</v>
      </c>
      <c r="F30" s="3022">
        <v>0</v>
      </c>
      <c r="G30" s="3023">
        <v>0</v>
      </c>
      <c r="H30" s="3021">
        <v>0</v>
      </c>
      <c r="I30" s="3022">
        <v>0</v>
      </c>
      <c r="J30" s="3022">
        <v>25132.449999999997</v>
      </c>
      <c r="K30" s="3022">
        <v>0</v>
      </c>
      <c r="L30" s="3022">
        <v>0</v>
      </c>
      <c r="M30" s="3021">
        <v>0</v>
      </c>
      <c r="N30" s="3022">
        <v>0</v>
      </c>
      <c r="O30" s="3022">
        <v>0</v>
      </c>
      <c r="P30" s="3022">
        <v>0</v>
      </c>
      <c r="Q30" s="3023">
        <v>0</v>
      </c>
      <c r="U30" s="1906"/>
      <c r="V30" s="1907"/>
      <c r="W30" s="1907"/>
      <c r="X30" s="1907"/>
      <c r="Y30" s="1908"/>
      <c r="Z30" s="1906"/>
      <c r="AA30" s="1907"/>
      <c r="AB30" s="1908"/>
    </row>
    <row r="31" spans="1:28" s="1266" customFormat="1" ht="20.100000000000001" customHeight="1" outlineLevel="1">
      <c r="B31" s="1418" t="s">
        <v>1370</v>
      </c>
      <c r="C31" s="3021">
        <v>0</v>
      </c>
      <c r="D31" s="3022">
        <v>0</v>
      </c>
      <c r="E31" s="3022">
        <v>0</v>
      </c>
      <c r="F31" s="3022">
        <v>0</v>
      </c>
      <c r="G31" s="3023">
        <v>0</v>
      </c>
      <c r="H31" s="3021">
        <v>33000</v>
      </c>
      <c r="I31" s="3022">
        <v>51400</v>
      </c>
      <c r="J31" s="3022">
        <v>40800</v>
      </c>
      <c r="K31" s="3022">
        <v>179939.18999999997</v>
      </c>
      <c r="L31" s="3022">
        <v>61080</v>
      </c>
      <c r="M31" s="3021">
        <v>61451.61290322581</v>
      </c>
      <c r="N31" s="3022">
        <v>61829.091870269491</v>
      </c>
      <c r="O31" s="3022">
        <v>62325.715959799425</v>
      </c>
      <c r="P31" s="3022">
        <v>62828.342701410715</v>
      </c>
      <c r="Q31" s="3023">
        <v>63335.98896119438</v>
      </c>
      <c r="U31" s="1906"/>
      <c r="V31" s="1907"/>
      <c r="W31" s="1907"/>
      <c r="X31" s="1907"/>
      <c r="Y31" s="1908"/>
      <c r="Z31" s="1906"/>
      <c r="AA31" s="1907"/>
      <c r="AB31" s="1908"/>
    </row>
    <row r="32" spans="1:28" s="1266" customFormat="1" ht="20.100000000000001" customHeight="1" outlineLevel="1">
      <c r="B32" s="1418" t="s">
        <v>1371</v>
      </c>
      <c r="C32" s="3021">
        <v>0</v>
      </c>
      <c r="D32" s="3022">
        <v>0</v>
      </c>
      <c r="E32" s="3022">
        <v>0</v>
      </c>
      <c r="F32" s="3022">
        <v>0</v>
      </c>
      <c r="G32" s="3023">
        <v>0</v>
      </c>
      <c r="H32" s="3021">
        <v>1565447.86</v>
      </c>
      <c r="I32" s="3022">
        <v>2880481.4400000009</v>
      </c>
      <c r="J32" s="3022">
        <v>3078606.6600000006</v>
      </c>
      <c r="K32" s="3022">
        <v>3353833.3089999999</v>
      </c>
      <c r="L32" s="3022">
        <v>0</v>
      </c>
      <c r="M32" s="3021">
        <v>0</v>
      </c>
      <c r="N32" s="3022">
        <v>0</v>
      </c>
      <c r="O32" s="3022">
        <v>0</v>
      </c>
      <c r="P32" s="3022">
        <v>0</v>
      </c>
      <c r="Q32" s="3023">
        <v>0</v>
      </c>
      <c r="U32" s="1906"/>
      <c r="V32" s="1907"/>
      <c r="W32" s="1907"/>
      <c r="X32" s="1907"/>
      <c r="Y32" s="1908"/>
      <c r="Z32" s="1906"/>
      <c r="AA32" s="1907"/>
      <c r="AB32" s="1908"/>
    </row>
    <row r="33" spans="1:28" s="1266" customFormat="1" ht="20.100000000000001" customHeight="1" outlineLevel="1">
      <c r="B33" s="1418" t="s">
        <v>1372</v>
      </c>
      <c r="C33" s="3021">
        <v>0</v>
      </c>
      <c r="D33" s="3022">
        <v>0</v>
      </c>
      <c r="E33" s="3022">
        <v>0</v>
      </c>
      <c r="F33" s="3022">
        <v>0</v>
      </c>
      <c r="G33" s="3023">
        <v>0</v>
      </c>
      <c r="H33" s="3021">
        <v>0</v>
      </c>
      <c r="I33" s="3022">
        <v>0</v>
      </c>
      <c r="J33" s="3022">
        <v>0</v>
      </c>
      <c r="K33" s="3022">
        <v>0</v>
      </c>
      <c r="L33" s="3022">
        <v>0</v>
      </c>
      <c r="M33" s="3021">
        <v>0</v>
      </c>
      <c r="N33" s="3022">
        <v>0</v>
      </c>
      <c r="O33" s="3022">
        <v>0</v>
      </c>
      <c r="P33" s="3022">
        <v>0</v>
      </c>
      <c r="Q33" s="3023">
        <v>0</v>
      </c>
      <c r="U33" s="1906"/>
      <c r="V33" s="1907"/>
      <c r="W33" s="1907"/>
      <c r="X33" s="1907"/>
      <c r="Y33" s="1908"/>
      <c r="Z33" s="1906"/>
      <c r="AA33" s="1907"/>
      <c r="AB33" s="1908"/>
    </row>
    <row r="34" spans="1:28" s="1266" customFormat="1" ht="20.100000000000001" customHeight="1" outlineLevel="1">
      <c r="B34" s="1418" t="s">
        <v>135</v>
      </c>
      <c r="C34" s="3021">
        <v>0</v>
      </c>
      <c r="D34" s="3022">
        <v>0</v>
      </c>
      <c r="E34" s="3022">
        <v>0</v>
      </c>
      <c r="F34" s="3022">
        <v>0</v>
      </c>
      <c r="G34" s="3023">
        <v>0</v>
      </c>
      <c r="H34" s="3021">
        <v>0</v>
      </c>
      <c r="I34" s="3022">
        <v>0</v>
      </c>
      <c r="J34" s="3022">
        <v>0</v>
      </c>
      <c r="K34" s="3022">
        <v>0</v>
      </c>
      <c r="L34" s="3022">
        <v>0</v>
      </c>
      <c r="M34" s="3021">
        <v>0</v>
      </c>
      <c r="N34" s="3022">
        <v>0</v>
      </c>
      <c r="O34" s="3022">
        <v>0</v>
      </c>
      <c r="P34" s="3022">
        <v>0</v>
      </c>
      <c r="Q34" s="3023">
        <v>0</v>
      </c>
      <c r="U34" s="1906"/>
      <c r="V34" s="1907"/>
      <c r="W34" s="1907"/>
      <c r="X34" s="1907"/>
      <c r="Y34" s="1908"/>
      <c r="Z34" s="1906"/>
      <c r="AA34" s="1907"/>
      <c r="AB34" s="1908"/>
    </row>
    <row r="35" spans="1:28" s="1266" customFormat="1" ht="20.100000000000001" customHeight="1" outlineLevel="1">
      <c r="B35" s="1418" t="s">
        <v>1373</v>
      </c>
      <c r="C35" s="3021">
        <v>13283932.743800955</v>
      </c>
      <c r="D35" s="3022">
        <v>13896525.112904759</v>
      </c>
      <c r="E35" s="3022">
        <v>17375327.552002378</v>
      </c>
      <c r="F35" s="3022">
        <v>15114579.948981017</v>
      </c>
      <c r="G35" s="3023">
        <v>26262396.73</v>
      </c>
      <c r="H35" s="3021">
        <v>29207522.735591348</v>
      </c>
      <c r="I35" s="3022">
        <v>20738956.359999996</v>
      </c>
      <c r="J35" s="3022">
        <v>20177150.220000021</v>
      </c>
      <c r="K35" s="3022">
        <v>24165133.862059996</v>
      </c>
      <c r="L35" s="3022">
        <v>20484246.7696927</v>
      </c>
      <c r="M35" s="3021">
        <v>26476423.002415363</v>
      </c>
      <c r="N35" s="3022">
        <v>26626179.505125247</v>
      </c>
      <c r="O35" s="3022">
        <v>27554834.288524613</v>
      </c>
      <c r="P35" s="3022">
        <v>27500238.404301845</v>
      </c>
      <c r="Q35" s="3023">
        <v>28020861.677735403</v>
      </c>
      <c r="U35" s="1906"/>
      <c r="V35" s="1907"/>
      <c r="W35" s="1907"/>
      <c r="X35" s="1907"/>
      <c r="Y35" s="1908"/>
      <c r="Z35" s="1906"/>
      <c r="AA35" s="1907"/>
      <c r="AB35" s="1908"/>
    </row>
    <row r="36" spans="1:28" s="1266" customFormat="1" ht="20.100000000000001" customHeight="1" outlineLevel="1">
      <c r="B36" s="1418" t="s">
        <v>1374</v>
      </c>
      <c r="C36" s="3021">
        <v>0</v>
      </c>
      <c r="D36" s="3022">
        <v>0</v>
      </c>
      <c r="E36" s="3022">
        <v>0</v>
      </c>
      <c r="F36" s="3022">
        <v>0</v>
      </c>
      <c r="G36" s="3023">
        <v>0</v>
      </c>
      <c r="H36" s="3021">
        <v>-1274813.5480292197</v>
      </c>
      <c r="I36" s="3022">
        <v>-871879.049999999</v>
      </c>
      <c r="J36" s="3022">
        <v>-951967.39999999839</v>
      </c>
      <c r="K36" s="3022">
        <v>-1401991.9999999998</v>
      </c>
      <c r="L36" s="3022">
        <v>-1073000</v>
      </c>
      <c r="M36" s="3021">
        <v>-1086742.7222659325</v>
      </c>
      <c r="N36" s="3022">
        <v>-1100705.6277511839</v>
      </c>
      <c r="O36" s="3022">
        <v>-1114861.7079500142</v>
      </c>
      <c r="P36" s="3022">
        <v>-1129185.0507847574</v>
      </c>
      <c r="Q36" s="3023">
        <v>-1143650.8073849417</v>
      </c>
      <c r="U36" s="1906"/>
      <c r="V36" s="1907"/>
      <c r="W36" s="1907"/>
      <c r="X36" s="1907"/>
      <c r="Y36" s="1908"/>
      <c r="Z36" s="1906"/>
      <c r="AA36" s="1907"/>
      <c r="AB36" s="1908"/>
    </row>
    <row r="37" spans="1:28" s="1266" customFormat="1" ht="20.100000000000001" customHeight="1" outlineLevel="1">
      <c r="B37" s="2860" t="s">
        <v>1375</v>
      </c>
      <c r="C37" s="3024">
        <f>SUM(C23:C36)</f>
        <v>23027733.25</v>
      </c>
      <c r="D37" s="3025">
        <f>SUM(D23:D36)</f>
        <v>34306894.776374526</v>
      </c>
      <c r="E37" s="3025">
        <f t="shared" ref="E37:F37" si="0">SUM(E23:E36)</f>
        <v>34710836.631255701</v>
      </c>
      <c r="F37" s="3025">
        <f t="shared" si="0"/>
        <v>38545972.939999998</v>
      </c>
      <c r="G37" s="3026">
        <f>SUM(G23:G36)</f>
        <v>57398506.170000002</v>
      </c>
      <c r="H37" s="3024">
        <f>SUM(H23:H36)</f>
        <v>42560252.70111651</v>
      </c>
      <c r="I37" s="3025">
        <f>SUM(I23:I36)</f>
        <v>36876228.019999996</v>
      </c>
      <c r="J37" s="3025">
        <f t="shared" ref="J37" si="1">SUM(J23:J36)</f>
        <v>36836225.650000028</v>
      </c>
      <c r="K37" s="3025">
        <f t="shared" ref="K37" si="2">SUM(K23:K36)</f>
        <v>41590371.82227999</v>
      </c>
      <c r="L37" s="3026">
        <f>SUM(L23:L36)</f>
        <v>38962886.715412766</v>
      </c>
      <c r="M37" s="3024">
        <f>SUM(M23:M36)</f>
        <v>44901923.277757607</v>
      </c>
      <c r="N37" s="3025">
        <f>SUM(N23:N36)</f>
        <v>45041814.562610842</v>
      </c>
      <c r="O37" s="3025">
        <f t="shared" ref="O37" si="3">SUM(O23:O36)</f>
        <v>46248580.380950429</v>
      </c>
      <c r="P37" s="3025">
        <f t="shared" ref="P37" si="4">SUM(P23:P36)</f>
        <v>47260440.874616779</v>
      </c>
      <c r="Q37" s="3026">
        <f>SUM(Q23:Q36)</f>
        <v>48411684.13536191</v>
      </c>
      <c r="U37" s="1906"/>
      <c r="V37" s="1907"/>
      <c r="W37" s="1907"/>
      <c r="X37" s="1907"/>
      <c r="Y37" s="1908"/>
      <c r="Z37" s="1906"/>
      <c r="AA37" s="1907"/>
      <c r="AB37" s="1908"/>
    </row>
    <row r="38" spans="1:28" s="1266" customFormat="1" ht="20.100000000000001" customHeight="1" outlineLevel="1">
      <c r="B38" s="2859" t="s">
        <v>1376</v>
      </c>
      <c r="C38" s="2856"/>
      <c r="D38" s="2857"/>
      <c r="E38" s="2857"/>
      <c r="F38" s="2857"/>
      <c r="G38" s="2858"/>
      <c r="H38" s="2856"/>
      <c r="I38" s="2857"/>
      <c r="J38" s="2857"/>
      <c r="K38" s="2857"/>
      <c r="L38" s="2857"/>
      <c r="M38" s="2856"/>
      <c r="N38" s="2857"/>
      <c r="O38" s="2857"/>
      <c r="P38" s="2857"/>
      <c r="Q38" s="2858"/>
      <c r="U38" s="1906"/>
      <c r="V38" s="1907"/>
      <c r="W38" s="1907"/>
      <c r="X38" s="1907"/>
      <c r="Y38" s="1908"/>
      <c r="Z38" s="1906"/>
      <c r="AA38" s="1907"/>
      <c r="AB38" s="1908"/>
    </row>
    <row r="39" spans="1:28" s="1266" customFormat="1" ht="20.100000000000001" customHeight="1" outlineLevel="1">
      <c r="B39" s="1418" t="s">
        <v>1377</v>
      </c>
      <c r="C39" s="3021">
        <v>636407.00751366979</v>
      </c>
      <c r="D39" s="3022">
        <v>474876.27999999997</v>
      </c>
      <c r="E39" s="3022">
        <v>530049.31999999995</v>
      </c>
      <c r="F39" s="3022">
        <v>374700.77999999997</v>
      </c>
      <c r="G39" s="3023">
        <v>416931.04</v>
      </c>
      <c r="H39" s="3021">
        <v>379211.81303183304</v>
      </c>
      <c r="I39" s="3022">
        <v>689737.21000000008</v>
      </c>
      <c r="J39" s="3022">
        <v>844678.46000000043</v>
      </c>
      <c r="K39" s="3022">
        <v>1453041.5459722728</v>
      </c>
      <c r="L39" s="3022">
        <v>1536382.0475988977</v>
      </c>
      <c r="M39" s="3021">
        <v>1515751.9818435188</v>
      </c>
      <c r="N39" s="3022">
        <v>1550410.3700365454</v>
      </c>
      <c r="O39" s="3022">
        <v>1540451.8451078329</v>
      </c>
      <c r="P39" s="3022">
        <v>1552851.2189169698</v>
      </c>
      <c r="Q39" s="3023">
        <v>1565386.6346222882</v>
      </c>
      <c r="U39" s="1906"/>
      <c r="V39" s="1907"/>
      <c r="W39" s="1907"/>
      <c r="X39" s="1907"/>
      <c r="Y39" s="1908"/>
      <c r="Z39" s="1906"/>
      <c r="AA39" s="1907"/>
      <c r="AB39" s="1908"/>
    </row>
    <row r="40" spans="1:28" s="1266" customFormat="1" ht="20.100000000000001" customHeight="1" outlineLevel="1">
      <c r="B40" s="1418" t="s">
        <v>1378</v>
      </c>
      <c r="C40" s="3021">
        <v>4998535.165531354</v>
      </c>
      <c r="D40" s="3022">
        <v>3293397.716</v>
      </c>
      <c r="E40" s="3022">
        <v>3908531.3436800013</v>
      </c>
      <c r="F40" s="3022">
        <v>3465065.1229920234</v>
      </c>
      <c r="G40" s="3023">
        <v>4125949.2332228757</v>
      </c>
      <c r="H40" s="3021">
        <v>3428532.6194935362</v>
      </c>
      <c r="I40" s="3022">
        <v>4453306.0399999907</v>
      </c>
      <c r="J40" s="3022">
        <v>3809089.7499999972</v>
      </c>
      <c r="K40" s="3022">
        <v>4032392.8517150767</v>
      </c>
      <c r="L40" s="3022">
        <v>4263674.3618336888</v>
      </c>
      <c r="M40" s="3021">
        <v>4206423.0534227258</v>
      </c>
      <c r="N40" s="3022">
        <v>4302604.9122201717</v>
      </c>
      <c r="O40" s="3022">
        <v>4274968.6172721861</v>
      </c>
      <c r="P40" s="3022">
        <v>4309378.6081305342</v>
      </c>
      <c r="Q40" s="3023">
        <v>4344166.1342157433</v>
      </c>
      <c r="U40" s="1906"/>
      <c r="V40" s="1907"/>
      <c r="W40" s="1907"/>
      <c r="X40" s="1907"/>
      <c r="Y40" s="1908"/>
      <c r="Z40" s="1906"/>
      <c r="AA40" s="1907"/>
      <c r="AB40" s="1908"/>
    </row>
    <row r="41" spans="1:28" s="1266" customFormat="1" ht="20.100000000000001" customHeight="1" outlineLevel="1">
      <c r="B41" s="1418" t="s">
        <v>62</v>
      </c>
      <c r="C41" s="3021">
        <v>4603099.2915364541</v>
      </c>
      <c r="D41" s="3022">
        <v>3781366.779000001</v>
      </c>
      <c r="E41" s="3022">
        <v>4689982.4216040038</v>
      </c>
      <c r="F41" s="3022">
        <v>5121933.6759000001</v>
      </c>
      <c r="G41" s="3023">
        <v>5606461.7202247018</v>
      </c>
      <c r="H41" s="3021">
        <v>6006604.7509166962</v>
      </c>
      <c r="I41" s="3022">
        <v>8691068.2200000007</v>
      </c>
      <c r="J41" s="3022">
        <v>8924032.5399999898</v>
      </c>
      <c r="K41" s="3022">
        <v>10367627.658802008</v>
      </c>
      <c r="L41" s="3022">
        <v>10962272.245639663</v>
      </c>
      <c r="M41" s="3021">
        <v>10815074.224412227</v>
      </c>
      <c r="N41" s="3022">
        <v>11062366.027620157</v>
      </c>
      <c r="O41" s="3022">
        <v>10991310.744460512</v>
      </c>
      <c r="P41" s="3022">
        <v>11079781.780413868</v>
      </c>
      <c r="Q41" s="3023">
        <v>11169223.491795959</v>
      </c>
      <c r="U41" s="1906"/>
      <c r="V41" s="1907"/>
      <c r="W41" s="1907"/>
      <c r="X41" s="1907"/>
      <c r="Y41" s="1908"/>
      <c r="Z41" s="1906"/>
      <c r="AA41" s="1907"/>
      <c r="AB41" s="1908"/>
    </row>
    <row r="42" spans="1:28" s="1266" customFormat="1" ht="20.100000000000001" customHeight="1" outlineLevel="1">
      <c r="B42" s="1418" t="s">
        <v>1356</v>
      </c>
      <c r="C42" s="3021">
        <v>892484.82938459364</v>
      </c>
      <c r="D42" s="3022">
        <v>452060.72000000003</v>
      </c>
      <c r="E42" s="3022">
        <v>501696.08000000007</v>
      </c>
      <c r="F42" s="3022">
        <v>643258.14999999979</v>
      </c>
      <c r="G42" s="3023">
        <v>557180.80000000028</v>
      </c>
      <c r="H42" s="3021">
        <v>550401.03415879351</v>
      </c>
      <c r="I42" s="3022">
        <v>499313.78</v>
      </c>
      <c r="J42" s="3022">
        <v>520970.56000000011</v>
      </c>
      <c r="K42" s="3022">
        <v>498394.28591418173</v>
      </c>
      <c r="L42" s="3022">
        <v>526980.13737250201</v>
      </c>
      <c r="M42" s="3021">
        <v>519904.01011446491</v>
      </c>
      <c r="N42" s="3022">
        <v>531791.86196720868</v>
      </c>
      <c r="O42" s="3022">
        <v>528376.08081878792</v>
      </c>
      <c r="P42" s="3022">
        <v>532629.07487289305</v>
      </c>
      <c r="Q42" s="3023">
        <v>536928.73139435123</v>
      </c>
      <c r="U42" s="1906"/>
      <c r="V42" s="1907"/>
      <c r="W42" s="1907"/>
      <c r="X42" s="1907"/>
      <c r="Y42" s="1908"/>
      <c r="Z42" s="1906"/>
      <c r="AA42" s="1907"/>
      <c r="AB42" s="1908"/>
    </row>
    <row r="43" spans="1:28" s="1266" customFormat="1" ht="20.100000000000001" customHeight="1" outlineLevel="1">
      <c r="B43" s="1418" t="s">
        <v>1379</v>
      </c>
      <c r="C43" s="3021">
        <v>2839048.4448575326</v>
      </c>
      <c r="D43" s="3022">
        <v>649234.40800000005</v>
      </c>
      <c r="E43" s="3022">
        <v>937622.10799599986</v>
      </c>
      <c r="F43" s="3022">
        <v>1037495.5423003603</v>
      </c>
      <c r="G43" s="3023">
        <v>857189.04181418195</v>
      </c>
      <c r="H43" s="3021">
        <v>888111.65708469995</v>
      </c>
      <c r="I43" s="3022">
        <v>77354.579999998095</v>
      </c>
      <c r="J43" s="3022">
        <v>1344253.1399999987</v>
      </c>
      <c r="K43" s="3022">
        <v>1366411.0247912921</v>
      </c>
      <c r="L43" s="3022">
        <v>1444782.7551454012</v>
      </c>
      <c r="M43" s="3021">
        <v>1425382.6565257455</v>
      </c>
      <c r="N43" s="3022">
        <v>1457974.7072208684</v>
      </c>
      <c r="O43" s="3022">
        <v>1448609.9108109032</v>
      </c>
      <c r="P43" s="3022">
        <v>1460270.0323816021</v>
      </c>
      <c r="Q43" s="3023">
        <v>1472058.0850133852</v>
      </c>
      <c r="U43" s="1906"/>
      <c r="V43" s="1907"/>
      <c r="W43" s="1907"/>
      <c r="X43" s="1907"/>
      <c r="Y43" s="1908"/>
      <c r="Z43" s="1906"/>
      <c r="AA43" s="1907"/>
      <c r="AB43" s="1908"/>
    </row>
    <row r="44" spans="1:28" s="1266" customFormat="1" ht="20.100000000000001" customHeight="1" outlineLevel="1">
      <c r="B44" s="1418" t="s">
        <v>63</v>
      </c>
      <c r="C44" s="3021">
        <v>3303996.5937551977</v>
      </c>
      <c r="D44" s="3022">
        <v>1347145.3986999986</v>
      </c>
      <c r="E44" s="3022">
        <v>1486927.9737192309</v>
      </c>
      <c r="F44" s="3022">
        <v>1881078.9618167256</v>
      </c>
      <c r="G44" s="3023">
        <v>2878260.7330526463</v>
      </c>
      <c r="H44" s="3021">
        <v>4112240.8294896423</v>
      </c>
      <c r="I44" s="3022">
        <v>4583869.0499999961</v>
      </c>
      <c r="J44" s="3022">
        <v>3811835.2700000047</v>
      </c>
      <c r="K44" s="3022">
        <v>3421943.9449510816</v>
      </c>
      <c r="L44" s="3022">
        <v>4549436.0126268743</v>
      </c>
      <c r="M44" s="3021">
        <v>4437266.8117492255</v>
      </c>
      <c r="N44" s="3022">
        <v>4573309.1141588213</v>
      </c>
      <c r="O44" s="3022">
        <v>4524405.5851010317</v>
      </c>
      <c r="P44" s="3022">
        <v>4566955.8259895854</v>
      </c>
      <c r="Q44" s="3023">
        <v>4609968.1045254851</v>
      </c>
      <c r="U44" s="1906"/>
      <c r="V44" s="1907"/>
      <c r="W44" s="1907"/>
      <c r="X44" s="1907"/>
      <c r="Y44" s="1908"/>
      <c r="Z44" s="1906"/>
      <c r="AA44" s="1907"/>
      <c r="AB44" s="1908"/>
    </row>
    <row r="45" spans="1:28" s="1266" customFormat="1" ht="20.100000000000001" customHeight="1" outlineLevel="1">
      <c r="B45" s="1418" t="s">
        <v>1380</v>
      </c>
      <c r="C45" s="3021">
        <v>0</v>
      </c>
      <c r="D45" s="3022">
        <v>458561.21</v>
      </c>
      <c r="E45" s="3022">
        <v>498945.13</v>
      </c>
      <c r="F45" s="3022">
        <v>448472.41000000003</v>
      </c>
      <c r="G45" s="3023">
        <v>377308.12</v>
      </c>
      <c r="H45" s="3021">
        <v>1120629.6850614103</v>
      </c>
      <c r="I45" s="3022">
        <v>1262342.1499999987</v>
      </c>
      <c r="J45" s="3022">
        <v>456449.30000000022</v>
      </c>
      <c r="K45" s="3022">
        <v>446124.97208640428</v>
      </c>
      <c r="L45" s="3022">
        <v>471712.87015092006</v>
      </c>
      <c r="M45" s="3021">
        <v>465378.85476452537</v>
      </c>
      <c r="N45" s="3022">
        <v>476019.96307146485</v>
      </c>
      <c r="O45" s="3022">
        <v>472962.41343142983</v>
      </c>
      <c r="P45" s="3022">
        <v>476769.3729157084</v>
      </c>
      <c r="Q45" s="3023">
        <v>480618.10112112563</v>
      </c>
      <c r="U45" s="1906"/>
      <c r="V45" s="1907"/>
      <c r="W45" s="1907"/>
      <c r="X45" s="1907"/>
      <c r="Y45" s="1908"/>
      <c r="Z45" s="1906"/>
      <c r="AA45" s="1907"/>
      <c r="AB45" s="1908"/>
    </row>
    <row r="46" spans="1:28" s="1266" customFormat="1" ht="20.100000000000001" customHeight="1" outlineLevel="1">
      <c r="B46" s="1418" t="s">
        <v>64</v>
      </c>
      <c r="C46" s="3021">
        <v>5424262.7434211979</v>
      </c>
      <c r="D46" s="3022">
        <v>1760479.6700000002</v>
      </c>
      <c r="E46" s="3022">
        <v>1497556.0399999965</v>
      </c>
      <c r="F46" s="3022">
        <v>1494441.27</v>
      </c>
      <c r="G46" s="3023">
        <v>1427364.1450174716</v>
      </c>
      <c r="H46" s="3021">
        <v>3923597.4990496696</v>
      </c>
      <c r="I46" s="3022">
        <v>5992410.6199999908</v>
      </c>
      <c r="J46" s="3022">
        <v>6529407.2700000042</v>
      </c>
      <c r="K46" s="3022">
        <v>5141138.0905534616</v>
      </c>
      <c r="L46" s="3022">
        <v>5436012.678679416</v>
      </c>
      <c r="M46" s="3021">
        <v>5363019.571799852</v>
      </c>
      <c r="N46" s="3022">
        <v>5485647.5587216774</v>
      </c>
      <c r="O46" s="3022">
        <v>5450412.3983928859</v>
      </c>
      <c r="P46" s="3022">
        <v>5494283.7475403799</v>
      </c>
      <c r="Q46" s="3023">
        <v>5538636.4388603037</v>
      </c>
      <c r="U46" s="1906"/>
      <c r="V46" s="1907"/>
      <c r="W46" s="1907"/>
      <c r="X46" s="1907"/>
      <c r="Y46" s="1908"/>
      <c r="Z46" s="1906"/>
      <c r="AA46" s="1907"/>
      <c r="AB46" s="1908"/>
    </row>
    <row r="47" spans="1:28" s="1266" customFormat="1" ht="20.100000000000001" customHeight="1" outlineLevel="1">
      <c r="A47"/>
      <c r="B47" s="2860" t="s">
        <v>1381</v>
      </c>
      <c r="C47" s="3024">
        <f t="shared" ref="C47:Q47" si="5">SUM(C39:C46)</f>
        <v>22697834.075999998</v>
      </c>
      <c r="D47" s="3025">
        <f t="shared" si="5"/>
        <v>12217122.181700001</v>
      </c>
      <c r="E47" s="3025">
        <f t="shared" si="5"/>
        <v>14051310.416999236</v>
      </c>
      <c r="F47" s="3025">
        <f t="shared" si="5"/>
        <v>14466445.913009109</v>
      </c>
      <c r="G47" s="3026">
        <f t="shared" si="5"/>
        <v>16246644.833331877</v>
      </c>
      <c r="H47" s="3024">
        <f t="shared" si="5"/>
        <v>20409329.888286281</v>
      </c>
      <c r="I47" s="3025">
        <f t="shared" si="5"/>
        <v>26249401.649999972</v>
      </c>
      <c r="J47" s="3025">
        <f t="shared" si="5"/>
        <v>26240716.289999995</v>
      </c>
      <c r="K47" s="3025">
        <f t="shared" si="5"/>
        <v>26727074.374785777</v>
      </c>
      <c r="L47" s="3026">
        <f t="shared" si="5"/>
        <v>29191253.109047361</v>
      </c>
      <c r="M47" s="3024">
        <f t="shared" si="5"/>
        <v>28748201.164632287</v>
      </c>
      <c r="N47" s="3025">
        <f t="shared" si="5"/>
        <v>29440124.515016913</v>
      </c>
      <c r="O47" s="3025">
        <f t="shared" si="5"/>
        <v>29231497.595395565</v>
      </c>
      <c r="P47" s="3025">
        <f t="shared" si="5"/>
        <v>29472919.661161538</v>
      </c>
      <c r="Q47" s="3026">
        <f t="shared" si="5"/>
        <v>29716985.721548639</v>
      </c>
      <c r="U47" s="1880"/>
      <c r="V47" s="1881"/>
      <c r="W47" s="1881"/>
      <c r="X47" s="1881"/>
      <c r="Y47" s="1885"/>
      <c r="Z47" s="1880"/>
      <c r="AA47" s="1881"/>
      <c r="AB47" s="1885"/>
    </row>
    <row r="48" spans="1:28" ht="20.100000000000001" customHeight="1" outlineLevel="1" thickBot="1">
      <c r="A48"/>
      <c r="B48" s="936" t="s">
        <v>1360</v>
      </c>
      <c r="C48" s="3027">
        <f t="shared" ref="C48:Q48" si="6">C37+C47</f>
        <v>45725567.325999998</v>
      </c>
      <c r="D48" s="3028">
        <f t="shared" si="6"/>
        <v>46524016.958074525</v>
      </c>
      <c r="E48" s="3028">
        <f t="shared" si="6"/>
        <v>48762147.048254937</v>
      </c>
      <c r="F48" s="3028">
        <f t="shared" si="6"/>
        <v>53012418.853009105</v>
      </c>
      <c r="G48" s="3029">
        <f t="shared" si="6"/>
        <v>73645151.003331885</v>
      </c>
      <c r="H48" s="3027">
        <f t="shared" si="6"/>
        <v>62969582.589402795</v>
      </c>
      <c r="I48" s="3028">
        <f t="shared" si="6"/>
        <v>63125629.669999972</v>
      </c>
      <c r="J48" s="3028">
        <f t="shared" si="6"/>
        <v>63076941.940000027</v>
      </c>
      <c r="K48" s="3028">
        <f t="shared" si="6"/>
        <v>68317446.197065771</v>
      </c>
      <c r="L48" s="3029">
        <f t="shared" si="6"/>
        <v>68154139.824460119</v>
      </c>
      <c r="M48" s="3027">
        <f t="shared" si="6"/>
        <v>73650124.442389891</v>
      </c>
      <c r="N48" s="3028">
        <f t="shared" si="6"/>
        <v>74481939.077627748</v>
      </c>
      <c r="O48" s="3028">
        <f t="shared" si="6"/>
        <v>75480077.976345986</v>
      </c>
      <c r="P48" s="3028">
        <f t="shared" si="6"/>
        <v>76733360.535778314</v>
      </c>
      <c r="Q48" s="3029">
        <f t="shared" si="6"/>
        <v>78128669.856910557</v>
      </c>
      <c r="U48" s="1904">
        <f t="shared" ref="U48:AB48" si="7">SUM(U21:U47)</f>
        <v>0</v>
      </c>
      <c r="V48" s="1407">
        <f t="shared" si="7"/>
        <v>0</v>
      </c>
      <c r="W48" s="1407">
        <f t="shared" si="7"/>
        <v>0</v>
      </c>
      <c r="X48" s="1407">
        <f t="shared" si="7"/>
        <v>0</v>
      </c>
      <c r="Y48" s="1408">
        <f t="shared" si="7"/>
        <v>0</v>
      </c>
      <c r="Z48" s="1904">
        <f t="shared" si="7"/>
        <v>0</v>
      </c>
      <c r="AA48" s="1407">
        <f t="shared" si="7"/>
        <v>0</v>
      </c>
      <c r="AB48" s="1408">
        <f t="shared" si="7"/>
        <v>0</v>
      </c>
    </row>
    <row r="49" spans="1:31" s="136" customFormat="1" ht="21.75" customHeight="1">
      <c r="A49" s="501"/>
      <c r="B49" s="1415" t="s">
        <v>1382</v>
      </c>
      <c r="C49" s="1416"/>
      <c r="D49" s="1416"/>
      <c r="E49" s="1416"/>
      <c r="F49" s="1416"/>
      <c r="G49" s="1416"/>
      <c r="H49" s="1416"/>
      <c r="I49" s="1416"/>
      <c r="J49" s="1416"/>
      <c r="K49" s="1416"/>
      <c r="L49" s="1416"/>
      <c r="M49" s="1416"/>
      <c r="N49" s="1416"/>
      <c r="O49" s="1416"/>
      <c r="P49" s="1416"/>
      <c r="Q49" s="1417"/>
      <c r="R49" s="1266"/>
      <c r="S49" s="1268"/>
      <c r="U49" s="1905"/>
      <c r="V49" s="1416"/>
      <c r="W49" s="1416"/>
      <c r="X49" s="1416"/>
      <c r="Y49" s="1416"/>
      <c r="Z49" s="1416"/>
      <c r="AA49" s="1416"/>
      <c r="AB49" s="1417"/>
    </row>
    <row r="50" spans="1:31" ht="20.100000000000001" customHeight="1" outlineLevel="1">
      <c r="A50"/>
      <c r="B50" s="1392" t="s">
        <v>1383</v>
      </c>
      <c r="C50" s="3010">
        <v>471740.85020772438</v>
      </c>
      <c r="D50" s="3011">
        <v>683886.54339142807</v>
      </c>
      <c r="E50" s="3011">
        <v>768607.80595404562</v>
      </c>
      <c r="F50" s="3011">
        <v>743707.81663310947</v>
      </c>
      <c r="G50" s="3012">
        <v>929000</v>
      </c>
      <c r="H50" s="3010">
        <v>76000</v>
      </c>
      <c r="I50" s="3011">
        <v>71000</v>
      </c>
      <c r="J50" s="3011">
        <v>129000</v>
      </c>
      <c r="K50" s="3011">
        <v>74505.644948704678</v>
      </c>
      <c r="L50" s="3011">
        <v>51344.991894885512</v>
      </c>
      <c r="M50" s="3010">
        <v>52160.396778064176</v>
      </c>
      <c r="N50" s="3011">
        <v>52334.273756611758</v>
      </c>
      <c r="O50" s="3011">
        <v>52573.434907879615</v>
      </c>
      <c r="P50" s="3011">
        <v>52815.943657801421</v>
      </c>
      <c r="Q50" s="3012">
        <v>53061.254831175575</v>
      </c>
      <c r="U50" s="1880"/>
      <c r="V50" s="1881"/>
      <c r="W50" s="1881"/>
      <c r="X50" s="1881"/>
      <c r="Y50" s="1885"/>
      <c r="Z50" s="1880"/>
      <c r="AA50" s="1881"/>
      <c r="AB50" s="1885"/>
    </row>
    <row r="51" spans="1:31" ht="20.100000000000001" customHeight="1" outlineLevel="1">
      <c r="A51"/>
      <c r="B51" s="1392" t="s">
        <v>1384</v>
      </c>
      <c r="C51" s="3010">
        <v>254916.50910422558</v>
      </c>
      <c r="D51" s="3030">
        <v>0</v>
      </c>
      <c r="E51" s="3030">
        <v>0</v>
      </c>
      <c r="F51" s="3030">
        <v>0</v>
      </c>
      <c r="G51" s="3012">
        <v>0</v>
      </c>
      <c r="H51" s="3010">
        <v>132712.60251534215</v>
      </c>
      <c r="I51" s="3011">
        <v>107402.81</v>
      </c>
      <c r="J51" s="3011">
        <v>172774.29</v>
      </c>
      <c r="K51" s="3011">
        <v>323306.16672965378</v>
      </c>
      <c r="L51" s="3011">
        <v>222803.95695828652</v>
      </c>
      <c r="M51" s="3010">
        <v>226342.28519226977</v>
      </c>
      <c r="N51" s="3011">
        <v>227096.79848391976</v>
      </c>
      <c r="O51" s="3011">
        <v>228134.60273486341</v>
      </c>
      <c r="P51" s="3011">
        <v>229186.93339235385</v>
      </c>
      <c r="Q51" s="3012">
        <v>230251.42474967518</v>
      </c>
      <c r="U51" s="1409"/>
      <c r="V51" s="1410"/>
      <c r="W51" s="1410"/>
      <c r="X51" s="1410"/>
      <c r="Y51" s="1411"/>
      <c r="Z51" s="1880"/>
      <c r="AA51" s="1881"/>
      <c r="AB51" s="1885"/>
    </row>
    <row r="52" spans="1:31" s="1266" customFormat="1" ht="20.100000000000001" customHeight="1" outlineLevel="1">
      <c r="B52" s="1392" t="s">
        <v>1385</v>
      </c>
      <c r="C52" s="3010">
        <v>218368.98287577878</v>
      </c>
      <c r="D52" s="3030">
        <v>762309.6093681854</v>
      </c>
      <c r="E52" s="3030">
        <v>756793.79407719115</v>
      </c>
      <c r="F52" s="3030">
        <v>732276.53411093017</v>
      </c>
      <c r="G52" s="3012">
        <v>864000</v>
      </c>
      <c r="H52" s="3010">
        <v>503238.27446094196</v>
      </c>
      <c r="I52" s="3011">
        <v>499762.15</v>
      </c>
      <c r="J52" s="3011">
        <v>709714.36999999988</v>
      </c>
      <c r="K52" s="3011">
        <v>968097.37609308469</v>
      </c>
      <c r="L52" s="3011">
        <v>667156.85721775028</v>
      </c>
      <c r="M52" s="3010">
        <v>677751.91116839019</v>
      </c>
      <c r="N52" s="3011">
        <v>680011.20100892254</v>
      </c>
      <c r="O52" s="3011">
        <v>683118.76800153381</v>
      </c>
      <c r="P52" s="3011">
        <v>686269.8323892128</v>
      </c>
      <c r="Q52" s="3012">
        <v>689457.31037740177</v>
      </c>
      <c r="U52" s="1409"/>
      <c r="V52" s="1410"/>
      <c r="W52" s="1410"/>
      <c r="X52" s="1410"/>
      <c r="Y52" s="1411"/>
      <c r="Z52" s="1880"/>
      <c r="AA52" s="1881"/>
      <c r="AB52" s="1885"/>
    </row>
    <row r="53" spans="1:31" s="1266" customFormat="1" ht="20.100000000000001" customHeight="1" outlineLevel="1">
      <c r="B53" s="1392" t="s">
        <v>1386</v>
      </c>
      <c r="C53" s="3010">
        <v>1240175.3095486064</v>
      </c>
      <c r="D53" s="3030">
        <v>962602.16548957513</v>
      </c>
      <c r="E53" s="3030">
        <v>934598.39996876335</v>
      </c>
      <c r="F53" s="3030">
        <v>904320.94246922608</v>
      </c>
      <c r="G53" s="3012">
        <v>999179.33189889556</v>
      </c>
      <c r="H53" s="3010">
        <v>862288.75335804757</v>
      </c>
      <c r="I53" s="3011">
        <v>878977.46</v>
      </c>
      <c r="J53" s="3011">
        <v>949689.74</v>
      </c>
      <c r="K53" s="3011">
        <v>1023050.73256841</v>
      </c>
      <c r="L53" s="3011">
        <v>705027.53996621748</v>
      </c>
      <c r="M53" s="3010">
        <v>716224.01459106116</v>
      </c>
      <c r="N53" s="3011">
        <v>718611.55140659178</v>
      </c>
      <c r="O53" s="3011">
        <v>721895.51722119469</v>
      </c>
      <c r="P53" s="3011">
        <v>725225.4495294455</v>
      </c>
      <c r="Q53" s="3012">
        <v>728593.86243024538</v>
      </c>
      <c r="U53" s="1409"/>
      <c r="V53" s="1410"/>
      <c r="W53" s="1410"/>
      <c r="X53" s="1410"/>
      <c r="Y53" s="1411"/>
      <c r="Z53" s="1880"/>
      <c r="AA53" s="1881"/>
      <c r="AB53" s="1885"/>
    </row>
    <row r="54" spans="1:31" s="1266" customFormat="1" ht="20.100000000000001" customHeight="1" outlineLevel="1">
      <c r="B54" s="1392" t="s">
        <v>1504</v>
      </c>
      <c r="C54" s="3010">
        <v>895883.15226366639</v>
      </c>
      <c r="D54" s="3030">
        <v>0</v>
      </c>
      <c r="E54" s="3030">
        <v>0</v>
      </c>
      <c r="F54" s="3030">
        <v>0</v>
      </c>
      <c r="G54" s="3012">
        <v>0</v>
      </c>
      <c r="H54" s="3010">
        <v>0</v>
      </c>
      <c r="I54" s="3011">
        <v>0</v>
      </c>
      <c r="J54" s="3011">
        <v>0</v>
      </c>
      <c r="K54" s="3011">
        <v>140067.43718649904</v>
      </c>
      <c r="L54" s="3011">
        <v>96526.396517062996</v>
      </c>
      <c r="M54" s="3010">
        <v>98059.322946125161</v>
      </c>
      <c r="N54" s="3011">
        <v>98386.204255422723</v>
      </c>
      <c r="O54" s="3011">
        <v>98835.817027122437</v>
      </c>
      <c r="P54" s="3011">
        <v>99291.723141622002</v>
      </c>
      <c r="Q54" s="3012">
        <v>99752.897692776969</v>
      </c>
      <c r="U54" s="1409"/>
      <c r="V54" s="1410"/>
      <c r="W54" s="1410"/>
      <c r="X54" s="1410"/>
      <c r="Y54" s="1411"/>
      <c r="Z54" s="1880"/>
      <c r="AA54" s="1881"/>
      <c r="AB54" s="1885"/>
    </row>
    <row r="55" spans="1:31" s="69" customFormat="1" ht="20.100000000000001" customHeight="1" thickBot="1">
      <c r="A55"/>
      <c r="B55" s="2862" t="s">
        <v>49</v>
      </c>
      <c r="C55" s="3031">
        <f t="shared" ref="C55:Q55" si="8">SUM(C50:C54)</f>
        <v>3081084.8040000014</v>
      </c>
      <c r="D55" s="3032">
        <f t="shared" si="8"/>
        <v>2408798.3182491884</v>
      </c>
      <c r="E55" s="3032">
        <f t="shared" si="8"/>
        <v>2460000</v>
      </c>
      <c r="F55" s="3032">
        <f t="shared" si="8"/>
        <v>2380305.2932132659</v>
      </c>
      <c r="G55" s="3032">
        <f t="shared" si="8"/>
        <v>2792179.3318988956</v>
      </c>
      <c r="H55" s="3031">
        <f t="shared" si="8"/>
        <v>1574239.6303343317</v>
      </c>
      <c r="I55" s="3032">
        <f t="shared" si="8"/>
        <v>1557142.42</v>
      </c>
      <c r="J55" s="3032">
        <f t="shared" si="8"/>
        <v>1961178.4</v>
      </c>
      <c r="K55" s="3032">
        <f t="shared" si="8"/>
        <v>2529027.3575263526</v>
      </c>
      <c r="L55" s="3032">
        <f t="shared" si="8"/>
        <v>1742859.7425542027</v>
      </c>
      <c r="M55" s="3031">
        <f t="shared" si="8"/>
        <v>1770537.9306759103</v>
      </c>
      <c r="N55" s="3032">
        <f t="shared" si="8"/>
        <v>1776440.0289114688</v>
      </c>
      <c r="O55" s="3032">
        <f t="shared" si="8"/>
        <v>1784558.139892594</v>
      </c>
      <c r="P55" s="3032">
        <f t="shared" si="8"/>
        <v>1792789.8821104355</v>
      </c>
      <c r="Q55" s="3032">
        <f t="shared" si="8"/>
        <v>1801116.7500812749</v>
      </c>
      <c r="R55"/>
      <c r="S55"/>
      <c r="T55"/>
      <c r="U55" s="1306">
        <f t="shared" ref="U55:AB55" si="9">SUM(U50:U54)</f>
        <v>0</v>
      </c>
      <c r="V55" s="1307">
        <f t="shared" si="9"/>
        <v>0</v>
      </c>
      <c r="W55" s="1307">
        <f t="shared" si="9"/>
        <v>0</v>
      </c>
      <c r="X55" s="1307">
        <f t="shared" si="9"/>
        <v>0</v>
      </c>
      <c r="Y55" s="1308">
        <f t="shared" si="9"/>
        <v>0</v>
      </c>
      <c r="Z55" s="1306">
        <f t="shared" si="9"/>
        <v>0</v>
      </c>
      <c r="AA55" s="1307">
        <f t="shared" si="9"/>
        <v>0</v>
      </c>
      <c r="AB55" s="1308">
        <f t="shared" si="9"/>
        <v>0</v>
      </c>
    </row>
    <row r="56" spans="1:31" s="69" customFormat="1" ht="30" customHeight="1" thickBot="1">
      <c r="A56"/>
      <c r="B56" s="2863" t="s">
        <v>45</v>
      </c>
      <c r="C56" s="3033">
        <f t="shared" ref="C56:Q56" si="10">C48+C55</f>
        <v>48806652.129999995</v>
      </c>
      <c r="D56" s="3034">
        <f t="shared" si="10"/>
        <v>48932815.276323713</v>
      </c>
      <c r="E56" s="3034">
        <f t="shared" si="10"/>
        <v>51222147.048254937</v>
      </c>
      <c r="F56" s="3034">
        <f t="shared" si="10"/>
        <v>55392724.146222368</v>
      </c>
      <c r="G56" s="3035">
        <f t="shared" si="10"/>
        <v>76437330.335230783</v>
      </c>
      <c r="H56" s="3033">
        <f t="shared" si="10"/>
        <v>64543822.219737127</v>
      </c>
      <c r="I56" s="3034">
        <f t="shared" si="10"/>
        <v>64682772.089999974</v>
      </c>
      <c r="J56" s="3034">
        <f t="shared" si="10"/>
        <v>65038120.340000026</v>
      </c>
      <c r="K56" s="3034">
        <f t="shared" si="10"/>
        <v>70846473.554592118</v>
      </c>
      <c r="L56" s="3035">
        <f t="shared" si="10"/>
        <v>69896999.567014322</v>
      </c>
      <c r="M56" s="3033">
        <f t="shared" si="10"/>
        <v>75420662.373065799</v>
      </c>
      <c r="N56" s="3034">
        <f t="shared" si="10"/>
        <v>76258379.10653922</v>
      </c>
      <c r="O56" s="3034">
        <f t="shared" si="10"/>
        <v>77264636.116238579</v>
      </c>
      <c r="P56" s="3034">
        <f t="shared" si="10"/>
        <v>78526150.417888746</v>
      </c>
      <c r="Q56" s="3035">
        <f t="shared" si="10"/>
        <v>79929786.606991827</v>
      </c>
      <c r="R56"/>
      <c r="S56"/>
      <c r="T56"/>
      <c r="U56" s="1412" t="e">
        <f>U55+#REF!</f>
        <v>#REF!</v>
      </c>
      <c r="V56" s="1413" t="e">
        <f>V55+#REF!</f>
        <v>#REF!</v>
      </c>
      <c r="W56" s="1413" t="e">
        <f>W55+#REF!</f>
        <v>#REF!</v>
      </c>
      <c r="X56" s="1413" t="e">
        <f>X55+#REF!</f>
        <v>#REF!</v>
      </c>
      <c r="Y56" s="1414" t="e">
        <f>Y55+#REF!</f>
        <v>#REF!</v>
      </c>
      <c r="Z56" s="1412" t="e">
        <f>Z55+#REF!</f>
        <v>#REF!</v>
      </c>
      <c r="AA56" s="1413" t="e">
        <f>AA55+#REF!</f>
        <v>#REF!</v>
      </c>
      <c r="AB56" s="1414" t="e">
        <f>AB55+#REF!</f>
        <v>#REF!</v>
      </c>
    </row>
    <row r="57" spans="1:31" s="95" customFormat="1" ht="39" customHeight="1" thickBot="1">
      <c r="A57"/>
      <c r="B57" s="1563" t="s">
        <v>127</v>
      </c>
      <c r="C57" s="4611" t="s">
        <v>1528</v>
      </c>
      <c r="D57" s="4611"/>
      <c r="E57" s="4611"/>
      <c r="F57" s="4611"/>
      <c r="G57" s="4611"/>
      <c r="H57" s="4611"/>
      <c r="I57" s="4611"/>
      <c r="J57" s="4611"/>
      <c r="K57" s="4611"/>
      <c r="L57" s="4611"/>
      <c r="M57" s="4611"/>
      <c r="N57" s="4611"/>
      <c r="O57" s="4611"/>
      <c r="P57" s="4611"/>
      <c r="Q57" s="4612"/>
      <c r="R57"/>
      <c r="S57"/>
      <c r="T57"/>
      <c r="U57"/>
      <c r="V57"/>
      <c r="W57"/>
      <c r="X57"/>
      <c r="Y57"/>
      <c r="Z57"/>
      <c r="AA57"/>
      <c r="AB57"/>
    </row>
    <row r="58" spans="1:31" customFormat="1" ht="42.75" customHeight="1" thickBot="1">
      <c r="B58" s="282"/>
      <c r="C58" s="282"/>
      <c r="D58" s="282"/>
      <c r="E58" s="282"/>
      <c r="F58" s="282"/>
      <c r="G58" s="282"/>
      <c r="H58" s="282"/>
      <c r="I58" s="282"/>
      <c r="J58" s="282"/>
      <c r="K58" s="282"/>
      <c r="L58" s="282"/>
      <c r="M58" s="282"/>
      <c r="N58" s="282"/>
      <c r="O58" s="282"/>
      <c r="P58" s="282"/>
      <c r="Q58" s="282"/>
      <c r="U58" s="1268"/>
      <c r="V58" s="1268"/>
      <c r="W58" s="1268"/>
      <c r="X58" s="1268"/>
      <c r="Y58" s="1268"/>
      <c r="Z58" s="1268"/>
      <c r="AA58" s="1268"/>
      <c r="AB58" s="1268"/>
    </row>
    <row r="59" spans="1:31" s="72" customFormat="1" ht="16.5" customHeight="1">
      <c r="A59"/>
      <c r="B59" s="4603"/>
      <c r="C59" s="4606" t="s">
        <v>36</v>
      </c>
      <c r="D59" s="4607"/>
      <c r="E59" s="4607"/>
      <c r="F59" s="4607"/>
      <c r="G59" s="4608"/>
      <c r="H59" s="4609" t="s">
        <v>37</v>
      </c>
      <c r="I59" s="4607"/>
      <c r="J59" s="4607"/>
      <c r="K59" s="4607"/>
      <c r="L59" s="4610"/>
      <c r="M59"/>
      <c r="N59"/>
      <c r="O59"/>
      <c r="P59"/>
      <c r="Q59"/>
      <c r="R59"/>
      <c r="S59"/>
      <c r="T59"/>
      <c r="U59"/>
      <c r="V59"/>
      <c r="W59"/>
      <c r="X59"/>
      <c r="Y59"/>
      <c r="Z59"/>
      <c r="AA59"/>
      <c r="AB59"/>
      <c r="AC59" s="65"/>
      <c r="AD59" s="65"/>
      <c r="AE59" s="65"/>
    </row>
    <row r="60" spans="1:31" s="69" customFormat="1" ht="15" customHeight="1">
      <c r="A60"/>
      <c r="B60" s="4604"/>
      <c r="C60" s="4613" t="str">
        <f>CONCATENATE("$0's, real ",dms_DollarReal)</f>
        <v>$0's, real December 2017</v>
      </c>
      <c r="D60" s="4614"/>
      <c r="E60" s="4614"/>
      <c r="F60" s="4614"/>
      <c r="G60" s="4614"/>
      <c r="H60" s="4614"/>
      <c r="I60" s="4614"/>
      <c r="J60" s="4614"/>
      <c r="K60" s="4614"/>
      <c r="L60" s="4615"/>
      <c r="M60"/>
      <c r="N60"/>
      <c r="O60"/>
      <c r="P60"/>
      <c r="Q60"/>
      <c r="R60"/>
      <c r="S60"/>
      <c r="T60"/>
      <c r="U60"/>
      <c r="V60"/>
      <c r="W60"/>
      <c r="X60"/>
      <c r="Y60"/>
      <c r="Z60"/>
      <c r="AA60"/>
      <c r="AB60"/>
    </row>
    <row r="61" spans="1:31" s="72" customFormat="1" ht="16.5" customHeight="1">
      <c r="A61"/>
      <c r="B61" s="4604"/>
      <c r="C61" s="4613" t="s">
        <v>76</v>
      </c>
      <c r="D61" s="4614"/>
      <c r="E61" s="4614"/>
      <c r="F61" s="4614"/>
      <c r="G61" s="4614"/>
      <c r="H61" s="4614"/>
      <c r="I61" s="4614"/>
      <c r="J61" s="4614"/>
      <c r="K61" s="4614"/>
      <c r="L61" s="4615"/>
      <c r="M61"/>
      <c r="N61"/>
      <c r="O61"/>
      <c r="P61"/>
      <c r="Q61"/>
      <c r="R61"/>
      <c r="S61"/>
      <c r="T61"/>
      <c r="U61"/>
      <c r="V61"/>
      <c r="W61"/>
      <c r="X61"/>
      <c r="Y61"/>
      <c r="Z61"/>
      <c r="AA61"/>
      <c r="AB61"/>
    </row>
    <row r="62" spans="1:31" s="69" customFormat="1" ht="12.75" customHeight="1" thickBot="1">
      <c r="A62"/>
      <c r="B62" s="4605"/>
      <c r="C62" s="3114">
        <f t="array" ref="C62:G62">PRCP</f>
        <v>2008</v>
      </c>
      <c r="D62" s="3115">
        <v>2009</v>
      </c>
      <c r="E62" s="3115">
        <v>2010</v>
      </c>
      <c r="F62" s="3115">
        <v>2011</v>
      </c>
      <c r="G62" s="3115">
        <v>2012</v>
      </c>
      <c r="H62" s="3115">
        <f>CRCP_y1</f>
        <v>2013</v>
      </c>
      <c r="I62" s="3115">
        <f>CRCP_y2</f>
        <v>2014</v>
      </c>
      <c r="J62" s="3115">
        <f>CRCP_y3</f>
        <v>2015</v>
      </c>
      <c r="K62" s="3115">
        <f>CRCP_y4</f>
        <v>2016</v>
      </c>
      <c r="L62" s="3116">
        <f>CRCP_y5</f>
        <v>2017</v>
      </c>
      <c r="M62"/>
      <c r="N62"/>
      <c r="O62"/>
      <c r="P62"/>
      <c r="Q62"/>
      <c r="R62"/>
      <c r="S62"/>
      <c r="T62"/>
      <c r="U62"/>
      <c r="V62"/>
      <c r="W62"/>
      <c r="X62"/>
      <c r="Y62"/>
      <c r="Z62"/>
      <c r="AA62"/>
      <c r="AB62"/>
    </row>
    <row r="63" spans="1:31" s="136" customFormat="1" ht="21.75" customHeight="1" thickBot="1">
      <c r="A63" s="501"/>
      <c r="B63" s="3127" t="s">
        <v>537</v>
      </c>
      <c r="C63" s="3112"/>
      <c r="D63" s="3112"/>
      <c r="E63" s="3112"/>
      <c r="F63" s="3112"/>
      <c r="G63" s="3112"/>
      <c r="H63" s="3112"/>
      <c r="I63" s="3112"/>
      <c r="J63" s="3112"/>
      <c r="K63" s="3112"/>
      <c r="L63" s="3113"/>
      <c r="M63"/>
      <c r="N63"/>
      <c r="O63"/>
      <c r="P63"/>
      <c r="Q63"/>
      <c r="R63" s="1266"/>
      <c r="S63" s="1268"/>
      <c r="U63"/>
      <c r="V63"/>
      <c r="W63"/>
      <c r="X63"/>
      <c r="Y63"/>
      <c r="Z63"/>
      <c r="AA63"/>
      <c r="AB63"/>
    </row>
    <row r="64" spans="1:31" ht="20.100000000000001" customHeight="1" outlineLevel="1">
      <c r="A64"/>
      <c r="B64" s="3128" t="s">
        <v>1387</v>
      </c>
      <c r="C64" s="3129"/>
      <c r="D64" s="3129"/>
      <c r="E64" s="3129"/>
      <c r="F64" s="3129"/>
      <c r="G64" s="3129"/>
      <c r="H64" s="3129"/>
      <c r="I64" s="3129"/>
      <c r="J64" s="3129"/>
      <c r="K64" s="3129"/>
      <c r="L64" s="3130"/>
      <c r="M64"/>
      <c r="N64"/>
      <c r="O64"/>
      <c r="P64"/>
      <c r="Q64"/>
      <c r="U64"/>
      <c r="V64"/>
      <c r="W64"/>
      <c r="X64"/>
      <c r="Y64"/>
      <c r="Z64"/>
      <c r="AA64"/>
      <c r="AB64"/>
    </row>
    <row r="65" spans="1:28" ht="20.100000000000001" customHeight="1" outlineLevel="1">
      <c r="A65"/>
      <c r="B65" s="3131" t="s">
        <v>1362</v>
      </c>
      <c r="C65" s="3132"/>
      <c r="D65" s="3133"/>
      <c r="E65" s="3133"/>
      <c r="F65" s="3133"/>
      <c r="G65" s="3134"/>
      <c r="H65" s="3132"/>
      <c r="I65" s="3133"/>
      <c r="J65" s="3133"/>
      <c r="K65" s="3133"/>
      <c r="L65" s="3134"/>
      <c r="M65"/>
      <c r="N65"/>
      <c r="O65"/>
      <c r="P65"/>
      <c r="Q65"/>
      <c r="U65"/>
      <c r="V65"/>
      <c r="W65"/>
      <c r="X65"/>
      <c r="Y65"/>
      <c r="Z65"/>
      <c r="AA65"/>
      <c r="AB65"/>
    </row>
    <row r="66" spans="1:28" ht="20.100000000000001" customHeight="1" outlineLevel="1">
      <c r="A66"/>
      <c r="B66" s="3135" t="s">
        <v>1363</v>
      </c>
      <c r="C66" s="3132"/>
      <c r="D66" s="3133"/>
      <c r="E66" s="3133"/>
      <c r="F66" s="3133"/>
      <c r="G66" s="3134"/>
      <c r="H66" s="3132"/>
      <c r="I66" s="3133"/>
      <c r="J66" s="3133"/>
      <c r="K66" s="3133"/>
      <c r="L66" s="3134"/>
      <c r="M66"/>
      <c r="N66"/>
      <c r="O66"/>
      <c r="P66"/>
      <c r="Q66"/>
      <c r="U66"/>
      <c r="V66"/>
      <c r="W66"/>
      <c r="X66"/>
      <c r="Y66"/>
      <c r="Z66"/>
      <c r="AA66"/>
      <c r="AB66"/>
    </row>
    <row r="67" spans="1:28" ht="20.100000000000001" customHeight="1" outlineLevel="1">
      <c r="A67"/>
      <c r="B67" s="3135" t="s">
        <v>1364</v>
      </c>
      <c r="C67" s="3132"/>
      <c r="D67" s="3133"/>
      <c r="E67" s="3133"/>
      <c r="F67" s="3133"/>
      <c r="G67" s="3134"/>
      <c r="H67" s="3132"/>
      <c r="I67" s="3133"/>
      <c r="J67" s="3133"/>
      <c r="K67" s="3133"/>
      <c r="L67" s="3134"/>
      <c r="M67"/>
      <c r="N67"/>
      <c r="O67"/>
      <c r="P67"/>
      <c r="Q67"/>
      <c r="U67"/>
      <c r="V67"/>
      <c r="W67"/>
      <c r="X67"/>
      <c r="Y67"/>
      <c r="Z67"/>
      <c r="AA67"/>
      <c r="AB67"/>
    </row>
    <row r="68" spans="1:28" ht="20.100000000000001" customHeight="1" outlineLevel="1">
      <c r="A68"/>
      <c r="B68" s="3135" t="s">
        <v>1365</v>
      </c>
      <c r="C68" s="3132"/>
      <c r="D68" s="3133"/>
      <c r="E68" s="3133"/>
      <c r="F68" s="3133"/>
      <c r="G68" s="3134"/>
      <c r="H68" s="3132"/>
      <c r="I68" s="3133"/>
      <c r="J68" s="3133"/>
      <c r="K68" s="3133"/>
      <c r="L68" s="3134"/>
      <c r="M68"/>
      <c r="N68"/>
      <c r="O68"/>
      <c r="P68"/>
      <c r="Q68"/>
      <c r="U68"/>
      <c r="V68"/>
      <c r="W68"/>
      <c r="X68"/>
      <c r="Y68"/>
      <c r="Z68"/>
      <c r="AA68"/>
      <c r="AB68"/>
    </row>
    <row r="69" spans="1:28" ht="20.100000000000001" customHeight="1" outlineLevel="1">
      <c r="A69"/>
      <c r="B69" s="3135" t="s">
        <v>1366</v>
      </c>
      <c r="C69" s="3132"/>
      <c r="D69" s="3133"/>
      <c r="E69" s="3133"/>
      <c r="F69" s="3133"/>
      <c r="G69" s="3134"/>
      <c r="H69" s="3132"/>
      <c r="I69" s="3133"/>
      <c r="J69" s="3133"/>
      <c r="K69" s="3133"/>
      <c r="L69" s="3134"/>
      <c r="M69"/>
      <c r="N69"/>
      <c r="O69"/>
      <c r="P69"/>
      <c r="Q69"/>
      <c r="U69"/>
      <c r="V69"/>
      <c r="W69"/>
      <c r="X69"/>
      <c r="Y69"/>
      <c r="Z69"/>
      <c r="AA69"/>
      <c r="AB69"/>
    </row>
    <row r="70" spans="1:28" ht="20.100000000000001" customHeight="1" outlineLevel="1">
      <c r="A70"/>
      <c r="B70" s="3135" t="s">
        <v>1367</v>
      </c>
      <c r="C70" s="3132"/>
      <c r="D70" s="3133"/>
      <c r="E70" s="3133"/>
      <c r="F70" s="3133"/>
      <c r="G70" s="3134"/>
      <c r="H70" s="3132"/>
      <c r="I70" s="3133"/>
      <c r="J70" s="3133"/>
      <c r="K70" s="3133"/>
      <c r="L70" s="3134"/>
      <c r="M70"/>
      <c r="N70"/>
      <c r="O70"/>
      <c r="P70"/>
      <c r="Q70"/>
      <c r="U70"/>
      <c r="V70"/>
      <c r="W70"/>
      <c r="X70"/>
      <c r="Y70"/>
      <c r="Z70"/>
      <c r="AA70"/>
      <c r="AB70"/>
    </row>
    <row r="71" spans="1:28" ht="20.100000000000001" customHeight="1" outlineLevel="1">
      <c r="A71"/>
      <c r="B71" s="3135" t="s">
        <v>1368</v>
      </c>
      <c r="C71" s="3132"/>
      <c r="D71" s="3133"/>
      <c r="E71" s="3133"/>
      <c r="F71" s="3133"/>
      <c r="G71" s="3134"/>
      <c r="H71" s="3132"/>
      <c r="I71" s="3133"/>
      <c r="J71" s="3133"/>
      <c r="K71" s="3133"/>
      <c r="L71" s="3134"/>
      <c r="M71"/>
      <c r="N71"/>
      <c r="O71"/>
      <c r="P71"/>
      <c r="Q71"/>
      <c r="U71"/>
      <c r="V71"/>
      <c r="W71"/>
      <c r="X71"/>
      <c r="Y71"/>
      <c r="Z71"/>
      <c r="AA71"/>
      <c r="AB71"/>
    </row>
    <row r="72" spans="1:28" ht="20.100000000000001" customHeight="1" outlineLevel="1">
      <c r="A72"/>
      <c r="B72" s="3135" t="s">
        <v>275</v>
      </c>
      <c r="C72" s="3132"/>
      <c r="D72" s="3133"/>
      <c r="E72" s="3133"/>
      <c r="F72" s="3133"/>
      <c r="G72" s="3134"/>
      <c r="H72" s="3132"/>
      <c r="I72" s="3133"/>
      <c r="J72" s="3133"/>
      <c r="K72" s="3133"/>
      <c r="L72" s="3134"/>
      <c r="M72"/>
      <c r="N72"/>
      <c r="O72"/>
      <c r="P72"/>
      <c r="Q72"/>
      <c r="U72"/>
      <c r="V72"/>
      <c r="W72"/>
      <c r="X72"/>
      <c r="Y72"/>
      <c r="Z72"/>
      <c r="AA72"/>
      <c r="AB72"/>
    </row>
    <row r="73" spans="1:28" s="136" customFormat="1" ht="21.75" customHeight="1">
      <c r="A73" s="501"/>
      <c r="B73" s="3135" t="s">
        <v>1369</v>
      </c>
      <c r="C73" s="3132"/>
      <c r="D73" s="3133"/>
      <c r="E73" s="3133"/>
      <c r="F73" s="3133"/>
      <c r="G73" s="3134"/>
      <c r="H73" s="3132"/>
      <c r="I73" s="3133"/>
      <c r="J73" s="3133"/>
      <c r="K73" s="3133"/>
      <c r="L73" s="3134"/>
      <c r="M73"/>
      <c r="N73"/>
      <c r="O73"/>
      <c r="P73"/>
      <c r="Q73"/>
      <c r="R73" s="1266"/>
      <c r="S73" s="1268"/>
      <c r="U73"/>
      <c r="V73"/>
      <c r="W73"/>
      <c r="X73"/>
      <c r="Y73"/>
      <c r="Z73"/>
      <c r="AA73"/>
      <c r="AB73"/>
    </row>
    <row r="74" spans="1:28" s="1266" customFormat="1" ht="20.100000000000001" customHeight="1" outlineLevel="1">
      <c r="B74" s="3135" t="s">
        <v>1370</v>
      </c>
      <c r="C74" s="3132"/>
      <c r="D74" s="3133"/>
      <c r="E74" s="3133"/>
      <c r="F74" s="3133"/>
      <c r="G74" s="3134"/>
      <c r="H74" s="3132"/>
      <c r="I74" s="3133"/>
      <c r="J74" s="3133"/>
      <c r="K74" s="3133"/>
      <c r="L74" s="3134"/>
      <c r="M74"/>
      <c r="N74"/>
      <c r="O74"/>
      <c r="P74"/>
      <c r="Q74"/>
      <c r="U74"/>
      <c r="V74"/>
      <c r="W74"/>
      <c r="X74"/>
      <c r="Y74"/>
      <c r="Z74"/>
      <c r="AA74"/>
      <c r="AB74"/>
    </row>
    <row r="75" spans="1:28" ht="20.100000000000001" customHeight="1" outlineLevel="1">
      <c r="A75"/>
      <c r="B75" s="3135" t="s">
        <v>1371</v>
      </c>
      <c r="C75" s="3132"/>
      <c r="D75" s="3133"/>
      <c r="E75" s="3133"/>
      <c r="F75" s="3133"/>
      <c r="G75" s="3134"/>
      <c r="H75" s="3132"/>
      <c r="I75" s="3133"/>
      <c r="J75" s="3133"/>
      <c r="K75" s="3133"/>
      <c r="L75" s="3134"/>
      <c r="M75"/>
      <c r="N75"/>
      <c r="O75"/>
      <c r="P75"/>
      <c r="Q75"/>
      <c r="U75"/>
      <c r="V75"/>
      <c r="W75"/>
      <c r="X75"/>
      <c r="Y75"/>
      <c r="Z75"/>
      <c r="AA75"/>
      <c r="AB75"/>
    </row>
    <row r="76" spans="1:28" ht="20.100000000000001" customHeight="1" outlineLevel="1">
      <c r="A76"/>
      <c r="B76" s="3135" t="s">
        <v>1372</v>
      </c>
      <c r="C76" s="3132"/>
      <c r="D76" s="3133"/>
      <c r="E76" s="3133"/>
      <c r="F76" s="3133"/>
      <c r="G76" s="3134"/>
      <c r="H76" s="3132"/>
      <c r="I76" s="3133"/>
      <c r="J76" s="3133"/>
      <c r="K76" s="3133"/>
      <c r="L76" s="3134"/>
      <c r="M76"/>
      <c r="N76"/>
      <c r="O76"/>
      <c r="P76"/>
      <c r="Q76"/>
      <c r="U76"/>
      <c r="V76"/>
      <c r="W76"/>
      <c r="X76"/>
      <c r="Y76"/>
      <c r="Z76"/>
      <c r="AA76"/>
      <c r="AB76"/>
    </row>
    <row r="77" spans="1:28" ht="20.100000000000001" customHeight="1" outlineLevel="1">
      <c r="A77"/>
      <c r="B77" s="3135" t="s">
        <v>135</v>
      </c>
      <c r="C77" s="3132"/>
      <c r="D77" s="3133"/>
      <c r="E77" s="3133"/>
      <c r="F77" s="3133"/>
      <c r="G77" s="3134"/>
      <c r="H77" s="3132"/>
      <c r="I77" s="3133"/>
      <c r="J77" s="3133"/>
      <c r="K77" s="3133"/>
      <c r="L77" s="3134"/>
      <c r="M77"/>
      <c r="N77"/>
      <c r="O77"/>
      <c r="P77"/>
      <c r="Q77"/>
      <c r="U77"/>
      <c r="V77"/>
      <c r="W77"/>
      <c r="X77"/>
      <c r="Y77"/>
      <c r="Z77"/>
      <c r="AA77"/>
      <c r="AB77"/>
    </row>
    <row r="78" spans="1:28" ht="20.100000000000001" customHeight="1" outlineLevel="1">
      <c r="A78"/>
      <c r="B78" s="3135" t="s">
        <v>1373</v>
      </c>
      <c r="C78" s="3132"/>
      <c r="D78" s="3133"/>
      <c r="E78" s="3133"/>
      <c r="F78" s="3133"/>
      <c r="G78" s="3134"/>
      <c r="H78" s="3132"/>
      <c r="I78" s="3133"/>
      <c r="J78" s="3133"/>
      <c r="K78" s="3133"/>
      <c r="L78" s="3134"/>
      <c r="M78"/>
      <c r="N78"/>
      <c r="O78"/>
      <c r="P78"/>
      <c r="Q78"/>
      <c r="U78"/>
      <c r="V78"/>
      <c r="W78"/>
      <c r="X78"/>
      <c r="Y78"/>
      <c r="Z78"/>
      <c r="AA78"/>
      <c r="AB78"/>
    </row>
    <row r="79" spans="1:28" ht="20.100000000000001" customHeight="1" outlineLevel="1">
      <c r="A79"/>
      <c r="B79" s="3135" t="s">
        <v>1374</v>
      </c>
      <c r="C79" s="3132"/>
      <c r="D79" s="3133"/>
      <c r="E79" s="3133"/>
      <c r="F79" s="3133"/>
      <c r="G79" s="3134"/>
      <c r="H79" s="3132"/>
      <c r="I79" s="3133"/>
      <c r="J79" s="3133"/>
      <c r="K79" s="3133"/>
      <c r="L79" s="3134"/>
      <c r="M79"/>
      <c r="N79"/>
      <c r="O79"/>
      <c r="P79"/>
      <c r="Q79"/>
      <c r="U79"/>
      <c r="V79"/>
      <c r="W79"/>
      <c r="X79"/>
      <c r="Y79"/>
      <c r="Z79"/>
      <c r="AA79"/>
      <c r="AB79"/>
    </row>
    <row r="80" spans="1:28" ht="20.100000000000001" customHeight="1" outlineLevel="1">
      <c r="A80"/>
      <c r="B80" s="3136" t="s">
        <v>1375</v>
      </c>
      <c r="C80" s="3132">
        <f>SUM(C66:C79)</f>
        <v>0</v>
      </c>
      <c r="D80" s="3133">
        <f>SUM(D66:D79)</f>
        <v>0</v>
      </c>
      <c r="E80" s="3133">
        <f t="shared" ref="E80" si="11">SUM(E66:E79)</f>
        <v>0</v>
      </c>
      <c r="F80" s="3133">
        <f t="shared" ref="F80" si="12">SUM(F66:F79)</f>
        <v>0</v>
      </c>
      <c r="G80" s="3134">
        <f>SUM(G66:G79)</f>
        <v>0</v>
      </c>
      <c r="H80" s="3132">
        <f>SUM(H66:H79)</f>
        <v>0</v>
      </c>
      <c r="I80" s="3133">
        <f>SUM(I66:I79)</f>
        <v>0</v>
      </c>
      <c r="J80" s="3133">
        <f t="shared" ref="J80" si="13">SUM(J66:J79)</f>
        <v>0</v>
      </c>
      <c r="K80" s="3133">
        <f t="shared" ref="K80" si="14">SUM(K66:K79)</f>
        <v>0</v>
      </c>
      <c r="L80" s="3134">
        <f>SUM(L66:L79)</f>
        <v>0</v>
      </c>
      <c r="M80"/>
      <c r="N80"/>
      <c r="O80"/>
      <c r="P80"/>
      <c r="Q80"/>
      <c r="U80"/>
      <c r="V80"/>
      <c r="W80"/>
      <c r="X80"/>
      <c r="Y80"/>
      <c r="Z80"/>
      <c r="AA80"/>
      <c r="AB80"/>
    </row>
    <row r="81" spans="1:28" ht="20.100000000000001" customHeight="1" outlineLevel="1">
      <c r="A81"/>
      <c r="B81" s="3131" t="s">
        <v>1376</v>
      </c>
      <c r="C81" s="3132"/>
      <c r="D81" s="3133"/>
      <c r="E81" s="3133"/>
      <c r="F81" s="3133"/>
      <c r="G81" s="3134"/>
      <c r="H81" s="3132"/>
      <c r="I81" s="3133"/>
      <c r="J81" s="3133"/>
      <c r="K81" s="3133"/>
      <c r="L81" s="3134"/>
      <c r="M81"/>
      <c r="N81"/>
      <c r="O81"/>
      <c r="P81"/>
      <c r="Q81"/>
      <c r="U81"/>
      <c r="V81"/>
      <c r="W81"/>
      <c r="X81"/>
      <c r="Y81"/>
      <c r="Z81"/>
      <c r="AA81"/>
      <c r="AB81"/>
    </row>
    <row r="82" spans="1:28" ht="20.100000000000001" customHeight="1" outlineLevel="1">
      <c r="A82"/>
      <c r="B82" s="3135" t="s">
        <v>1377</v>
      </c>
      <c r="C82" s="3132"/>
      <c r="D82" s="3133"/>
      <c r="E82" s="3133"/>
      <c r="F82" s="3133"/>
      <c r="G82" s="3134"/>
      <c r="H82" s="3132"/>
      <c r="I82" s="3133"/>
      <c r="J82" s="3133"/>
      <c r="K82" s="3133"/>
      <c r="L82" s="3134"/>
      <c r="M82"/>
      <c r="N82"/>
      <c r="O82"/>
      <c r="P82"/>
      <c r="Q82"/>
      <c r="U82"/>
      <c r="V82"/>
      <c r="W82"/>
      <c r="X82"/>
      <c r="Y82"/>
      <c r="Z82"/>
      <c r="AA82"/>
      <c r="AB82"/>
    </row>
    <row r="83" spans="1:28" ht="20.100000000000001" customHeight="1" outlineLevel="1">
      <c r="A83"/>
      <c r="B83" s="3135" t="s">
        <v>1378</v>
      </c>
      <c r="C83" s="3132"/>
      <c r="D83" s="3133"/>
      <c r="E83" s="3133"/>
      <c r="F83" s="3133"/>
      <c r="G83" s="3134"/>
      <c r="H83" s="3132"/>
      <c r="I83" s="3133"/>
      <c r="J83" s="3133"/>
      <c r="K83" s="3133"/>
      <c r="L83" s="3134"/>
      <c r="M83"/>
      <c r="N83"/>
      <c r="O83"/>
      <c r="P83"/>
      <c r="Q83"/>
      <c r="U83"/>
      <c r="V83"/>
      <c r="W83"/>
      <c r="X83"/>
      <c r="Y83"/>
      <c r="Z83"/>
      <c r="AA83"/>
      <c r="AB83"/>
    </row>
    <row r="84" spans="1:28" ht="20.100000000000001" customHeight="1" outlineLevel="1">
      <c r="A84"/>
      <c r="B84" s="3135" t="s">
        <v>62</v>
      </c>
      <c r="C84" s="3132"/>
      <c r="D84" s="3133"/>
      <c r="E84" s="3133"/>
      <c r="F84" s="3133"/>
      <c r="G84" s="3134"/>
      <c r="H84" s="3132"/>
      <c r="I84" s="3133"/>
      <c r="J84" s="3133"/>
      <c r="K84" s="3133"/>
      <c r="L84" s="3134"/>
      <c r="M84"/>
      <c r="N84"/>
      <c r="O84"/>
      <c r="P84"/>
      <c r="Q84"/>
      <c r="U84"/>
      <c r="V84"/>
      <c r="W84"/>
      <c r="X84"/>
      <c r="Y84"/>
      <c r="Z84"/>
      <c r="AA84"/>
      <c r="AB84"/>
    </row>
    <row r="85" spans="1:28" ht="20.100000000000001" customHeight="1" outlineLevel="1">
      <c r="A85"/>
      <c r="B85" s="3135" t="s">
        <v>1356</v>
      </c>
      <c r="C85" s="3132"/>
      <c r="D85" s="3133"/>
      <c r="E85" s="3133"/>
      <c r="F85" s="3133"/>
      <c r="G85" s="3134"/>
      <c r="H85" s="3132"/>
      <c r="I85" s="3133"/>
      <c r="J85" s="3133"/>
      <c r="K85" s="3133"/>
      <c r="L85" s="3134"/>
      <c r="M85"/>
      <c r="N85"/>
      <c r="O85"/>
      <c r="P85"/>
      <c r="Q85"/>
      <c r="U85"/>
      <c r="V85"/>
      <c r="W85"/>
      <c r="X85"/>
      <c r="Y85"/>
      <c r="Z85"/>
      <c r="AA85"/>
      <c r="AB85"/>
    </row>
    <row r="86" spans="1:28" ht="20.100000000000001" customHeight="1" outlineLevel="1">
      <c r="A86"/>
      <c r="B86" s="3135" t="s">
        <v>1379</v>
      </c>
      <c r="C86" s="3132"/>
      <c r="D86" s="3133"/>
      <c r="E86" s="3133"/>
      <c r="F86" s="3133"/>
      <c r="G86" s="3134"/>
      <c r="H86" s="3132"/>
      <c r="I86" s="3133"/>
      <c r="J86" s="3133"/>
      <c r="K86" s="3133"/>
      <c r="L86" s="3134"/>
      <c r="M86"/>
      <c r="N86"/>
      <c r="O86"/>
      <c r="P86"/>
      <c r="Q86"/>
      <c r="U86"/>
      <c r="V86"/>
      <c r="W86"/>
      <c r="X86"/>
      <c r="Y86"/>
      <c r="Z86"/>
      <c r="AA86"/>
      <c r="AB86"/>
    </row>
    <row r="87" spans="1:28" ht="20.100000000000001" customHeight="1" outlineLevel="1">
      <c r="A87"/>
      <c r="B87" s="3135" t="s">
        <v>63</v>
      </c>
      <c r="C87" s="3132"/>
      <c r="D87" s="3133"/>
      <c r="E87" s="3133"/>
      <c r="F87" s="3133"/>
      <c r="G87" s="3134"/>
      <c r="H87" s="3132"/>
      <c r="I87" s="3133"/>
      <c r="J87" s="3133"/>
      <c r="K87" s="3133"/>
      <c r="L87" s="3134"/>
      <c r="M87"/>
      <c r="N87"/>
      <c r="O87"/>
      <c r="P87"/>
      <c r="Q87"/>
      <c r="U87"/>
      <c r="V87"/>
      <c r="W87"/>
      <c r="X87"/>
      <c r="Y87"/>
      <c r="Z87"/>
      <c r="AA87"/>
      <c r="AB87"/>
    </row>
    <row r="88" spans="1:28" ht="20.100000000000001" customHeight="1" outlineLevel="1">
      <c r="A88"/>
      <c r="B88" s="3135" t="s">
        <v>1380</v>
      </c>
      <c r="C88" s="3132"/>
      <c r="D88" s="3133"/>
      <c r="E88" s="3133"/>
      <c r="F88" s="3133"/>
      <c r="G88" s="3134"/>
      <c r="H88" s="3132"/>
      <c r="I88" s="3133"/>
      <c r="J88" s="3133"/>
      <c r="K88" s="3133"/>
      <c r="L88" s="3134"/>
      <c r="M88"/>
      <c r="N88"/>
      <c r="O88"/>
      <c r="P88"/>
      <c r="Q88"/>
      <c r="U88"/>
      <c r="V88"/>
      <c r="W88"/>
      <c r="X88"/>
      <c r="Y88"/>
      <c r="Z88"/>
      <c r="AA88"/>
      <c r="AB88"/>
    </row>
    <row r="89" spans="1:28" ht="20.100000000000001" customHeight="1" outlineLevel="1">
      <c r="A89"/>
      <c r="B89" s="3135" t="s">
        <v>64</v>
      </c>
      <c r="C89" s="3132"/>
      <c r="D89" s="3133"/>
      <c r="E89" s="3133"/>
      <c r="F89" s="3133"/>
      <c r="G89" s="3134"/>
      <c r="H89" s="3132"/>
      <c r="I89" s="3133"/>
      <c r="J89" s="3133"/>
      <c r="K89" s="3133"/>
      <c r="L89" s="3134"/>
      <c r="M89"/>
      <c r="N89"/>
      <c r="O89"/>
      <c r="P89"/>
      <c r="Q89"/>
      <c r="U89"/>
      <c r="V89"/>
      <c r="W89"/>
      <c r="X89"/>
      <c r="Y89"/>
      <c r="Z89"/>
      <c r="AA89"/>
      <c r="AB89"/>
    </row>
    <row r="90" spans="1:28" ht="20.100000000000001" customHeight="1" outlineLevel="1">
      <c r="A90"/>
      <c r="B90" s="3136" t="s">
        <v>1381</v>
      </c>
      <c r="C90" s="3132">
        <f t="shared" ref="C90:L90" si="15">SUM(C82:C89)</f>
        <v>0</v>
      </c>
      <c r="D90" s="3133">
        <f t="shared" si="15"/>
        <v>0</v>
      </c>
      <c r="E90" s="3133">
        <f t="shared" si="15"/>
        <v>0</v>
      </c>
      <c r="F90" s="3133">
        <f t="shared" si="15"/>
        <v>0</v>
      </c>
      <c r="G90" s="3134">
        <f t="shared" si="15"/>
        <v>0</v>
      </c>
      <c r="H90" s="3132">
        <f t="shared" si="15"/>
        <v>0</v>
      </c>
      <c r="I90" s="3133">
        <f t="shared" si="15"/>
        <v>0</v>
      </c>
      <c r="J90" s="3133">
        <f t="shared" si="15"/>
        <v>0</v>
      </c>
      <c r="K90" s="3133">
        <f t="shared" si="15"/>
        <v>0</v>
      </c>
      <c r="L90" s="3134">
        <f t="shared" si="15"/>
        <v>0</v>
      </c>
      <c r="M90"/>
      <c r="N90"/>
      <c r="O90"/>
      <c r="P90"/>
      <c r="Q90"/>
      <c r="U90"/>
      <c r="V90"/>
      <c r="W90"/>
      <c r="X90"/>
      <c r="Y90"/>
      <c r="Z90"/>
      <c r="AA90"/>
      <c r="AB90"/>
    </row>
    <row r="91" spans="1:28" ht="20.100000000000001" customHeight="1" outlineLevel="1" thickBot="1">
      <c r="A91"/>
      <c r="B91" s="3117" t="s">
        <v>1360</v>
      </c>
      <c r="C91" s="3137">
        <f t="shared" ref="C91:L91" si="16">C80+C90</f>
        <v>0</v>
      </c>
      <c r="D91" s="3138">
        <f t="shared" si="16"/>
        <v>0</v>
      </c>
      <c r="E91" s="3138">
        <f t="shared" si="16"/>
        <v>0</v>
      </c>
      <c r="F91" s="3138">
        <f t="shared" si="16"/>
        <v>0</v>
      </c>
      <c r="G91" s="3139">
        <f t="shared" si="16"/>
        <v>0</v>
      </c>
      <c r="H91" s="3137">
        <f t="shared" si="16"/>
        <v>0</v>
      </c>
      <c r="I91" s="3138">
        <f t="shared" si="16"/>
        <v>0</v>
      </c>
      <c r="J91" s="3138">
        <f t="shared" si="16"/>
        <v>0</v>
      </c>
      <c r="K91" s="3138">
        <f t="shared" si="16"/>
        <v>0</v>
      </c>
      <c r="L91" s="3139">
        <f t="shared" si="16"/>
        <v>0</v>
      </c>
      <c r="M91"/>
      <c r="N91"/>
      <c r="O91"/>
      <c r="P91"/>
      <c r="Q91"/>
      <c r="U91"/>
      <c r="V91"/>
      <c r="W91"/>
      <c r="X91"/>
      <c r="Y91"/>
      <c r="Z91"/>
      <c r="AA91"/>
      <c r="AB91"/>
    </row>
    <row r="92" spans="1:28" ht="20.100000000000001" customHeight="1" outlineLevel="1">
      <c r="A92"/>
      <c r="B92" s="3128" t="s">
        <v>1388</v>
      </c>
      <c r="C92" s="3129"/>
      <c r="D92" s="3129"/>
      <c r="E92" s="3129"/>
      <c r="F92" s="3129"/>
      <c r="G92" s="3129"/>
      <c r="H92" s="3129"/>
      <c r="I92" s="3129"/>
      <c r="J92" s="3129"/>
      <c r="K92" s="3129"/>
      <c r="L92" s="3130"/>
      <c r="M92"/>
      <c r="N92"/>
      <c r="O92"/>
      <c r="P92"/>
      <c r="Q92"/>
      <c r="U92"/>
      <c r="V92"/>
      <c r="W92"/>
      <c r="X92"/>
      <c r="Y92"/>
      <c r="Z92"/>
      <c r="AA92"/>
      <c r="AB92"/>
    </row>
    <row r="93" spans="1:28" ht="20.100000000000001" customHeight="1" outlineLevel="1">
      <c r="A93"/>
      <c r="B93" s="3140" t="s">
        <v>1383</v>
      </c>
      <c r="C93" s="3124"/>
      <c r="D93" s="3125"/>
      <c r="E93" s="3125"/>
      <c r="F93" s="3125"/>
      <c r="G93" s="3126"/>
      <c r="H93" s="3124"/>
      <c r="I93" s="3125"/>
      <c r="J93" s="3125"/>
      <c r="K93" s="3125"/>
      <c r="L93" s="3126"/>
      <c r="M93"/>
      <c r="N93"/>
      <c r="O93"/>
      <c r="P93"/>
      <c r="Q93"/>
      <c r="U93"/>
      <c r="V93"/>
      <c r="W93"/>
      <c r="X93"/>
      <c r="Y93"/>
      <c r="Z93"/>
      <c r="AA93"/>
      <c r="AB93"/>
    </row>
    <row r="94" spans="1:28" ht="20.100000000000001" customHeight="1" outlineLevel="1">
      <c r="A94"/>
      <c r="B94" s="3140" t="s">
        <v>1384</v>
      </c>
      <c r="C94" s="3124"/>
      <c r="D94" s="3141"/>
      <c r="E94" s="3141"/>
      <c r="F94" s="3141"/>
      <c r="G94" s="3126"/>
      <c r="H94" s="3124"/>
      <c r="I94" s="3125"/>
      <c r="J94" s="3125"/>
      <c r="K94" s="3125"/>
      <c r="L94" s="3126"/>
      <c r="M94"/>
      <c r="N94"/>
      <c r="O94"/>
      <c r="P94"/>
      <c r="Q94"/>
      <c r="U94"/>
      <c r="V94"/>
      <c r="W94"/>
      <c r="X94"/>
      <c r="Y94"/>
      <c r="Z94"/>
      <c r="AA94"/>
      <c r="AB94"/>
    </row>
    <row r="95" spans="1:28" ht="20.100000000000001" customHeight="1" outlineLevel="1">
      <c r="A95"/>
      <c r="B95" s="3140" t="s">
        <v>1385</v>
      </c>
      <c r="C95" s="3124"/>
      <c r="D95" s="3141"/>
      <c r="E95" s="3141"/>
      <c r="F95" s="3141"/>
      <c r="G95" s="3126"/>
      <c r="H95" s="3124"/>
      <c r="I95" s="3125"/>
      <c r="J95" s="3125"/>
      <c r="K95" s="3125"/>
      <c r="L95" s="3126"/>
      <c r="M95"/>
      <c r="N95"/>
      <c r="O95"/>
      <c r="P95"/>
      <c r="Q95"/>
      <c r="U95"/>
      <c r="V95"/>
      <c r="W95"/>
      <c r="X95"/>
      <c r="Y95"/>
      <c r="Z95"/>
      <c r="AA95"/>
      <c r="AB95"/>
    </row>
    <row r="96" spans="1:28" s="1266" customFormat="1" ht="20.100000000000001" customHeight="1" outlineLevel="1">
      <c r="B96" s="3140" t="s">
        <v>1386</v>
      </c>
      <c r="C96" s="3124"/>
      <c r="D96" s="3141"/>
      <c r="E96" s="3141"/>
      <c r="F96" s="3141"/>
      <c r="G96" s="3126"/>
      <c r="H96" s="3124"/>
      <c r="I96" s="3125"/>
      <c r="J96" s="3125"/>
      <c r="K96" s="3125"/>
      <c r="L96" s="3126"/>
      <c r="M96"/>
      <c r="N96"/>
      <c r="O96"/>
      <c r="P96"/>
      <c r="Q96"/>
      <c r="U96"/>
      <c r="V96"/>
      <c r="W96"/>
      <c r="X96"/>
      <c r="Y96"/>
      <c r="Z96"/>
      <c r="AA96"/>
      <c r="AB96"/>
    </row>
    <row r="97" spans="1:28" ht="20.100000000000001" customHeight="1" outlineLevel="1" thickBot="1">
      <c r="A97"/>
      <c r="B97" s="3142" t="s">
        <v>49</v>
      </c>
      <c r="C97" s="3143">
        <f t="shared" ref="C97:L97" si="17">SUM(C93:C96)</f>
        <v>0</v>
      </c>
      <c r="D97" s="3144">
        <f t="shared" si="17"/>
        <v>0</v>
      </c>
      <c r="E97" s="3144">
        <f t="shared" si="17"/>
        <v>0</v>
      </c>
      <c r="F97" s="3144">
        <f t="shared" si="17"/>
        <v>0</v>
      </c>
      <c r="G97" s="3145">
        <f t="shared" si="17"/>
        <v>0</v>
      </c>
      <c r="H97" s="3143">
        <f t="shared" si="17"/>
        <v>0</v>
      </c>
      <c r="I97" s="3144">
        <f t="shared" si="17"/>
        <v>0</v>
      </c>
      <c r="J97" s="3144">
        <f t="shared" si="17"/>
        <v>0</v>
      </c>
      <c r="K97" s="3144">
        <f t="shared" si="17"/>
        <v>0</v>
      </c>
      <c r="L97" s="3145">
        <f t="shared" si="17"/>
        <v>0</v>
      </c>
      <c r="M97"/>
      <c r="N97"/>
      <c r="O97"/>
      <c r="P97"/>
      <c r="Q97"/>
      <c r="U97"/>
      <c r="V97"/>
      <c r="W97"/>
      <c r="X97"/>
      <c r="Y97"/>
      <c r="Z97"/>
      <c r="AA97"/>
      <c r="AB97"/>
    </row>
    <row r="98" spans="1:28" ht="20.100000000000001" customHeight="1" outlineLevel="1" thickBot="1">
      <c r="A98"/>
      <c r="B98" s="3146" t="s">
        <v>45</v>
      </c>
      <c r="C98" s="3147">
        <f t="shared" ref="C98:L98" si="18">C91+C97</f>
        <v>0</v>
      </c>
      <c r="D98" s="3148">
        <f t="shared" si="18"/>
        <v>0</v>
      </c>
      <c r="E98" s="3148">
        <f t="shared" si="18"/>
        <v>0</v>
      </c>
      <c r="F98" s="3148">
        <f t="shared" si="18"/>
        <v>0</v>
      </c>
      <c r="G98" s="3149">
        <f t="shared" si="18"/>
        <v>0</v>
      </c>
      <c r="H98" s="3147">
        <f t="shared" si="18"/>
        <v>0</v>
      </c>
      <c r="I98" s="3148">
        <f t="shared" si="18"/>
        <v>0</v>
      </c>
      <c r="J98" s="3148">
        <f t="shared" si="18"/>
        <v>0</v>
      </c>
      <c r="K98" s="3148">
        <f t="shared" si="18"/>
        <v>0</v>
      </c>
      <c r="L98" s="3149">
        <f t="shared" si="18"/>
        <v>0</v>
      </c>
      <c r="M98"/>
      <c r="N98"/>
      <c r="O98"/>
      <c r="P98"/>
      <c r="Q98"/>
      <c r="U98"/>
      <c r="V98"/>
      <c r="W98"/>
      <c r="X98"/>
      <c r="Y98"/>
      <c r="Z98"/>
      <c r="AA98"/>
      <c r="AB98"/>
    </row>
    <row r="99" spans="1:28" s="69" customFormat="1" ht="41.25" customHeight="1" thickBot="1">
      <c r="A99"/>
      <c r="B99" s="3150" t="s">
        <v>127</v>
      </c>
      <c r="C99" s="3120"/>
      <c r="D99" s="3121"/>
      <c r="E99" s="3121"/>
      <c r="F99" s="3121"/>
      <c r="G99" s="3121"/>
      <c r="H99" s="3121"/>
      <c r="I99" s="3121"/>
      <c r="J99" s="3121"/>
      <c r="K99" s="3121"/>
      <c r="L99" s="3122"/>
      <c r="M99"/>
      <c r="N99"/>
      <c r="O99"/>
      <c r="P99"/>
      <c r="Q99"/>
      <c r="R99"/>
      <c r="S99"/>
      <c r="T99"/>
      <c r="U99"/>
      <c r="V99"/>
      <c r="W99"/>
      <c r="X99"/>
      <c r="Y99"/>
      <c r="Z99"/>
      <c r="AA99"/>
      <c r="AB99"/>
    </row>
    <row r="100" spans="1:28" s="69" customFormat="1" ht="37.5" customHeight="1">
      <c r="A100"/>
      <c r="B100" s="95"/>
      <c r="C100" s="118"/>
      <c r="D100" s="118"/>
      <c r="E100" s="118"/>
      <c r="F100" s="118"/>
      <c r="G100" s="118"/>
      <c r="H100" s="118"/>
      <c r="I100" s="839"/>
      <c r="J100" s="839"/>
      <c r="K100" s="839"/>
      <c r="L100" s="839"/>
      <c r="M100" s="392"/>
      <c r="N100" s="725"/>
      <c r="O100" s="725"/>
      <c r="P100" s="725"/>
      <c r="Q100" s="725"/>
      <c r="R100"/>
      <c r="S100"/>
      <c r="T100"/>
      <c r="U100"/>
      <c r="V100"/>
      <c r="W100"/>
      <c r="X100"/>
      <c r="Y100"/>
      <c r="Z100"/>
      <c r="AA100"/>
      <c r="AB100"/>
    </row>
    <row r="101" spans="1:28" s="21" customFormat="1" ht="38.25" customHeight="1">
      <c r="A101"/>
      <c r="C101" s="3110"/>
      <c r="D101" s="3110"/>
      <c r="E101" s="3110"/>
      <c r="F101" s="3110"/>
      <c r="G101" s="3110"/>
      <c r="H101" s="3110"/>
      <c r="I101" s="3110"/>
      <c r="J101" s="3110"/>
      <c r="K101" s="3110"/>
      <c r="L101" s="3110"/>
      <c r="M101" s="3110"/>
      <c r="N101" s="3110"/>
      <c r="O101" s="3110"/>
      <c r="P101" s="3110"/>
      <c r="Q101" s="3110"/>
      <c r="R101"/>
      <c r="S101"/>
      <c r="T101"/>
      <c r="U101"/>
      <c r="V101"/>
      <c r="W101"/>
      <c r="X101"/>
      <c r="Y101"/>
      <c r="Z101"/>
      <c r="AA101"/>
      <c r="AB101"/>
    </row>
    <row r="102" spans="1:28" s="95" customFormat="1" ht="20.100000000000001" customHeight="1">
      <c r="A102"/>
      <c r="C102" s="3110"/>
      <c r="D102" s="3110"/>
      <c r="E102" s="3110"/>
      <c r="F102" s="3110"/>
      <c r="G102" s="3110"/>
      <c r="H102" s="3110"/>
      <c r="I102" s="3110"/>
      <c r="J102" s="3110"/>
      <c r="K102" s="3110"/>
      <c r="L102" s="3110"/>
      <c r="M102" s="3110"/>
      <c r="N102" s="3110"/>
      <c r="O102" s="3110"/>
      <c r="P102" s="3110"/>
      <c r="Q102" s="3110"/>
      <c r="R102"/>
      <c r="S102"/>
      <c r="T102"/>
      <c r="U102"/>
      <c r="V102"/>
      <c r="W102"/>
      <c r="X102"/>
      <c r="Y102"/>
      <c r="Z102"/>
      <c r="AA102"/>
      <c r="AB102"/>
    </row>
    <row r="103" spans="1:28" s="136" customFormat="1" ht="21.75" customHeight="1">
      <c r="A103"/>
      <c r="C103" s="3110"/>
      <c r="D103" s="3110"/>
      <c r="E103" s="3110"/>
      <c r="F103" s="3110"/>
      <c r="G103" s="3110"/>
      <c r="H103" s="3110"/>
      <c r="I103" s="3110"/>
      <c r="J103" s="3110"/>
      <c r="K103" s="3110"/>
      <c r="L103" s="3110"/>
      <c r="M103" s="3110"/>
      <c r="N103" s="3110"/>
      <c r="O103" s="3110"/>
      <c r="P103" s="3110"/>
      <c r="Q103" s="3110"/>
      <c r="U103"/>
      <c r="V103"/>
      <c r="W103"/>
      <c r="X103"/>
      <c r="Y103"/>
      <c r="Z103"/>
      <c r="AA103"/>
      <c r="AB103"/>
    </row>
    <row r="104" spans="1:28" s="95" customFormat="1" ht="20.100000000000001" customHeight="1">
      <c r="A104"/>
      <c r="C104" s="3110"/>
      <c r="D104" s="3110"/>
      <c r="E104" s="3110"/>
      <c r="F104" s="3110"/>
      <c r="G104" s="3110"/>
      <c r="H104" s="3110"/>
      <c r="I104" s="3110"/>
      <c r="J104" s="3110"/>
      <c r="K104" s="3110"/>
      <c r="L104" s="3110"/>
      <c r="M104" s="3110"/>
      <c r="N104" s="3110"/>
      <c r="O104" s="3110"/>
      <c r="P104" s="3110"/>
      <c r="Q104" s="3110"/>
      <c r="R104"/>
      <c r="S104"/>
      <c r="T104"/>
      <c r="U104"/>
      <c r="V104"/>
      <c r="W104"/>
      <c r="X104"/>
      <c r="Y104"/>
      <c r="Z104"/>
      <c r="AA104"/>
      <c r="AB104"/>
    </row>
    <row r="105" spans="1:28" s="95" customFormat="1" ht="20.100000000000001" customHeight="1">
      <c r="A105"/>
      <c r="C105" s="3110"/>
      <c r="D105" s="3110"/>
      <c r="E105" s="3110"/>
      <c r="F105" s="3110"/>
      <c r="G105" s="3110"/>
      <c r="H105" s="3110"/>
      <c r="I105" s="3110"/>
      <c r="J105" s="3110"/>
      <c r="K105" s="3110"/>
      <c r="L105" s="3110"/>
      <c r="M105" s="3110"/>
      <c r="N105" s="3110"/>
      <c r="O105" s="3110"/>
      <c r="P105" s="3110"/>
      <c r="Q105" s="3110"/>
      <c r="R105"/>
      <c r="S105"/>
      <c r="T105"/>
      <c r="U105"/>
      <c r="V105"/>
      <c r="W105"/>
      <c r="X105"/>
      <c r="Y105"/>
      <c r="Z105"/>
      <c r="AA105"/>
      <c r="AB105"/>
    </row>
    <row r="106" spans="1:28" s="95" customFormat="1" ht="20.100000000000001" customHeight="1">
      <c r="A106"/>
      <c r="C106" s="3110"/>
      <c r="D106" s="3110"/>
      <c r="E106" s="3110"/>
      <c r="F106" s="3110"/>
      <c r="G106" s="3110"/>
      <c r="H106" s="3110"/>
      <c r="I106" s="3110"/>
      <c r="J106" s="3110"/>
      <c r="K106" s="3110"/>
      <c r="L106" s="3110"/>
      <c r="M106" s="3110"/>
      <c r="N106" s="3110"/>
      <c r="O106" s="3110"/>
      <c r="P106" s="3110"/>
      <c r="Q106" s="3110"/>
      <c r="R106"/>
      <c r="S106"/>
      <c r="T106"/>
      <c r="U106"/>
      <c r="V106"/>
      <c r="W106"/>
      <c r="X106"/>
      <c r="Y106"/>
      <c r="Z106"/>
      <c r="AA106"/>
      <c r="AB106"/>
    </row>
    <row r="107" spans="1:28" ht="20.100000000000001" customHeight="1">
      <c r="A107"/>
      <c r="C107" s="3110"/>
      <c r="D107" s="3110"/>
      <c r="E107" s="3110"/>
      <c r="F107" s="3110"/>
      <c r="G107" s="3110"/>
      <c r="H107" s="3110"/>
      <c r="I107" s="3110"/>
      <c r="J107" s="3110"/>
      <c r="K107" s="3110"/>
      <c r="L107" s="3110"/>
      <c r="M107" s="3110"/>
      <c r="N107" s="3110"/>
      <c r="O107" s="3110"/>
      <c r="P107" s="3110"/>
      <c r="Q107" s="3110"/>
      <c r="U107"/>
      <c r="V107"/>
      <c r="W107"/>
      <c r="X107"/>
      <c r="Y107"/>
      <c r="Z107"/>
      <c r="AA107"/>
      <c r="AB107"/>
    </row>
    <row r="108" spans="1:28" ht="20.100000000000001" customHeight="1">
      <c r="A108"/>
      <c r="C108" s="3110"/>
      <c r="D108" s="3110"/>
      <c r="E108" s="3110"/>
      <c r="F108" s="3110"/>
      <c r="G108" s="3110"/>
      <c r="H108" s="3110"/>
      <c r="I108" s="3110"/>
      <c r="J108" s="3110"/>
      <c r="K108" s="3110"/>
      <c r="L108" s="3110"/>
      <c r="M108" s="3110"/>
      <c r="N108" s="3110"/>
      <c r="O108" s="3110"/>
      <c r="P108" s="3110"/>
      <c r="Q108" s="3110"/>
      <c r="U108"/>
      <c r="V108"/>
      <c r="W108"/>
      <c r="X108"/>
      <c r="Y108"/>
      <c r="Z108"/>
      <c r="AA108"/>
      <c r="AB108"/>
    </row>
    <row r="109" spans="1:28" ht="20.100000000000001" customHeight="1">
      <c r="A109"/>
      <c r="C109" s="3110"/>
      <c r="D109" s="3110"/>
      <c r="E109" s="3110"/>
      <c r="F109" s="3110"/>
      <c r="G109" s="3110"/>
      <c r="H109" s="3110"/>
      <c r="I109" s="3110"/>
      <c r="J109" s="3110"/>
      <c r="K109" s="3110"/>
      <c r="L109" s="3110"/>
      <c r="M109" s="3110"/>
      <c r="N109" s="3110"/>
      <c r="O109" s="3110"/>
      <c r="P109" s="3110"/>
      <c r="Q109" s="3110"/>
      <c r="U109"/>
      <c r="V109"/>
      <c r="W109"/>
      <c r="X109"/>
      <c r="Y109"/>
      <c r="Z109"/>
      <c r="AA109"/>
      <c r="AB109"/>
    </row>
    <row r="110" spans="1:28" ht="20.100000000000001" customHeight="1">
      <c r="A110"/>
      <c r="C110" s="3110"/>
      <c r="D110" s="3110"/>
      <c r="E110" s="3110"/>
      <c r="F110" s="3110"/>
      <c r="G110" s="3110"/>
      <c r="H110" s="3110"/>
      <c r="I110" s="3110"/>
      <c r="J110" s="3110"/>
      <c r="K110" s="3110"/>
      <c r="L110" s="3110"/>
      <c r="M110" s="3110"/>
      <c r="N110" s="3110"/>
      <c r="O110" s="3110"/>
      <c r="P110" s="3110"/>
      <c r="Q110" s="3110"/>
      <c r="U110"/>
      <c r="V110"/>
      <c r="W110"/>
      <c r="X110"/>
      <c r="Y110"/>
      <c r="Z110"/>
      <c r="AA110"/>
      <c r="AB110"/>
    </row>
    <row r="111" spans="1:28" ht="20.100000000000001" customHeight="1">
      <c r="A111"/>
      <c r="C111" s="3110"/>
      <c r="D111" s="3110"/>
      <c r="E111" s="3110"/>
      <c r="F111" s="3110"/>
      <c r="G111" s="3110"/>
      <c r="H111" s="3110"/>
      <c r="I111" s="3110"/>
      <c r="J111" s="3110"/>
      <c r="K111" s="3110"/>
      <c r="L111" s="3110"/>
      <c r="M111" s="3110"/>
      <c r="N111" s="3110"/>
      <c r="O111" s="3110"/>
      <c r="P111" s="3110"/>
      <c r="Q111" s="3110"/>
      <c r="U111"/>
      <c r="V111"/>
      <c r="W111"/>
      <c r="X111"/>
      <c r="Y111"/>
      <c r="Z111"/>
      <c r="AA111"/>
      <c r="AB111"/>
    </row>
    <row r="112" spans="1:28" ht="20.100000000000001" customHeight="1">
      <c r="A112"/>
      <c r="C112" s="3110"/>
      <c r="D112" s="3110"/>
      <c r="E112" s="3110"/>
      <c r="F112" s="3110"/>
      <c r="G112" s="3110"/>
      <c r="H112" s="3110"/>
      <c r="I112" s="3110"/>
      <c r="J112" s="3110"/>
      <c r="K112" s="3110"/>
      <c r="L112" s="3110"/>
      <c r="M112" s="3110"/>
      <c r="N112" s="3110"/>
      <c r="O112" s="3110"/>
      <c r="P112" s="3110"/>
      <c r="Q112" s="3110"/>
      <c r="U112"/>
      <c r="V112"/>
      <c r="W112"/>
      <c r="X112"/>
      <c r="Y112"/>
      <c r="Z112"/>
      <c r="AA112"/>
      <c r="AB112"/>
    </row>
    <row r="113" spans="1:28" ht="20.100000000000001" customHeight="1">
      <c r="A113"/>
      <c r="C113" s="3110"/>
      <c r="D113" s="3110"/>
      <c r="E113" s="3110"/>
      <c r="F113" s="3110"/>
      <c r="G113" s="3110"/>
      <c r="H113" s="3110"/>
      <c r="I113" s="3110"/>
      <c r="J113" s="3110"/>
      <c r="K113" s="3110"/>
      <c r="L113" s="3110"/>
      <c r="M113" s="3110"/>
      <c r="N113" s="3110"/>
      <c r="O113" s="3110"/>
      <c r="P113" s="3110"/>
      <c r="Q113" s="3110"/>
      <c r="U113"/>
      <c r="V113"/>
      <c r="W113"/>
      <c r="X113"/>
      <c r="Y113"/>
      <c r="Z113"/>
      <c r="AA113"/>
      <c r="AB113"/>
    </row>
    <row r="114" spans="1:28" ht="20.100000000000001" customHeight="1">
      <c r="A114"/>
      <c r="C114" s="3110"/>
      <c r="D114" s="3110"/>
      <c r="E114" s="3110"/>
      <c r="F114" s="3110"/>
      <c r="G114" s="3110"/>
      <c r="H114" s="3110"/>
      <c r="I114" s="3110"/>
      <c r="J114" s="3110"/>
      <c r="K114" s="3110"/>
      <c r="L114" s="3110"/>
      <c r="M114" s="3110"/>
      <c r="N114" s="3110"/>
      <c r="O114" s="3110"/>
      <c r="P114" s="3110"/>
      <c r="Q114" s="3110"/>
      <c r="U114"/>
      <c r="V114"/>
      <c r="W114"/>
      <c r="X114"/>
      <c r="Y114"/>
      <c r="Z114"/>
      <c r="AA114"/>
      <c r="AB114"/>
    </row>
    <row r="115" spans="1:28" ht="20.100000000000001" customHeight="1">
      <c r="A115" s="725"/>
      <c r="I115" s="775"/>
      <c r="J115" s="775"/>
      <c r="K115" s="775"/>
      <c r="L115" s="775"/>
      <c r="M115" s="725"/>
      <c r="N115" s="725"/>
      <c r="O115" s="725"/>
      <c r="P115" s="725"/>
      <c r="Q115" s="725"/>
      <c r="U115"/>
      <c r="V115"/>
      <c r="W115"/>
      <c r="X115"/>
      <c r="Y115"/>
      <c r="Z115"/>
      <c r="AA115"/>
      <c r="AB115"/>
    </row>
    <row r="116" spans="1:28" ht="20.100000000000001" customHeight="1">
      <c r="A116" s="725"/>
      <c r="I116" s="775"/>
      <c r="J116" s="775"/>
      <c r="K116" s="775"/>
      <c r="L116" s="775"/>
      <c r="M116" s="725"/>
      <c r="N116" s="725"/>
      <c r="O116" s="725"/>
      <c r="P116" s="725"/>
      <c r="Q116" s="725"/>
      <c r="U116"/>
      <c r="V116"/>
      <c r="W116"/>
      <c r="X116"/>
      <c r="Y116"/>
      <c r="Z116"/>
      <c r="AA116"/>
      <c r="AB116"/>
    </row>
    <row r="117" spans="1:28" ht="20.100000000000001" customHeight="1">
      <c r="A117" s="725"/>
      <c r="I117" s="775"/>
      <c r="J117" s="775"/>
      <c r="K117" s="775"/>
      <c r="L117" s="775"/>
      <c r="M117" s="725"/>
      <c r="N117" s="725"/>
      <c r="O117" s="725"/>
      <c r="P117" s="725"/>
      <c r="Q117" s="725"/>
      <c r="U117"/>
      <c r="V117"/>
      <c r="W117"/>
      <c r="X117"/>
      <c r="Y117"/>
      <c r="Z117"/>
      <c r="AA117"/>
      <c r="AB117"/>
    </row>
    <row r="118" spans="1:28" ht="20.100000000000001" customHeight="1">
      <c r="A118" s="725"/>
      <c r="I118" s="775"/>
      <c r="J118" s="775"/>
      <c r="K118" s="775"/>
      <c r="L118" s="775"/>
      <c r="M118" s="725"/>
      <c r="N118" s="725"/>
      <c r="O118" s="725"/>
      <c r="P118" s="725"/>
      <c r="Q118" s="725"/>
      <c r="U118"/>
      <c r="V118"/>
      <c r="W118"/>
      <c r="X118"/>
      <c r="Y118"/>
      <c r="Z118"/>
      <c r="AA118"/>
      <c r="AB118"/>
    </row>
    <row r="119" spans="1:28" ht="20.100000000000001" customHeight="1">
      <c r="A119" s="348"/>
      <c r="I119" s="775"/>
      <c r="J119" s="775"/>
      <c r="K119" s="775"/>
      <c r="L119" s="775"/>
      <c r="M119" s="725"/>
      <c r="N119" s="725"/>
      <c r="O119" s="725"/>
      <c r="P119" s="725"/>
      <c r="Q119" s="725"/>
      <c r="U119"/>
      <c r="V119"/>
      <c r="W119"/>
      <c r="X119"/>
      <c r="Y119"/>
      <c r="Z119"/>
      <c r="AA119"/>
      <c r="AB119"/>
    </row>
    <row r="120" spans="1:28" s="69" customFormat="1" ht="20.100000000000001" customHeight="1">
      <c r="A120" s="348"/>
      <c r="I120" s="735"/>
      <c r="J120" s="735"/>
      <c r="K120" s="735"/>
      <c r="L120" s="735"/>
      <c r="M120" s="735"/>
      <c r="N120" s="735"/>
      <c r="O120" s="735"/>
      <c r="P120" s="735"/>
      <c r="Q120" s="735"/>
      <c r="R120"/>
      <c r="S120"/>
      <c r="T120"/>
      <c r="U120"/>
      <c r="V120"/>
      <c r="W120"/>
      <c r="X120"/>
      <c r="Y120"/>
      <c r="Z120"/>
      <c r="AA120"/>
      <c r="AB120"/>
    </row>
    <row r="121" spans="1:28" s="69" customFormat="1" ht="20.100000000000001" customHeight="1">
      <c r="A121" s="735"/>
      <c r="B121" s="76"/>
      <c r="C121" s="76"/>
      <c r="D121" s="94"/>
      <c r="E121" s="94"/>
      <c r="F121" s="94"/>
      <c r="G121" s="94"/>
      <c r="H121" s="94"/>
      <c r="I121" s="110"/>
      <c r="J121" s="110"/>
      <c r="K121" s="110"/>
      <c r="L121" s="110"/>
      <c r="M121" s="110"/>
      <c r="N121" s="94"/>
      <c r="O121" s="94"/>
      <c r="P121" s="94"/>
      <c r="Q121" s="94"/>
      <c r="R121"/>
      <c r="S121"/>
      <c r="T121"/>
      <c r="U121" s="76"/>
      <c r="V121" s="1266"/>
      <c r="W121" s="1266"/>
      <c r="X121" s="1266"/>
      <c r="Y121" s="1266"/>
      <c r="Z121" s="1266"/>
      <c r="AA121" s="1272"/>
      <c r="AB121" s="1272"/>
    </row>
    <row r="122" spans="1:28" s="21" customFormat="1" ht="38.25" customHeight="1">
      <c r="A122" s="94"/>
      <c r="B122" s="76"/>
      <c r="C122" s="76"/>
      <c r="D122" s="94"/>
      <c r="E122" s="94"/>
      <c r="F122" s="94"/>
      <c r="G122" s="94"/>
      <c r="H122" s="94"/>
      <c r="I122" s="110"/>
      <c r="J122" s="110"/>
      <c r="K122" s="110"/>
      <c r="L122" s="110"/>
      <c r="M122" s="110"/>
      <c r="N122" s="94"/>
      <c r="O122" s="94"/>
      <c r="P122" s="94"/>
      <c r="Q122" s="94"/>
      <c r="R122"/>
      <c r="S122"/>
      <c r="T122"/>
      <c r="U122" s="76"/>
      <c r="V122" s="1266"/>
      <c r="W122" s="1266"/>
      <c r="X122" s="1266"/>
      <c r="Y122" s="1266"/>
      <c r="Z122" s="1266"/>
      <c r="AA122" s="1272"/>
      <c r="AB122" s="1272"/>
    </row>
  </sheetData>
  <mergeCells count="18">
    <mergeCell ref="B59:B62"/>
    <mergeCell ref="C59:G59"/>
    <mergeCell ref="H59:L59"/>
    <mergeCell ref="C17:J17"/>
    <mergeCell ref="K17:Q17"/>
    <mergeCell ref="C18:J18"/>
    <mergeCell ref="K18:Q18"/>
    <mergeCell ref="C57:Q57"/>
    <mergeCell ref="C60:L60"/>
    <mergeCell ref="C61:L61"/>
    <mergeCell ref="U16:Y16"/>
    <mergeCell ref="Z16:AB16"/>
    <mergeCell ref="U17:AB17"/>
    <mergeCell ref="U18:AB18"/>
    <mergeCell ref="B16:B19"/>
    <mergeCell ref="C16:G16"/>
    <mergeCell ref="H16:L16"/>
    <mergeCell ref="M16:Q16"/>
  </mergeCells>
  <pageMargins left="0.75" right="0.75" top="1" bottom="1" header="0.5" footer="0.5"/>
  <pageSetup paperSize="9" orientation="portrait" r:id="rId1"/>
  <headerFooter alignWithMargins="0"/>
  <customProperties>
    <customPr name="layoutContexts" r:id="rId2"/>
    <customPr name="SaveUndoMode" r:id="rId3"/>
  </customProperties>
  <drawing r:id="rId4"/>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92D050"/>
    <pageSetUpPr autoPageBreaks="0"/>
  </sheetPr>
  <dimension ref="A1:AG114"/>
  <sheetViews>
    <sheetView showGridLines="0" topLeftCell="A31" zoomScale="70" zoomScaleNormal="70" workbookViewId="0">
      <selection activeCell="C61" sqref="C61:L61"/>
    </sheetView>
  </sheetViews>
  <sheetFormatPr defaultColWidth="9.140625" defaultRowHeight="20.100000000000001" customHeight="1" outlineLevelRow="1"/>
  <cols>
    <col min="1" max="1" width="17" style="1266" customWidth="1"/>
    <col min="2" max="2" width="61.85546875" style="76" customWidth="1"/>
    <col min="3" max="3" width="15.7109375" style="76" customWidth="1"/>
    <col min="4" max="8" width="15.7109375" style="1266" customWidth="1"/>
    <col min="9" max="9" width="15.28515625" style="1266" bestFit="1" customWidth="1"/>
    <col min="10" max="10" width="14.85546875" style="1266" bestFit="1" customWidth="1"/>
    <col min="11" max="11" width="15.7109375" style="1266" bestFit="1" customWidth="1"/>
    <col min="12" max="12" width="17.7109375" style="1266" customWidth="1"/>
    <col min="13" max="17" width="15.7109375" style="1266" customWidth="1"/>
    <col min="18" max="18" width="13" style="1266" customWidth="1"/>
    <col min="19" max="19" width="11.5703125" style="1266" bestFit="1" customWidth="1"/>
    <col min="20" max="20" width="9.140625" style="1266"/>
    <col min="21" max="21" width="15.7109375" style="76" customWidth="1"/>
    <col min="22" max="26" width="15.7109375" style="1266" customWidth="1"/>
    <col min="27" max="27" width="12.5703125" style="1266" customWidth="1"/>
    <col min="28" max="28" width="13.140625" style="1266" customWidth="1"/>
    <col min="29" max="16384" width="9.140625" style="1266"/>
  </cols>
  <sheetData>
    <row r="1" spans="1:33" s="1274" customFormat="1" ht="23.1" customHeight="1">
      <c r="B1" s="2272" t="str">
        <f>IF(dms_DataQuality="backcast",INDEX(dms_Worksheet_List,MATCH(dms_Model,dms_Model_List))&amp;" BACKCAST",INDEX(dms_Worksheet_List,MATCH(dms_Model,dms_Model_List)))</f>
        <v>REGULATORY REPORTING STATEMENT</v>
      </c>
      <c r="C1" s="518"/>
      <c r="D1" s="518"/>
      <c r="E1" s="518"/>
      <c r="F1" s="518"/>
      <c r="G1" s="518"/>
      <c r="H1" s="518"/>
      <c r="I1" s="518"/>
      <c r="J1" s="518"/>
      <c r="K1" s="518"/>
      <c r="L1" s="518"/>
      <c r="M1" s="518"/>
      <c r="N1" s="518"/>
      <c r="O1" s="518"/>
      <c r="P1" s="518"/>
      <c r="Q1" s="518"/>
      <c r="R1" s="518"/>
      <c r="S1" s="518"/>
      <c r="T1" s="518"/>
      <c r="U1" s="518"/>
      <c r="V1" s="518"/>
      <c r="W1" s="518"/>
      <c r="X1" s="518"/>
      <c r="Y1" s="518"/>
      <c r="Z1" s="518"/>
      <c r="AA1" s="518"/>
      <c r="AB1" s="518"/>
      <c r="AC1" s="1266"/>
      <c r="AD1" s="1266"/>
    </row>
    <row r="2" spans="1:33" s="1274" customFormat="1" ht="23.1" customHeight="1">
      <c r="B2" s="2277" t="str">
        <f>INDEX(dms_TradingNameFull_List,MATCH(dms_TradingName,dms_TradingName_List))</f>
        <v>Multinet Gas (DB No.1) Pty Ltd (ACN 086 026 986), Multinet Gas (DB No.2) Pty Ltd (ACN 086 230 122)</v>
      </c>
      <c r="C2" s="1267"/>
      <c r="D2" s="1267"/>
      <c r="E2" s="1267"/>
      <c r="F2" s="1267"/>
      <c r="G2" s="1267"/>
      <c r="H2" s="1267"/>
      <c r="I2" s="1267"/>
      <c r="J2" s="1267"/>
      <c r="K2" s="1267"/>
      <c r="L2" s="1267"/>
      <c r="M2" s="1267"/>
      <c r="N2" s="1267"/>
      <c r="O2" s="1267"/>
      <c r="P2" s="1267"/>
      <c r="Q2" s="1267"/>
      <c r="R2" s="1267"/>
      <c r="S2" s="1267"/>
      <c r="T2" s="1267"/>
      <c r="U2" s="1267"/>
      <c r="V2" s="1267"/>
      <c r="W2" s="1267"/>
      <c r="X2" s="1267"/>
      <c r="Y2" s="1267"/>
      <c r="Z2" s="1267"/>
      <c r="AA2" s="1267"/>
      <c r="AB2" s="1267"/>
      <c r="AC2" s="1266"/>
      <c r="AD2" s="1266"/>
    </row>
    <row r="3" spans="1:33" s="1274" customFormat="1" ht="23.1" customHeight="1">
      <c r="B3" s="2277" t="str">
        <f ca="1">IF(SUM(dms_SingleYear_Model)&gt;0,CRY,CONCATENATE(FRCP_y1," to ",dms_MultiYear_FinalYear_Result))</f>
        <v>2018 to 2022</v>
      </c>
      <c r="C3" s="1265"/>
      <c r="D3" s="1265"/>
      <c r="E3" s="1265"/>
      <c r="F3" s="1265"/>
      <c r="G3" s="1265"/>
      <c r="H3" s="1265"/>
      <c r="I3" s="1265"/>
      <c r="J3" s="1265"/>
      <c r="K3" s="1265"/>
      <c r="L3" s="1265"/>
      <c r="M3" s="1265"/>
      <c r="N3" s="1265"/>
      <c r="O3" s="1265"/>
      <c r="P3" s="1265"/>
      <c r="Q3" s="1265"/>
      <c r="R3" s="1265"/>
      <c r="S3" s="1265"/>
      <c r="T3" s="1265"/>
      <c r="U3" s="1265"/>
      <c r="V3" s="1265"/>
      <c r="W3" s="1265"/>
      <c r="X3" s="1265"/>
      <c r="Y3" s="1265"/>
      <c r="Z3" s="1265"/>
      <c r="AA3" s="1265"/>
      <c r="AB3" s="1265"/>
      <c r="AC3" s="1266"/>
      <c r="AD3" s="1266"/>
    </row>
    <row r="4" spans="1:33" s="1275" customFormat="1" ht="24" customHeight="1">
      <c r="B4" s="3" t="s">
        <v>486</v>
      </c>
      <c r="C4" s="4"/>
      <c r="D4" s="4"/>
      <c r="E4" s="4"/>
      <c r="F4" s="4"/>
      <c r="G4" s="4"/>
      <c r="H4" s="4"/>
      <c r="I4" s="4"/>
      <c r="J4" s="4"/>
      <c r="K4" s="4"/>
      <c r="L4" s="4"/>
      <c r="M4" s="4"/>
      <c r="N4" s="4"/>
      <c r="O4" s="4"/>
      <c r="P4" s="4"/>
      <c r="Q4" s="4"/>
      <c r="R4" s="4"/>
      <c r="S4" s="4"/>
      <c r="T4" s="4"/>
      <c r="U4" s="4"/>
      <c r="V4" s="4"/>
      <c r="W4" s="4"/>
      <c r="X4" s="4"/>
      <c r="Y4" s="4"/>
      <c r="Z4" s="4"/>
      <c r="AA4" s="4"/>
      <c r="AB4" s="4"/>
      <c r="AC4" s="1272"/>
      <c r="AD4" s="1272"/>
    </row>
    <row r="5" spans="1:33" s="136" customFormat="1" ht="36.75" customHeight="1">
      <c r="A5" s="1268"/>
      <c r="B5" s="761"/>
      <c r="C5" s="831"/>
      <c r="D5" s="831"/>
      <c r="E5" s="831"/>
      <c r="F5" s="831"/>
      <c r="G5" s="831"/>
      <c r="H5" s="831"/>
      <c r="I5" s="831"/>
      <c r="J5" s="831"/>
      <c r="K5" s="831"/>
      <c r="L5" s="831"/>
      <c r="M5" s="831"/>
      <c r="N5" s="831"/>
      <c r="O5"/>
      <c r="P5"/>
      <c r="Q5"/>
      <c r="R5"/>
      <c r="S5"/>
      <c r="T5"/>
      <c r="U5"/>
      <c r="V5"/>
      <c r="W5"/>
      <c r="X5"/>
      <c r="Y5"/>
      <c r="Z5"/>
      <c r="AA5"/>
      <c r="AB5"/>
      <c r="AC5" s="1266"/>
      <c r="AD5" s="1266"/>
    </row>
    <row r="6" spans="1:33" s="136" customFormat="1" ht="25.5">
      <c r="A6" s="1268"/>
      <c r="B6" s="116" t="s">
        <v>61</v>
      </c>
      <c r="C6" s="831"/>
      <c r="D6" s="831"/>
      <c r="E6" s="831"/>
      <c r="F6" s="831"/>
      <c r="G6" s="831"/>
      <c r="H6" s="831"/>
      <c r="I6" s="831"/>
      <c r="J6" s="831"/>
      <c r="K6" s="831"/>
      <c r="L6" s="831"/>
      <c r="M6" s="831"/>
      <c r="N6" s="831"/>
      <c r="O6" s="831"/>
      <c r="P6" s="831"/>
      <c r="Q6" s="831"/>
      <c r="R6" s="1266"/>
      <c r="S6" s="1266"/>
      <c r="T6" s="1266"/>
      <c r="U6" s="831"/>
      <c r="V6" s="831"/>
      <c r="W6" s="831"/>
      <c r="X6" s="831"/>
      <c r="Y6" s="831"/>
      <c r="Z6" s="831"/>
      <c r="AA6" s="831"/>
      <c r="AB6" s="831"/>
      <c r="AC6" s="1266"/>
      <c r="AD6" s="1266"/>
    </row>
    <row r="7" spans="1:33" s="136" customFormat="1" ht="25.5">
      <c r="A7" s="1268"/>
      <c r="B7" s="151" t="s">
        <v>6</v>
      </c>
      <c r="C7" s="831"/>
      <c r="D7" s="831"/>
      <c r="E7" s="831"/>
      <c r="F7" s="831"/>
      <c r="G7" s="831"/>
      <c r="H7" s="831"/>
      <c r="I7" s="831"/>
      <c r="J7" s="831"/>
      <c r="K7" s="831"/>
      <c r="L7" s="831"/>
      <c r="M7" s="831"/>
      <c r="N7" s="831"/>
      <c r="O7" s="831"/>
      <c r="P7" s="831"/>
      <c r="Q7" s="831"/>
      <c r="R7" s="1266"/>
      <c r="S7" s="1266"/>
      <c r="T7" s="1266"/>
      <c r="U7" s="831"/>
      <c r="V7" s="831"/>
      <c r="W7" s="831"/>
      <c r="X7" s="831"/>
      <c r="Y7" s="831"/>
      <c r="Z7" s="831"/>
      <c r="AA7" s="831"/>
      <c r="AB7" s="831"/>
      <c r="AC7" s="1266"/>
      <c r="AD7" s="1266"/>
    </row>
    <row r="8" spans="1:33" s="100" customFormat="1" ht="33" customHeight="1">
      <c r="A8" s="836"/>
      <c r="B8" s="1363" t="s">
        <v>1438</v>
      </c>
      <c r="C8" s="831"/>
      <c r="D8" s="831"/>
      <c r="E8" s="831"/>
      <c r="F8" s="832"/>
      <c r="G8" s="832"/>
      <c r="H8" s="832"/>
      <c r="I8" s="832"/>
      <c r="J8" s="832"/>
      <c r="K8" s="832"/>
      <c r="L8" s="832"/>
      <c r="M8" s="832"/>
      <c r="N8" s="832"/>
      <c r="O8" s="832"/>
      <c r="P8" s="832"/>
      <c r="Q8" s="832"/>
      <c r="R8" s="1266"/>
      <c r="S8" s="1266"/>
      <c r="T8" s="1266"/>
      <c r="U8" s="831"/>
      <c r="V8" s="831"/>
      <c r="W8" s="831"/>
      <c r="X8" s="832"/>
      <c r="Y8" s="832"/>
      <c r="Z8" s="832"/>
      <c r="AA8" s="832"/>
      <c r="AB8" s="832"/>
      <c r="AC8" s="1266"/>
      <c r="AD8" s="1266"/>
    </row>
    <row r="9" spans="1:33" s="100" customFormat="1" ht="33" customHeight="1">
      <c r="A9" s="836"/>
      <c r="B9" s="1363" t="s">
        <v>1392</v>
      </c>
      <c r="C9" s="831"/>
      <c r="D9" s="831"/>
      <c r="E9" s="1419"/>
      <c r="G9" s="832"/>
      <c r="H9" s="832"/>
      <c r="I9" s="832"/>
      <c r="J9" s="832"/>
      <c r="K9" s="832"/>
      <c r="L9" s="832"/>
      <c r="M9" s="832"/>
      <c r="N9" s="832"/>
      <c r="O9" s="832"/>
      <c r="P9" s="832"/>
      <c r="Q9" s="832"/>
      <c r="R9" s="1266"/>
      <c r="S9" s="1266"/>
      <c r="T9" s="1266"/>
      <c r="U9" s="831"/>
      <c r="V9" s="831"/>
      <c r="W9" s="1419"/>
      <c r="X9" s="832"/>
      <c r="Y9" s="832"/>
      <c r="Z9" s="832"/>
      <c r="AA9" s="832"/>
      <c r="AB9" s="832"/>
      <c r="AC9" s="1266"/>
      <c r="AD9" s="1266"/>
    </row>
    <row r="10" spans="1:33" s="100" customFormat="1" ht="33" customHeight="1">
      <c r="A10" s="836"/>
      <c r="B10" s="1363" t="str">
        <f>CONCATENATE("If ",dms_TradingName," intends to treat expenditure on meter replacement as operating expenditure, separate meter replacement expenditure into new and refurbished.")</f>
        <v>If Multinet Gas intends to treat expenditure on meter replacement as operating expenditure, separate meter replacement expenditure into new and refurbished.</v>
      </c>
      <c r="C10" s="831"/>
      <c r="D10" s="831"/>
      <c r="E10" s="831"/>
      <c r="F10" s="832"/>
      <c r="G10" s="832"/>
      <c r="H10" s="832"/>
      <c r="I10" s="832"/>
      <c r="J10" s="832"/>
      <c r="K10" s="832"/>
      <c r="L10" s="832"/>
      <c r="M10" s="832"/>
      <c r="N10" s="832"/>
      <c r="O10" s="832"/>
      <c r="P10" s="832"/>
      <c r="Q10" s="832"/>
      <c r="R10" s="1266"/>
      <c r="S10" s="1266"/>
      <c r="T10" s="1266"/>
      <c r="U10" s="831"/>
      <c r="V10" s="831"/>
      <c r="W10" s="831"/>
      <c r="X10" s="832"/>
      <c r="Y10" s="832"/>
      <c r="Z10" s="832"/>
      <c r="AA10" s="832"/>
      <c r="AB10" s="832"/>
      <c r="AC10" s="1266"/>
      <c r="AD10" s="1266"/>
    </row>
    <row r="11" spans="1:33" s="100" customFormat="1" ht="20.100000000000001" customHeight="1">
      <c r="A11" s="836"/>
      <c r="B11" s="1363" t="s">
        <v>489</v>
      </c>
      <c r="C11" s="832"/>
      <c r="D11" s="832"/>
      <c r="E11" s="832"/>
      <c r="F11" s="832"/>
      <c r="G11" s="832"/>
      <c r="H11" s="832"/>
      <c r="I11" s="832"/>
      <c r="J11" s="832"/>
      <c r="K11" s="832"/>
      <c r="L11" s="832"/>
      <c r="M11" s="832"/>
      <c r="N11" s="832"/>
      <c r="O11" s="832"/>
      <c r="P11" s="832"/>
      <c r="Q11" s="832"/>
      <c r="R11" s="1266"/>
      <c r="S11" s="1266"/>
      <c r="T11" s="1266"/>
      <c r="U11" s="832"/>
      <c r="V11" s="832"/>
      <c r="W11" s="832"/>
      <c r="X11" s="832"/>
      <c r="Y11" s="832"/>
      <c r="Z11" s="832"/>
      <c r="AA11" s="832"/>
      <c r="AB11" s="832"/>
      <c r="AC11" s="1266"/>
      <c r="AD11" s="1266"/>
    </row>
    <row r="12" spans="1:33" s="136" customFormat="1" ht="20.100000000000001" customHeight="1">
      <c r="A12" s="974"/>
      <c r="B12" s="541"/>
      <c r="C12" s="974"/>
      <c r="D12" s="974"/>
      <c r="E12" s="974"/>
      <c r="F12" s="831"/>
      <c r="G12" s="974"/>
      <c r="H12" s="974"/>
      <c r="I12" s="974"/>
      <c r="J12" s="974"/>
      <c r="K12" s="974"/>
      <c r="L12" s="974"/>
      <c r="M12" s="831"/>
      <c r="N12" s="831"/>
      <c r="O12" s="831"/>
      <c r="P12" s="831"/>
      <c r="Q12" s="831"/>
      <c r="R12" s="1266"/>
      <c r="S12" s="1266"/>
      <c r="T12" s="1266"/>
      <c r="U12" s="974"/>
      <c r="V12" s="974"/>
      <c r="W12" s="974"/>
      <c r="X12" s="831"/>
      <c r="Y12" s="974"/>
      <c r="Z12" s="974"/>
      <c r="AA12" s="974"/>
      <c r="AB12" s="974"/>
      <c r="AC12" s="1266"/>
      <c r="AD12" s="1266"/>
    </row>
    <row r="13" spans="1:33" ht="20.100000000000001" customHeight="1" thickBot="1">
      <c r="A13" s="1268"/>
      <c r="B13" s="1266"/>
      <c r="C13" s="1268"/>
      <c r="D13" s="1268"/>
      <c r="E13" s="1268"/>
      <c r="F13" s="1268"/>
      <c r="G13" s="1268"/>
      <c r="H13" s="1268"/>
      <c r="I13" s="1268"/>
      <c r="J13" s="1268"/>
      <c r="K13" s="1268"/>
      <c r="L13" s="1268"/>
      <c r="M13" s="1268"/>
      <c r="N13" s="1268"/>
      <c r="O13" s="1268"/>
      <c r="P13" s="1268"/>
      <c r="Q13" s="1268"/>
      <c r="U13" s="1268"/>
      <c r="V13" s="1268"/>
      <c r="W13" s="1268"/>
      <c r="X13" s="1268"/>
      <c r="Y13" s="1268"/>
      <c r="Z13" s="1268"/>
      <c r="AA13" s="1268"/>
      <c r="AB13" s="1268"/>
    </row>
    <row r="14" spans="1:33" s="136" customFormat="1" ht="27.75" customHeight="1" thickBot="1">
      <c r="A14" s="1268"/>
      <c r="B14" s="833" t="s">
        <v>534</v>
      </c>
      <c r="C14" s="863"/>
      <c r="D14" s="863"/>
      <c r="E14" s="863"/>
      <c r="F14" s="863"/>
      <c r="G14" s="863"/>
      <c r="H14" s="863"/>
      <c r="I14" s="863"/>
      <c r="J14" s="863"/>
      <c r="K14" s="863"/>
      <c r="L14" s="863"/>
      <c r="M14" s="863"/>
      <c r="N14" s="863"/>
      <c r="O14" s="863"/>
      <c r="P14" s="863"/>
      <c r="Q14" s="864"/>
      <c r="R14" s="1266"/>
      <c r="S14" s="1268"/>
      <c r="U14" s="769" t="s">
        <v>674</v>
      </c>
      <c r="V14" s="863"/>
      <c r="W14" s="863"/>
      <c r="X14" s="863"/>
      <c r="Y14" s="863"/>
      <c r="Z14" s="863"/>
      <c r="AA14" s="863"/>
      <c r="AB14" s="864"/>
    </row>
    <row r="15" spans="1:33" s="136" customFormat="1" ht="29.25" customHeight="1" thickBot="1">
      <c r="A15" s="1268"/>
      <c r="B15" s="1372" t="s">
        <v>538</v>
      </c>
      <c r="C15" s="1373"/>
      <c r="D15" s="1373"/>
      <c r="E15" s="1373"/>
      <c r="F15" s="1373"/>
      <c r="G15" s="1373"/>
      <c r="H15" s="1373"/>
      <c r="I15" s="1373"/>
      <c r="J15" s="1373"/>
      <c r="K15" s="1373"/>
      <c r="L15" s="1373"/>
      <c r="M15" s="1373"/>
      <c r="N15" s="1373"/>
      <c r="O15" s="1373"/>
      <c r="P15" s="1373"/>
      <c r="Q15" s="1374"/>
      <c r="R15" s="1266"/>
      <c r="S15" s="1268"/>
      <c r="U15" s="1372"/>
      <c r="V15" s="1373"/>
      <c r="W15" s="1373"/>
      <c r="X15" s="1373"/>
      <c r="Y15" s="1373"/>
      <c r="Z15" s="1373"/>
      <c r="AA15" s="1373"/>
      <c r="AB15" s="1374"/>
    </row>
    <row r="16" spans="1:33" s="72" customFormat="1" ht="16.5" customHeight="1">
      <c r="A16" s="732"/>
      <c r="B16" s="4576"/>
      <c r="C16" s="4565" t="s">
        <v>36</v>
      </c>
      <c r="D16" s="4137"/>
      <c r="E16" s="4137"/>
      <c r="F16" s="4137"/>
      <c r="G16" s="4137"/>
      <c r="H16" s="4187" t="s">
        <v>37</v>
      </c>
      <c r="I16" s="4188"/>
      <c r="J16" s="4188"/>
      <c r="K16" s="4188"/>
      <c r="L16" s="4188"/>
      <c r="M16" s="4105" t="s">
        <v>75</v>
      </c>
      <c r="N16" s="4105"/>
      <c r="O16" s="4105"/>
      <c r="P16" s="4105"/>
      <c r="Q16" s="4572"/>
      <c r="R16" s="1266"/>
      <c r="S16" s="1266"/>
      <c r="T16" s="1266"/>
      <c r="U16" s="4186" t="s">
        <v>36</v>
      </c>
      <c r="V16" s="4137"/>
      <c r="W16" s="4137"/>
      <c r="X16" s="4137"/>
      <c r="Y16" s="4137"/>
      <c r="Z16" s="4187" t="s">
        <v>37</v>
      </c>
      <c r="AA16" s="4188"/>
      <c r="AB16" s="4189"/>
      <c r="AC16" s="1266"/>
      <c r="AD16" s="1266"/>
      <c r="AE16" s="1266"/>
      <c r="AF16" s="1266"/>
      <c r="AG16" s="1266"/>
    </row>
    <row r="17" spans="1:30" ht="15" customHeight="1">
      <c r="A17" s="974"/>
      <c r="B17" s="4577"/>
      <c r="C17" s="4125" t="s">
        <v>569</v>
      </c>
      <c r="D17" s="4126"/>
      <c r="E17" s="4126"/>
      <c r="F17" s="4126"/>
      <c r="G17" s="4126"/>
      <c r="H17" s="4126"/>
      <c r="I17" s="4126"/>
      <c r="J17" s="4127"/>
      <c r="K17" s="4128" t="str">
        <f>CONCATENATE("$0's, real ",dms_DollarReal)</f>
        <v>$0's, real December 2017</v>
      </c>
      <c r="L17" s="4129"/>
      <c r="M17" s="4129"/>
      <c r="N17" s="4129"/>
      <c r="O17" s="4129"/>
      <c r="P17" s="4129"/>
      <c r="Q17" s="4475"/>
      <c r="U17" s="4125" t="str">
        <f>CONCATENATE("$0's, real ",dms_DollarReal)</f>
        <v>$0's, real December 2017</v>
      </c>
      <c r="V17" s="4126"/>
      <c r="W17" s="4126"/>
      <c r="X17" s="4126"/>
      <c r="Y17" s="4126"/>
      <c r="Z17" s="4126"/>
      <c r="AA17" s="4126"/>
      <c r="AB17" s="4169"/>
    </row>
    <row r="18" spans="1:30" s="72" customFormat="1" ht="16.5" customHeight="1">
      <c r="A18" s="1266"/>
      <c r="B18" s="4577"/>
      <c r="C18" s="4125" t="s">
        <v>56</v>
      </c>
      <c r="D18" s="4126"/>
      <c r="E18" s="4126"/>
      <c r="F18" s="4126"/>
      <c r="G18" s="4126"/>
      <c r="H18" s="4126"/>
      <c r="I18" s="4126"/>
      <c r="J18" s="4127"/>
      <c r="K18" s="4128" t="s">
        <v>57</v>
      </c>
      <c r="L18" s="4129"/>
      <c r="M18" s="4129"/>
      <c r="N18" s="4129"/>
      <c r="O18" s="4129"/>
      <c r="P18" s="4129"/>
      <c r="Q18" s="4475"/>
      <c r="R18" s="1266"/>
      <c r="S18" s="1266"/>
      <c r="T18" s="1266"/>
      <c r="U18" s="4125" t="s">
        <v>56</v>
      </c>
      <c r="V18" s="4126"/>
      <c r="W18" s="4126"/>
      <c r="X18" s="4126"/>
      <c r="Y18" s="4126"/>
      <c r="Z18" s="4126"/>
      <c r="AA18" s="4126"/>
      <c r="AB18" s="4169"/>
      <c r="AC18" s="1266"/>
      <c r="AD18" s="1266"/>
    </row>
    <row r="19" spans="1:30" ht="12.75" customHeight="1" thickBot="1">
      <c r="B19" s="4578"/>
      <c r="C19" s="375">
        <f t="array" ref="C19:G19">PRCP</f>
        <v>2008</v>
      </c>
      <c r="D19" s="374">
        <v>2009</v>
      </c>
      <c r="E19" s="374">
        <v>2010</v>
      </c>
      <c r="F19" s="374">
        <v>2011</v>
      </c>
      <c r="G19" s="374">
        <v>2012</v>
      </c>
      <c r="H19" s="376">
        <f>CRCP_y1</f>
        <v>2013</v>
      </c>
      <c r="I19" s="376">
        <f>CRCP_y2</f>
        <v>2014</v>
      </c>
      <c r="J19" s="376">
        <f>CRCP_y3</f>
        <v>2015</v>
      </c>
      <c r="K19" s="376">
        <f>CRCP_y4</f>
        <v>2016</v>
      </c>
      <c r="L19" s="376">
        <f>CRCP_y5</f>
        <v>2017</v>
      </c>
      <c r="M19" s="374" t="str">
        <f t="array" ref="M19:Q19">FRCP</f>
        <v>2018</v>
      </c>
      <c r="N19" s="374">
        <v>2019</v>
      </c>
      <c r="O19" s="374">
        <v>2020</v>
      </c>
      <c r="P19" s="374">
        <v>2021</v>
      </c>
      <c r="Q19" s="713">
        <v>2022</v>
      </c>
      <c r="U19" s="1521">
        <f t="array" ref="U19:Y19">PRCP</f>
        <v>2008</v>
      </c>
      <c r="V19" s="374">
        <v>2009</v>
      </c>
      <c r="W19" s="374">
        <v>2010</v>
      </c>
      <c r="X19" s="374">
        <v>2011</v>
      </c>
      <c r="Y19" s="374">
        <v>2012</v>
      </c>
      <c r="Z19" s="376">
        <f>CRCP_y1</f>
        <v>2013</v>
      </c>
      <c r="AA19" s="376">
        <f>CRCP_y2</f>
        <v>2014</v>
      </c>
      <c r="AB19" s="568">
        <f>CRCP_y3</f>
        <v>2015</v>
      </c>
    </row>
    <row r="20" spans="1:30" s="136" customFormat="1" ht="21.75" customHeight="1" thickBot="1">
      <c r="A20" s="501"/>
      <c r="B20" s="771" t="s">
        <v>539</v>
      </c>
      <c r="C20" s="1368"/>
      <c r="D20" s="1368"/>
      <c r="E20" s="1368"/>
      <c r="F20" s="1368"/>
      <c r="G20" s="1368"/>
      <c r="H20" s="1368"/>
      <c r="I20" s="1368"/>
      <c r="J20" s="1368"/>
      <c r="K20" s="1368"/>
      <c r="L20" s="1368"/>
      <c r="M20" s="1368"/>
      <c r="N20" s="1368"/>
      <c r="O20" s="1368"/>
      <c r="P20" s="1368"/>
      <c r="Q20" s="1369"/>
      <c r="R20" s="1266"/>
      <c r="S20" s="1268"/>
      <c r="U20" s="1367"/>
      <c r="V20" s="1368"/>
      <c r="W20" s="1368"/>
      <c r="X20" s="1368"/>
      <c r="Y20" s="1368"/>
      <c r="Z20" s="1368"/>
      <c r="AA20" s="1368"/>
      <c r="AB20" s="1369"/>
    </row>
    <row r="21" spans="1:30" s="136" customFormat="1" ht="21.75" customHeight="1">
      <c r="A21" s="501"/>
      <c r="B21" s="1415" t="s">
        <v>1390</v>
      </c>
      <c r="C21" s="1416"/>
      <c r="D21" s="1416"/>
      <c r="E21" s="1416"/>
      <c r="F21" s="1416"/>
      <c r="G21" s="1416"/>
      <c r="H21" s="1416"/>
      <c r="I21" s="1416"/>
      <c r="J21" s="1416"/>
      <c r="K21" s="1416"/>
      <c r="L21" s="1416"/>
      <c r="M21" s="1416"/>
      <c r="N21" s="1416"/>
      <c r="O21" s="1416"/>
      <c r="P21" s="1416"/>
      <c r="Q21" s="1417"/>
      <c r="R21" s="1266"/>
      <c r="S21" s="1268"/>
      <c r="U21" s="1905"/>
      <c r="V21" s="1416"/>
      <c r="W21" s="1416"/>
      <c r="X21" s="1416"/>
      <c r="Y21" s="1416"/>
      <c r="Z21" s="1416"/>
      <c r="AA21" s="1416"/>
      <c r="AB21" s="1417"/>
    </row>
    <row r="22" spans="1:30" ht="20.100000000000001" customHeight="1" outlineLevel="1">
      <c r="B22" s="2859" t="s">
        <v>1362</v>
      </c>
      <c r="C22" s="2856"/>
      <c r="D22" s="2857"/>
      <c r="E22" s="2857"/>
      <c r="F22" s="2857"/>
      <c r="G22" s="2858"/>
      <c r="H22" s="2856"/>
      <c r="I22" s="2857"/>
      <c r="J22" s="2857"/>
      <c r="K22" s="2857"/>
      <c r="L22" s="2857"/>
      <c r="M22" s="2856"/>
      <c r="N22" s="2857"/>
      <c r="O22" s="2857"/>
      <c r="P22" s="2857"/>
      <c r="Q22" s="2858"/>
      <c r="U22" s="1906"/>
      <c r="V22" s="1907"/>
      <c r="W22" s="1907"/>
      <c r="X22" s="1907"/>
      <c r="Y22" s="1908"/>
      <c r="Z22" s="1906"/>
      <c r="AA22" s="1907"/>
      <c r="AB22" s="1908"/>
    </row>
    <row r="23" spans="1:30" ht="20.100000000000001" customHeight="1" outlineLevel="1">
      <c r="B23" s="1418" t="s">
        <v>1363</v>
      </c>
      <c r="C23" s="3021">
        <v>5138503.5655353405</v>
      </c>
      <c r="D23" s="3022">
        <v>11306827.473978475</v>
      </c>
      <c r="E23" s="3022">
        <v>8212165.4406332579</v>
      </c>
      <c r="F23" s="3022">
        <v>8441092.9469854329</v>
      </c>
      <c r="G23" s="3023">
        <v>15549106.239439253</v>
      </c>
      <c r="H23" s="3022">
        <f>'23.1 Opex incl. RPM'!H23</f>
        <v>6615167.2735543866</v>
      </c>
      <c r="I23" s="3022">
        <f>'23.1 Opex incl. RPM'!I23</f>
        <v>6823653.3999999966</v>
      </c>
      <c r="J23" s="3022">
        <f>'23.1 Opex incl. RPM'!J23</f>
        <v>6142672.5199999996</v>
      </c>
      <c r="K23" s="3022">
        <f>'23.1 Opex incl. RPM'!K23</f>
        <v>7015029.5179799963</v>
      </c>
      <c r="L23" s="3049">
        <f>'23.1 Opex incl. RPM'!L23</f>
        <v>10968163.768136026</v>
      </c>
      <c r="M23" s="3050">
        <f>'23.1 Opex incl. RPM'!M23</f>
        <v>11078920.019070636</v>
      </c>
      <c r="N23" s="3022">
        <f>'23.1 Opex incl. RPM'!N23</f>
        <v>11117919.707598049</v>
      </c>
      <c r="O23" s="3022">
        <f>'23.1 Opex incl. RPM'!O23</f>
        <v>11226652.19865828</v>
      </c>
      <c r="P23" s="3022">
        <f>'23.1 Opex incl. RPM'!P23</f>
        <v>11336631.877816767</v>
      </c>
      <c r="Q23" s="3052">
        <f>'23.1 Opex incl. RPM'!Q23</f>
        <v>11448681.478609635</v>
      </c>
      <c r="U23" s="1906"/>
      <c r="V23" s="1907"/>
      <c r="W23" s="1907"/>
      <c r="X23" s="1907"/>
      <c r="Y23" s="1908"/>
      <c r="Z23" s="1906"/>
      <c r="AA23" s="1907"/>
      <c r="AB23" s="1908"/>
    </row>
    <row r="24" spans="1:30" ht="20.100000000000001" customHeight="1" outlineLevel="1">
      <c r="B24" s="1418" t="s">
        <v>1364</v>
      </c>
      <c r="C24" s="3021">
        <v>2062886.7714327797</v>
      </c>
      <c r="D24" s="3022">
        <v>2930847.8432816165</v>
      </c>
      <c r="E24" s="3022">
        <v>2079281.6533187183</v>
      </c>
      <c r="F24" s="3022">
        <v>2137245.0208786116</v>
      </c>
      <c r="G24" s="3023">
        <v>3063601.9837754001</v>
      </c>
      <c r="H24" s="3022">
        <f>'23.1 Opex incl. RPM'!H24</f>
        <v>253507.68</v>
      </c>
      <c r="I24" s="3022">
        <f>'23.1 Opex incl. RPM'!I24</f>
        <v>389161.31000000006</v>
      </c>
      <c r="J24" s="3022">
        <f>'23.1 Opex incl. RPM'!J24</f>
        <v>151109.14999999997</v>
      </c>
      <c r="K24" s="3022">
        <f>'23.1 Opex incl. RPM'!K24</f>
        <v>211427.25160999998</v>
      </c>
      <c r="L24" s="3049">
        <f>'23.1 Opex incl. RPM'!L24</f>
        <v>464208</v>
      </c>
      <c r="M24" s="3051">
        <f>'23.1 Opex incl. RPM'!M24</f>
        <v>467032.2488444139</v>
      </c>
      <c r="N24" s="3022">
        <f>'23.1 Opex incl. RPM'!N24</f>
        <v>469901.08914628427</v>
      </c>
      <c r="O24" s="3022">
        <f>'23.1 Opex incl. RPM'!O24</f>
        <v>473675.44129447569</v>
      </c>
      <c r="P24" s="3022">
        <f>'23.1 Opex incl. RPM'!P24</f>
        <v>477495.3869895286</v>
      </c>
      <c r="Q24" s="3053">
        <f>'23.1 Opex incl. RPM'!Q24</f>
        <v>481353.49885370757</v>
      </c>
      <c r="U24" s="1906"/>
      <c r="V24" s="1907"/>
      <c r="W24" s="1907"/>
      <c r="X24" s="1907"/>
      <c r="Y24" s="1908"/>
      <c r="Z24" s="1906"/>
      <c r="AA24" s="1907"/>
      <c r="AB24" s="1908"/>
    </row>
    <row r="25" spans="1:30" ht="20.100000000000001" customHeight="1" outlineLevel="1">
      <c r="B25" s="1418" t="s">
        <v>1365</v>
      </c>
      <c r="C25" s="3021">
        <v>0</v>
      </c>
      <c r="D25" s="3022">
        <v>0</v>
      </c>
      <c r="E25" s="3022">
        <v>0</v>
      </c>
      <c r="F25" s="3022">
        <v>0</v>
      </c>
      <c r="G25" s="3023">
        <v>0</v>
      </c>
      <c r="H25" s="3022">
        <f>'23.1 Opex incl. RPM'!H25</f>
        <v>62506.229999999996</v>
      </c>
      <c r="I25" s="3022">
        <f>'23.1 Opex incl. RPM'!I25</f>
        <v>0</v>
      </c>
      <c r="J25" s="3022">
        <f>'23.1 Opex incl. RPM'!J25</f>
        <v>141881.82</v>
      </c>
      <c r="K25" s="3022">
        <f>'23.1 Opex incl. RPM'!K25</f>
        <v>0</v>
      </c>
      <c r="L25" s="3049">
        <f>'23.1 Opex incl. RPM'!L25</f>
        <v>0</v>
      </c>
      <c r="M25" s="3051">
        <f>'23.1 Opex incl. RPM'!M25</f>
        <v>0</v>
      </c>
      <c r="N25" s="3022">
        <f>'23.1 Opex incl. RPM'!N25</f>
        <v>0</v>
      </c>
      <c r="O25" s="3022">
        <f>'23.1 Opex incl. RPM'!O25</f>
        <v>0</v>
      </c>
      <c r="P25" s="3022">
        <f>'23.1 Opex incl. RPM'!P25</f>
        <v>0</v>
      </c>
      <c r="Q25" s="3053">
        <f>'23.1 Opex incl. RPM'!Q25</f>
        <v>0</v>
      </c>
      <c r="U25" s="1906"/>
      <c r="V25" s="1907"/>
      <c r="W25" s="1907"/>
      <c r="X25" s="1907"/>
      <c r="Y25" s="1908"/>
      <c r="Z25" s="1906"/>
      <c r="AA25" s="1907"/>
      <c r="AB25" s="1908"/>
    </row>
    <row r="26" spans="1:30" ht="20.100000000000001" customHeight="1" outlineLevel="1">
      <c r="B26" s="1418" t="s">
        <v>1366</v>
      </c>
      <c r="C26" s="3021">
        <v>2193904.16</v>
      </c>
      <c r="D26" s="3022">
        <v>5321630</v>
      </c>
      <c r="E26" s="3022">
        <v>762600.31677609961</v>
      </c>
      <c r="F26" s="3022">
        <v>783859.04446796014</v>
      </c>
      <c r="G26" s="3023">
        <v>4315384.8399999989</v>
      </c>
      <c r="H26" s="3022">
        <f>'23.1 Opex incl. RPM'!H26</f>
        <v>1628202.23</v>
      </c>
      <c r="I26" s="3022">
        <f>'23.1 Opex incl. RPM'!I26</f>
        <v>2305522.6900000004</v>
      </c>
      <c r="J26" s="3022">
        <f>'23.1 Opex incl. RPM'!J26</f>
        <v>4123262.0700000008</v>
      </c>
      <c r="K26" s="3022">
        <f>'23.1 Opex incl. RPM'!K26</f>
        <v>3389467.9848099998</v>
      </c>
      <c r="L26" s="3049">
        <f>'23.1 Opex incl. RPM'!L26</f>
        <v>2895192.2834472656</v>
      </c>
      <c r="M26" s="3051">
        <f>'23.1 Opex incl. RPM'!M26</f>
        <v>2958895.6235920135</v>
      </c>
      <c r="N26" s="3022">
        <f>'23.1 Opex incl. RPM'!N26</f>
        <v>2977071.2622209373</v>
      </c>
      <c r="O26" s="3022">
        <f>'23.1 Opex incl. RPM'!O26</f>
        <v>3000983.2234643423</v>
      </c>
      <c r="P26" s="3022">
        <f>'23.1 Opex incl. RPM'!P26</f>
        <v>3025184.8741551638</v>
      </c>
      <c r="Q26" s="3053">
        <f>'23.1 Opex incl. RPM'!Q26</f>
        <v>3049628.4019262092</v>
      </c>
      <c r="U26" s="1906"/>
      <c r="V26" s="1907"/>
      <c r="W26" s="1907"/>
      <c r="X26" s="1907"/>
      <c r="Y26" s="1908"/>
      <c r="Z26" s="1906"/>
      <c r="AA26" s="1907"/>
      <c r="AB26" s="1908"/>
    </row>
    <row r="27" spans="1:30" ht="20.100000000000001" customHeight="1" outlineLevel="1">
      <c r="B27" s="1418" t="s">
        <v>1367</v>
      </c>
      <c r="C27" s="3021">
        <v>1011242.0975404012</v>
      </c>
      <c r="D27" s="3022">
        <v>732914.5399236175</v>
      </c>
      <c r="E27" s="3022">
        <v>557830.25875957997</v>
      </c>
      <c r="F27" s="3022">
        <v>573380.68708799058</v>
      </c>
      <c r="G27" s="3023">
        <v>5720530.4745058669</v>
      </c>
      <c r="H27" s="3022">
        <f>'23.1 Opex incl. RPM'!H27</f>
        <v>2945829.74</v>
      </c>
      <c r="I27" s="3022">
        <f>'23.1 Opex incl. RPM'!I27</f>
        <v>3584026.41</v>
      </c>
      <c r="J27" s="3022">
        <f>'23.1 Opex incl. RPM'!J27</f>
        <v>2654360.56</v>
      </c>
      <c r="K27" s="3022">
        <f>'23.1 Opex incl. RPM'!K27</f>
        <v>2778012.6452200003</v>
      </c>
      <c r="L27" s="3049">
        <f>'23.1 Opex incl. RPM'!L27</f>
        <v>3165739.1190325925</v>
      </c>
      <c r="M27" s="3051">
        <f>'23.1 Opex incl. RPM'!M27</f>
        <v>3186999.162457854</v>
      </c>
      <c r="N27" s="3022">
        <f>'23.1 Opex incl. RPM'!N27</f>
        <v>3217310.0468987012</v>
      </c>
      <c r="O27" s="3022">
        <f>'23.1 Opex incl. RPM'!O27</f>
        <v>3251004.1798992315</v>
      </c>
      <c r="P27" s="3022">
        <f>'23.1 Opex incl. RPM'!P27</f>
        <v>3285159.7982143457</v>
      </c>
      <c r="Q27" s="3053">
        <f>'23.1 Opex incl. RPM'!Q27</f>
        <v>3319706.083933617</v>
      </c>
      <c r="U27" s="1906"/>
      <c r="V27" s="1907"/>
      <c r="W27" s="1907"/>
      <c r="X27" s="1907"/>
      <c r="Y27" s="1908"/>
      <c r="Z27" s="1906"/>
      <c r="AA27" s="1907"/>
      <c r="AB27" s="1908"/>
    </row>
    <row r="28" spans="1:30" ht="20.100000000000001" customHeight="1" outlineLevel="1">
      <c r="B28" s="1418" t="s">
        <v>1368</v>
      </c>
      <c r="C28" s="3021">
        <v>261361.71507522123</v>
      </c>
      <c r="D28" s="3022">
        <v>235105.34771999999</v>
      </c>
      <c r="E28" s="3022">
        <v>69003.845869290017</v>
      </c>
      <c r="F28" s="3022">
        <v>70927.440623653398</v>
      </c>
      <c r="G28" s="3023">
        <v>288244.21218602022</v>
      </c>
      <c r="H28" s="3022">
        <f>'23.1 Opex incl. RPM'!H28</f>
        <v>286462.55999999994</v>
      </c>
      <c r="I28" s="3022">
        <f>'23.1 Opex incl. RPM'!I28</f>
        <v>253905.38999999996</v>
      </c>
      <c r="J28" s="3022">
        <f>'23.1 Opex incl. RPM'!J28</f>
        <v>205760.97000000006</v>
      </c>
      <c r="K28" s="3022">
        <f>'23.1 Opex incl. RPM'!K28</f>
        <v>378351.09344999999</v>
      </c>
      <c r="L28" s="3049">
        <f>'23.1 Opex incl. RPM'!L28</f>
        <v>492318.28186037182</v>
      </c>
      <c r="M28" s="3051">
        <f>'23.1 Opex incl. RPM'!M28</f>
        <v>496912.85697947326</v>
      </c>
      <c r="N28" s="3022">
        <f>'23.1 Opex incl. RPM'!N28</f>
        <v>501571.51612991589</v>
      </c>
      <c r="O28" s="3022">
        <f>'23.1 Opex incl. RPM'!O28</f>
        <v>507014.75284757471</v>
      </c>
      <c r="P28" s="3022">
        <f>'23.1 Opex incl. RPM'!P28</f>
        <v>511735.06444015098</v>
      </c>
      <c r="Q28" s="3053">
        <f>'23.1 Opex incl. RPM'!Q28</f>
        <v>517383.87892758043</v>
      </c>
      <c r="U28" s="1906"/>
      <c r="V28" s="1907"/>
      <c r="W28" s="1907"/>
      <c r="X28" s="1907"/>
      <c r="Y28" s="1908"/>
      <c r="Z28" s="1906"/>
      <c r="AA28" s="1907"/>
      <c r="AB28" s="1908"/>
    </row>
    <row r="29" spans="1:30" ht="20.100000000000001" customHeight="1" outlineLevel="1">
      <c r="B29" s="1418" t="s">
        <v>275</v>
      </c>
      <c r="C29" s="3021">
        <v>805614.0169658321</v>
      </c>
      <c r="D29" s="3022">
        <v>369438.766</v>
      </c>
      <c r="E29" s="3022">
        <v>541242.68699027994</v>
      </c>
      <c r="F29" s="3022">
        <v>556330.70969997346</v>
      </c>
      <c r="G29" s="3023">
        <v>1484064.1199999999</v>
      </c>
      <c r="H29" s="3022">
        <f>'23.1 Opex incl. RPM'!H29</f>
        <v>1237419.9400000002</v>
      </c>
      <c r="I29" s="3022">
        <f>'23.1 Opex incl. RPM'!I29</f>
        <v>721000.06999999983</v>
      </c>
      <c r="J29" s="3022">
        <f>'23.1 Opex incl. RPM'!J29</f>
        <v>1047456.6299999999</v>
      </c>
      <c r="K29" s="3022">
        <f>'23.1 Opex incl. RPM'!K29</f>
        <v>1521168.9681500001</v>
      </c>
      <c r="L29" s="3049">
        <f>'23.1 Opex incl. RPM'!L29</f>
        <v>1504938.4932438121</v>
      </c>
      <c r="M29" s="3051">
        <f>'23.1 Opex incl. RPM'!M29</f>
        <v>1262031.4737605576</v>
      </c>
      <c r="N29" s="3022">
        <f>'23.1 Opex incl. RPM'!N29</f>
        <v>1170737.9713726244</v>
      </c>
      <c r="O29" s="3022">
        <f>'23.1 Opex incl. RPM'!O29</f>
        <v>1286952.2882521239</v>
      </c>
      <c r="P29" s="3022">
        <f>'23.1 Opex incl. RPM'!P29</f>
        <v>2190352.1767823268</v>
      </c>
      <c r="Q29" s="3053">
        <f>'23.1 Opex incl. RPM'!Q29</f>
        <v>2654383.9337995094</v>
      </c>
      <c r="U29" s="1906"/>
      <c r="V29" s="1907"/>
      <c r="W29" s="1907"/>
      <c r="X29" s="1907"/>
      <c r="Y29" s="1908"/>
      <c r="Z29" s="1906"/>
      <c r="AA29" s="1907"/>
      <c r="AB29" s="1908"/>
    </row>
    <row r="30" spans="1:30" ht="20.100000000000001" customHeight="1" outlineLevel="1">
      <c r="B30" s="1418" t="s">
        <v>1369</v>
      </c>
      <c r="C30" s="3021">
        <v>0</v>
      </c>
      <c r="D30" s="3022">
        <v>0</v>
      </c>
      <c r="E30" s="3022">
        <v>0</v>
      </c>
      <c r="F30" s="3022">
        <v>0</v>
      </c>
      <c r="G30" s="3023">
        <v>0</v>
      </c>
      <c r="H30" s="3022">
        <f>'23.1 Opex incl. RPM'!H30</f>
        <v>0</v>
      </c>
      <c r="I30" s="3022">
        <f>'23.1 Opex incl. RPM'!I30</f>
        <v>0</v>
      </c>
      <c r="J30" s="3022">
        <f>'23.1 Opex incl. RPM'!J30</f>
        <v>25132.449999999997</v>
      </c>
      <c r="K30" s="3022">
        <f>'23.1 Opex incl. RPM'!K30</f>
        <v>0</v>
      </c>
      <c r="L30" s="3049">
        <f>'23.1 Opex incl. RPM'!L30</f>
        <v>0</v>
      </c>
      <c r="M30" s="3051">
        <f>'23.1 Opex incl. RPM'!M30</f>
        <v>0</v>
      </c>
      <c r="N30" s="3022">
        <f>'23.1 Opex incl. RPM'!N30</f>
        <v>0</v>
      </c>
      <c r="O30" s="3022">
        <f>'23.1 Opex incl. RPM'!O30</f>
        <v>0</v>
      </c>
      <c r="P30" s="3022">
        <f>'23.1 Opex incl. RPM'!P30</f>
        <v>0</v>
      </c>
      <c r="Q30" s="3053">
        <f>'23.1 Opex incl. RPM'!Q30</f>
        <v>0</v>
      </c>
      <c r="U30" s="1906"/>
      <c r="V30" s="1907"/>
      <c r="W30" s="1907"/>
      <c r="X30" s="1907"/>
      <c r="Y30" s="1908"/>
      <c r="Z30" s="1906"/>
      <c r="AA30" s="1907"/>
      <c r="AB30" s="1908"/>
    </row>
    <row r="31" spans="1:30" ht="20.100000000000001" customHeight="1" outlineLevel="1">
      <c r="B31" s="1418" t="s">
        <v>1370</v>
      </c>
      <c r="C31" s="3021">
        <v>0</v>
      </c>
      <c r="D31" s="3022">
        <v>0</v>
      </c>
      <c r="E31" s="3022">
        <v>0</v>
      </c>
      <c r="F31" s="3022">
        <v>0</v>
      </c>
      <c r="G31" s="3023">
        <v>0</v>
      </c>
      <c r="H31" s="3022">
        <f>'23.1 Opex incl. RPM'!H31</f>
        <v>33000</v>
      </c>
      <c r="I31" s="3022">
        <f>'23.1 Opex incl. RPM'!I31</f>
        <v>51400</v>
      </c>
      <c r="J31" s="3022">
        <f>'23.1 Opex incl. RPM'!J31</f>
        <v>40800</v>
      </c>
      <c r="K31" s="3022">
        <f>'23.1 Opex incl. RPM'!K31</f>
        <v>179939.18999999997</v>
      </c>
      <c r="L31" s="3049">
        <f>'23.1 Opex incl. RPM'!L31</f>
        <v>61080</v>
      </c>
      <c r="M31" s="3051">
        <f>'23.1 Opex incl. RPM'!M31</f>
        <v>61451.61290322581</v>
      </c>
      <c r="N31" s="3022">
        <f>'23.1 Opex incl. RPM'!N31</f>
        <v>61829.091870269491</v>
      </c>
      <c r="O31" s="3022">
        <f>'23.1 Opex incl. RPM'!O31</f>
        <v>62325.715959799425</v>
      </c>
      <c r="P31" s="3022">
        <f>'23.1 Opex incl. RPM'!P31</f>
        <v>62828.342701410715</v>
      </c>
      <c r="Q31" s="3053">
        <f>'23.1 Opex incl. RPM'!Q31</f>
        <v>63335.98896119438</v>
      </c>
      <c r="U31" s="1906"/>
      <c r="V31" s="1907"/>
      <c r="W31" s="1907"/>
      <c r="X31" s="1907"/>
      <c r="Y31" s="1908"/>
      <c r="Z31" s="1906"/>
      <c r="AA31" s="1907"/>
      <c r="AB31" s="1908"/>
    </row>
    <row r="32" spans="1:30" ht="20.100000000000001" customHeight="1" outlineLevel="1">
      <c r="B32" s="1418" t="s">
        <v>1371</v>
      </c>
      <c r="C32" s="3021">
        <v>0</v>
      </c>
      <c r="D32" s="3022">
        <v>0</v>
      </c>
      <c r="E32" s="3022">
        <v>0</v>
      </c>
      <c r="F32" s="3022">
        <v>0</v>
      </c>
      <c r="G32" s="3023">
        <v>0</v>
      </c>
      <c r="H32" s="3022">
        <f>'23.1 Opex incl. RPM'!H32</f>
        <v>1565447.86</v>
      </c>
      <c r="I32" s="3022">
        <f>'23.1 Opex incl. RPM'!I32</f>
        <v>2880481.4400000009</v>
      </c>
      <c r="J32" s="3022">
        <f>'23.1 Opex incl. RPM'!J32</f>
        <v>3078606.6600000006</v>
      </c>
      <c r="K32" s="3022">
        <f>'23.1 Opex incl. RPM'!K32</f>
        <v>3353833.3089999999</v>
      </c>
      <c r="L32" s="3049">
        <f>'23.1 Opex incl. RPM'!L32</f>
        <v>0</v>
      </c>
      <c r="M32" s="3051">
        <f>'23.1 Opex incl. RPM'!M32</f>
        <v>0</v>
      </c>
      <c r="N32" s="3022">
        <f>'23.1 Opex incl. RPM'!N32</f>
        <v>0</v>
      </c>
      <c r="O32" s="3022">
        <f>'23.1 Opex incl. RPM'!O32</f>
        <v>0</v>
      </c>
      <c r="P32" s="3022">
        <f>'23.1 Opex incl. RPM'!P32</f>
        <v>0</v>
      </c>
      <c r="Q32" s="3053">
        <f>'23.1 Opex incl. RPM'!Q32</f>
        <v>0</v>
      </c>
      <c r="U32" s="1906"/>
      <c r="V32" s="1907"/>
      <c r="W32" s="1907"/>
      <c r="X32" s="1907"/>
      <c r="Y32" s="1908"/>
      <c r="Z32" s="1906"/>
      <c r="AA32" s="1907"/>
      <c r="AB32" s="1908"/>
    </row>
    <row r="33" spans="2:28" ht="20.100000000000001" customHeight="1" outlineLevel="1">
      <c r="B33" s="1418" t="s">
        <v>1372</v>
      </c>
      <c r="C33" s="3021">
        <v>0</v>
      </c>
      <c r="D33" s="3022">
        <v>0</v>
      </c>
      <c r="E33" s="3022">
        <v>0</v>
      </c>
      <c r="F33" s="3022">
        <v>0</v>
      </c>
      <c r="G33" s="3023">
        <v>0</v>
      </c>
      <c r="H33" s="3022">
        <f>'23.1 Opex incl. RPM'!H33</f>
        <v>0</v>
      </c>
      <c r="I33" s="3022">
        <f>'23.1 Opex incl. RPM'!I33</f>
        <v>0</v>
      </c>
      <c r="J33" s="3022">
        <f>'23.1 Opex incl. RPM'!J33</f>
        <v>0</v>
      </c>
      <c r="K33" s="3022">
        <f>'23.1 Opex incl. RPM'!K33</f>
        <v>0</v>
      </c>
      <c r="L33" s="3049">
        <f>'23.1 Opex incl. RPM'!L33</f>
        <v>0</v>
      </c>
      <c r="M33" s="3051">
        <f>'23.1 Opex incl. RPM'!M33</f>
        <v>0</v>
      </c>
      <c r="N33" s="3022">
        <f>'23.1 Opex incl. RPM'!N33</f>
        <v>0</v>
      </c>
      <c r="O33" s="3022">
        <f>'23.1 Opex incl. RPM'!O33</f>
        <v>0</v>
      </c>
      <c r="P33" s="3022">
        <f>'23.1 Opex incl. RPM'!P33</f>
        <v>0</v>
      </c>
      <c r="Q33" s="3053">
        <f>'23.1 Opex incl. RPM'!Q33</f>
        <v>0</v>
      </c>
      <c r="U33" s="1906"/>
      <c r="V33" s="1907"/>
      <c r="W33" s="1907"/>
      <c r="X33" s="1907"/>
      <c r="Y33" s="1908"/>
      <c r="Z33" s="1906"/>
      <c r="AA33" s="1907"/>
      <c r="AB33" s="1908"/>
    </row>
    <row r="34" spans="2:28" ht="20.100000000000001" customHeight="1" outlineLevel="1">
      <c r="B34" s="1418" t="s">
        <v>135</v>
      </c>
      <c r="C34" s="3021">
        <v>0</v>
      </c>
      <c r="D34" s="3022">
        <v>0</v>
      </c>
      <c r="E34" s="3022">
        <v>0</v>
      </c>
      <c r="F34" s="3022">
        <v>0</v>
      </c>
      <c r="G34" s="3023">
        <v>0</v>
      </c>
      <c r="H34" s="3022">
        <f>'23.1 Opex incl. RPM'!H34</f>
        <v>0</v>
      </c>
      <c r="I34" s="3022">
        <f>'23.1 Opex incl. RPM'!I34</f>
        <v>0</v>
      </c>
      <c r="J34" s="3022">
        <f>'23.1 Opex incl. RPM'!J34</f>
        <v>0</v>
      </c>
      <c r="K34" s="3022">
        <f>'23.1 Opex incl. RPM'!K34</f>
        <v>0</v>
      </c>
      <c r="L34" s="3049">
        <f>'23.1 Opex incl. RPM'!L34</f>
        <v>0</v>
      </c>
      <c r="M34" s="3051">
        <f>'23.1 Opex incl. RPM'!M34</f>
        <v>0</v>
      </c>
      <c r="N34" s="3022">
        <f>'23.1 Opex incl. RPM'!N34</f>
        <v>0</v>
      </c>
      <c r="O34" s="3022">
        <f>'23.1 Opex incl. RPM'!O34</f>
        <v>0</v>
      </c>
      <c r="P34" s="3022">
        <f>'23.1 Opex incl. RPM'!P34</f>
        <v>0</v>
      </c>
      <c r="Q34" s="3053">
        <f>'23.1 Opex incl. RPM'!Q34</f>
        <v>0</v>
      </c>
      <c r="U34" s="1906"/>
      <c r="V34" s="1907"/>
      <c r="W34" s="1907"/>
      <c r="X34" s="1907"/>
      <c r="Y34" s="1908"/>
      <c r="Z34" s="1906"/>
      <c r="AA34" s="1907"/>
      <c r="AB34" s="1908"/>
    </row>
    <row r="35" spans="2:28" ht="20.100000000000001" customHeight="1" outlineLevel="1">
      <c r="B35" s="1418" t="s">
        <v>1373</v>
      </c>
      <c r="C35" s="3021">
        <v>25256024.713450432</v>
      </c>
      <c r="D35" s="3022">
        <v>22140282.305470813</v>
      </c>
      <c r="E35" s="3022">
        <v>24724619.087652776</v>
      </c>
      <c r="F35" s="3022">
        <v>25413858.172539897</v>
      </c>
      <c r="G35" s="3023">
        <v>26262396.73</v>
      </c>
      <c r="H35" s="3022">
        <f>'23.1 Opex incl. RPM'!H35</f>
        <v>29207522.735591348</v>
      </c>
      <c r="I35" s="3022">
        <f>'23.1 Opex incl. RPM'!I35</f>
        <v>20738956.359999996</v>
      </c>
      <c r="J35" s="3022">
        <f>'23.1 Opex incl. RPM'!J35</f>
        <v>20177150.220000021</v>
      </c>
      <c r="K35" s="3022">
        <f>'23.1 Opex incl. RPM'!K35</f>
        <v>24165133.862059996</v>
      </c>
      <c r="L35" s="3049">
        <f>'23.1 Opex incl. RPM'!L35</f>
        <v>20484246.7696927</v>
      </c>
      <c r="M35" s="3051">
        <f>'23.1 Opex incl. RPM'!M35</f>
        <v>26476423.002415363</v>
      </c>
      <c r="N35" s="3022">
        <f>'23.1 Opex incl. RPM'!N35</f>
        <v>26626179.505125247</v>
      </c>
      <c r="O35" s="3022">
        <f>'23.1 Opex incl. RPM'!O35</f>
        <v>27554834.288524613</v>
      </c>
      <c r="P35" s="3022">
        <f>'23.1 Opex incl. RPM'!P35</f>
        <v>27500238.404301845</v>
      </c>
      <c r="Q35" s="3053">
        <f>'23.1 Opex incl. RPM'!Q35</f>
        <v>28020861.677735403</v>
      </c>
      <c r="U35" s="1906"/>
      <c r="V35" s="1907"/>
      <c r="W35" s="1907"/>
      <c r="X35" s="1907"/>
      <c r="Y35" s="1908"/>
      <c r="Z35" s="1906"/>
      <c r="AA35" s="1907"/>
      <c r="AB35" s="1908"/>
    </row>
    <row r="36" spans="2:28" ht="20.100000000000001" customHeight="1" outlineLevel="1">
      <c r="B36" s="1418" t="s">
        <v>1374</v>
      </c>
      <c r="C36" s="3021">
        <v>0</v>
      </c>
      <c r="D36" s="3022">
        <v>0</v>
      </c>
      <c r="E36" s="3022">
        <v>0</v>
      </c>
      <c r="F36" s="3022">
        <v>0</v>
      </c>
      <c r="G36" s="3023">
        <v>0</v>
      </c>
      <c r="H36" s="3022">
        <f>'23.1 Opex incl. RPM'!H36</f>
        <v>-1274813.5480292197</v>
      </c>
      <c r="I36" s="3022">
        <f>'23.1 Opex incl. RPM'!I36</f>
        <v>-871879.049999999</v>
      </c>
      <c r="J36" s="3022">
        <f>'23.1 Opex incl. RPM'!J36</f>
        <v>-951967.39999999839</v>
      </c>
      <c r="K36" s="3022">
        <f>'23.1 Opex incl. RPM'!K36</f>
        <v>-1401991.9999999998</v>
      </c>
      <c r="L36" s="3049">
        <f>'23.1 Opex incl. RPM'!L36</f>
        <v>-1073000</v>
      </c>
      <c r="M36" s="3051">
        <f>'23.1 Opex incl. RPM'!M36</f>
        <v>-1086742.7222659325</v>
      </c>
      <c r="N36" s="3022">
        <f>'23.1 Opex incl. RPM'!N36</f>
        <v>-1100705.6277511839</v>
      </c>
      <c r="O36" s="3022">
        <f>'23.1 Opex incl. RPM'!O36</f>
        <v>-1114861.7079500142</v>
      </c>
      <c r="P36" s="3022">
        <f>'23.1 Opex incl. RPM'!P36</f>
        <v>-1129185.0507847574</v>
      </c>
      <c r="Q36" s="3053">
        <f>'23.1 Opex incl. RPM'!Q36</f>
        <v>-1143650.8073849417</v>
      </c>
      <c r="U36" s="1906"/>
      <c r="V36" s="1907"/>
      <c r="W36" s="1907"/>
      <c r="X36" s="1907"/>
      <c r="Y36" s="1908"/>
      <c r="Z36" s="1906"/>
      <c r="AA36" s="1907"/>
      <c r="AB36" s="1908"/>
    </row>
    <row r="37" spans="2:28" ht="20.100000000000001" customHeight="1" outlineLevel="1">
      <c r="B37" s="2860" t="s">
        <v>1375</v>
      </c>
      <c r="C37" s="3063">
        <f>SUM(C23:C36)</f>
        <v>36729537.040000007</v>
      </c>
      <c r="D37" s="3064">
        <f>SUM(D23:D36)</f>
        <v>43037046.276374519</v>
      </c>
      <c r="E37" s="3064">
        <f t="shared" ref="E37:F37" si="0">SUM(E23:E36)</f>
        <v>36946743.289999999</v>
      </c>
      <c r="F37" s="3064">
        <f t="shared" si="0"/>
        <v>37976694.022283517</v>
      </c>
      <c r="G37" s="3065">
        <f>SUM(G23:G36)</f>
        <v>56683328.599906541</v>
      </c>
      <c r="H37" s="3066">
        <f>SUM(H23:H36)</f>
        <v>42560252.70111651</v>
      </c>
      <c r="I37" s="3025">
        <f>SUM(I23:I36)</f>
        <v>36876228.019999996</v>
      </c>
      <c r="J37" s="3025">
        <f t="shared" ref="J37:K37" si="1">SUM(J23:J36)</f>
        <v>36836225.650000028</v>
      </c>
      <c r="K37" s="3025">
        <f t="shared" si="1"/>
        <v>41590371.82227999</v>
      </c>
      <c r="L37" s="3026">
        <f>SUM(L23:L36)</f>
        <v>38962886.715412766</v>
      </c>
      <c r="M37" s="3024">
        <f>SUM(M23:M36)</f>
        <v>44901923.277757607</v>
      </c>
      <c r="N37" s="3025">
        <f>SUM(N23:N36)</f>
        <v>45041814.562610842</v>
      </c>
      <c r="O37" s="3025">
        <f t="shared" ref="O37:P37" si="2">SUM(O23:O36)</f>
        <v>46248580.380950429</v>
      </c>
      <c r="P37" s="3025">
        <f t="shared" si="2"/>
        <v>47260440.874616779</v>
      </c>
      <c r="Q37" s="3026">
        <f>SUM(Q23:Q36)</f>
        <v>48411684.13536191</v>
      </c>
      <c r="U37" s="1906"/>
      <c r="V37" s="1907"/>
      <c r="W37" s="1907"/>
      <c r="X37" s="1907"/>
      <c r="Y37" s="1908"/>
      <c r="Z37" s="1906"/>
      <c r="AA37" s="1907"/>
      <c r="AB37" s="1908"/>
    </row>
    <row r="38" spans="2:28" ht="20.100000000000001" customHeight="1" outlineLevel="1">
      <c r="B38" s="2859" t="s">
        <v>1376</v>
      </c>
      <c r="C38" s="3024"/>
      <c r="D38" s="3025"/>
      <c r="E38" s="3025"/>
      <c r="F38" s="3025"/>
      <c r="G38" s="3026"/>
      <c r="H38" s="3066"/>
      <c r="I38" s="3067"/>
      <c r="J38" s="3067"/>
      <c r="K38" s="3067"/>
      <c r="L38" s="3067"/>
      <c r="M38" s="3066"/>
      <c r="N38" s="3067"/>
      <c r="O38" s="3067"/>
      <c r="P38" s="3067"/>
      <c r="Q38" s="3068"/>
      <c r="U38" s="1906"/>
      <c r="V38" s="1907"/>
      <c r="W38" s="1907"/>
      <c r="X38" s="1907"/>
      <c r="Y38" s="1908"/>
      <c r="Z38" s="1906"/>
      <c r="AA38" s="1907"/>
      <c r="AB38" s="1908"/>
    </row>
    <row r="39" spans="2:28" ht="20.100000000000001" customHeight="1" outlineLevel="1">
      <c r="B39" s="1418" t="s">
        <v>1377</v>
      </c>
      <c r="C39" s="3021">
        <v>265301.80000000005</v>
      </c>
      <c r="D39" s="3022">
        <v>474876.27999999997</v>
      </c>
      <c r="E39" s="3022">
        <v>530049.31999999995</v>
      </c>
      <c r="F39" s="3022">
        <v>544825.3093475682</v>
      </c>
      <c r="G39" s="3023">
        <v>389655.17757009348</v>
      </c>
      <c r="H39" s="3022">
        <f>'[14]Invoices from JAM'!M38*1000</f>
        <v>358946.49885195954</v>
      </c>
      <c r="I39" s="3022">
        <f>'23.1 Opex incl. RPM'!I39</f>
        <v>689737.21000000008</v>
      </c>
      <c r="J39" s="3022">
        <f>'23.1 Opex incl. RPM'!J39</f>
        <v>844678.46000000043</v>
      </c>
      <c r="K39" s="3022">
        <f>'23.1 Opex incl. RPM'!K39</f>
        <v>1453041.5459722728</v>
      </c>
      <c r="L39" s="3049">
        <f>'23.1 Opex incl. RPM'!L39</f>
        <v>1536382.0475988977</v>
      </c>
      <c r="M39" s="3050">
        <f>'23.1 Opex incl. RPM'!M39</f>
        <v>1515751.9818435188</v>
      </c>
      <c r="N39" s="3022">
        <f>'23.1 Opex incl. RPM'!N39</f>
        <v>1550410.3700365454</v>
      </c>
      <c r="O39" s="3022">
        <f>'23.1 Opex incl. RPM'!O39</f>
        <v>1540451.8451078329</v>
      </c>
      <c r="P39" s="3022">
        <f>'23.1 Opex incl. RPM'!P39</f>
        <v>1552851.2189169698</v>
      </c>
      <c r="Q39" s="3052">
        <f>'23.1 Opex incl. RPM'!Q39</f>
        <v>1565386.6346222882</v>
      </c>
      <c r="U39" s="1906"/>
      <c r="V39" s="1907"/>
      <c r="W39" s="1907"/>
      <c r="X39" s="1907"/>
      <c r="Y39" s="1908"/>
      <c r="Z39" s="1906"/>
      <c r="AA39" s="1907"/>
      <c r="AB39" s="1908"/>
    </row>
    <row r="40" spans="2:28" ht="20.100000000000001" customHeight="1" outlineLevel="1">
      <c r="B40" s="1418" t="s">
        <v>1378</v>
      </c>
      <c r="C40" s="3021">
        <v>3038253.8700000006</v>
      </c>
      <c r="D40" s="3022">
        <v>3294079.5399999996</v>
      </c>
      <c r="E40" s="3022">
        <v>3908555.2700000019</v>
      </c>
      <c r="F40" s="3022">
        <v>4017512.623315542</v>
      </c>
      <c r="G40" s="3023">
        <v>3856027.3207690432</v>
      </c>
      <c r="H40" s="3022">
        <f>'[14]Invoices from JAM'!M39*1000</f>
        <v>3245309.7126054829</v>
      </c>
      <c r="I40" s="3022">
        <f>'23.1 Opex incl. RPM'!I40</f>
        <v>4453306.0399999907</v>
      </c>
      <c r="J40" s="3022">
        <f>'23.1 Opex incl. RPM'!J40</f>
        <v>3809089.7499999972</v>
      </c>
      <c r="K40" s="3022">
        <f>'23.1 Opex incl. RPM'!K40</f>
        <v>4032392.8517150767</v>
      </c>
      <c r="L40" s="3049">
        <f>'23.1 Opex incl. RPM'!L40</f>
        <v>4263674.3618336888</v>
      </c>
      <c r="M40" s="3050">
        <f>'23.1 Opex incl. RPM'!M40</f>
        <v>4206423.0534227258</v>
      </c>
      <c r="N40" s="3022">
        <f>'23.1 Opex incl. RPM'!N40</f>
        <v>4302604.9122201717</v>
      </c>
      <c r="O40" s="3022">
        <f>'23.1 Opex incl. RPM'!O40</f>
        <v>4274968.6172721861</v>
      </c>
      <c r="P40" s="3022">
        <f>'23.1 Opex incl. RPM'!P40</f>
        <v>4309378.6081305342</v>
      </c>
      <c r="Q40" s="3052">
        <f>'23.1 Opex incl. RPM'!Q40</f>
        <v>4344166.1342157433</v>
      </c>
      <c r="U40" s="1906"/>
      <c r="V40" s="1907"/>
      <c r="W40" s="1907"/>
      <c r="X40" s="1907"/>
      <c r="Y40" s="1908"/>
      <c r="Z40" s="1906"/>
      <c r="AA40" s="1907"/>
      <c r="AB40" s="1908"/>
    </row>
    <row r="41" spans="2:28" ht="20.100000000000001" customHeight="1" outlineLevel="1">
      <c r="B41" s="1418" t="s">
        <v>62</v>
      </c>
      <c r="C41" s="3021">
        <v>4209555.2900000019</v>
      </c>
      <c r="D41" s="3022">
        <v>4384424.96</v>
      </c>
      <c r="E41" s="3022">
        <v>5248666.3500000015</v>
      </c>
      <c r="F41" s="3022">
        <v>5394981.4854982235</v>
      </c>
      <c r="G41" s="3023">
        <v>5239683.8506772919</v>
      </c>
      <c r="H41" s="3022">
        <f>'[14]Invoices from JAM'!M40*1000</f>
        <v>5685608.0724154664</v>
      </c>
      <c r="I41" s="3022">
        <f>'23.1 Opex incl. RPM'!I41</f>
        <v>8691068.2200000007</v>
      </c>
      <c r="J41" s="3022">
        <f>'23.1 Opex incl. RPM'!J41</f>
        <v>8924032.5399999898</v>
      </c>
      <c r="K41" s="3022">
        <f>'23.1 Opex incl. RPM'!K41</f>
        <v>10367627.658802008</v>
      </c>
      <c r="L41" s="3049">
        <f>'23.1 Opex incl. RPM'!L41</f>
        <v>10962272.245639663</v>
      </c>
      <c r="M41" s="3050">
        <f>'23.1 Opex incl. RPM'!M41</f>
        <v>10815074.224412227</v>
      </c>
      <c r="N41" s="3022">
        <f>'23.1 Opex incl. RPM'!N41</f>
        <v>11062366.027620157</v>
      </c>
      <c r="O41" s="3022">
        <f>'23.1 Opex incl. RPM'!O41</f>
        <v>10991310.744460512</v>
      </c>
      <c r="P41" s="3022">
        <f>'23.1 Opex incl. RPM'!P41</f>
        <v>11079781.780413868</v>
      </c>
      <c r="Q41" s="3052">
        <f>'23.1 Opex incl. RPM'!Q41</f>
        <v>11169223.491795959</v>
      </c>
      <c r="U41" s="1906"/>
      <c r="V41" s="1907"/>
      <c r="W41" s="1907"/>
      <c r="X41" s="1907"/>
      <c r="Y41" s="1908"/>
      <c r="Z41" s="1906"/>
      <c r="AA41" s="1907"/>
      <c r="AB41" s="1908"/>
    </row>
    <row r="42" spans="2:28" ht="20.100000000000001" customHeight="1" outlineLevel="1">
      <c r="B42" s="1418" t="s">
        <v>1356</v>
      </c>
      <c r="C42" s="3021">
        <v>490243.75000000006</v>
      </c>
      <c r="D42" s="3022">
        <v>452060.72000000003</v>
      </c>
      <c r="E42" s="3022">
        <v>501696.08000000007</v>
      </c>
      <c r="F42" s="3022">
        <v>515681.67653618049</v>
      </c>
      <c r="G42" s="3023">
        <v>520729.7196261686</v>
      </c>
      <c r="H42" s="3022">
        <f>'[14]Invoices from JAM'!M41*1000</f>
        <v>520987.26196383574</v>
      </c>
      <c r="I42" s="3022">
        <f>'23.1 Opex incl. RPM'!I42</f>
        <v>499313.78</v>
      </c>
      <c r="J42" s="3022">
        <f>'23.1 Opex incl. RPM'!J42</f>
        <v>520970.56000000011</v>
      </c>
      <c r="K42" s="3022">
        <f>'23.1 Opex incl. RPM'!K42</f>
        <v>498394.28591418173</v>
      </c>
      <c r="L42" s="3049">
        <f>'23.1 Opex incl. RPM'!L42</f>
        <v>526980.13737250201</v>
      </c>
      <c r="M42" s="3050">
        <f>'23.1 Opex incl. RPM'!M42</f>
        <v>519904.01011446491</v>
      </c>
      <c r="N42" s="3022">
        <f>'23.1 Opex incl. RPM'!N42</f>
        <v>531791.86196720868</v>
      </c>
      <c r="O42" s="3022">
        <f>'23.1 Opex incl. RPM'!O42</f>
        <v>528376.08081878792</v>
      </c>
      <c r="P42" s="3022">
        <f>'23.1 Opex incl. RPM'!P42</f>
        <v>532629.07487289305</v>
      </c>
      <c r="Q42" s="3052">
        <f>'23.1 Opex incl. RPM'!Q42</f>
        <v>536928.73139435123</v>
      </c>
      <c r="U42" s="1906"/>
      <c r="V42" s="1907"/>
      <c r="W42" s="1907"/>
      <c r="X42" s="1907"/>
      <c r="Y42" s="1908"/>
      <c r="Z42" s="1906"/>
      <c r="AA42" s="1907"/>
      <c r="AB42" s="1908"/>
    </row>
    <row r="43" spans="2:28" ht="20.100000000000001" customHeight="1" outlineLevel="1">
      <c r="B43" s="1418" t="s">
        <v>1379</v>
      </c>
      <c r="C43" s="3021">
        <v>666223.17000000004</v>
      </c>
      <c r="D43" s="3022">
        <v>749769.70000000007</v>
      </c>
      <c r="E43" s="3022">
        <v>1013114.32</v>
      </c>
      <c r="F43" s="3022">
        <v>1041356.5341399765</v>
      </c>
      <c r="G43" s="3023">
        <v>801111.25403194572</v>
      </c>
      <c r="H43" s="3022">
        <f>'[14]Invoices from JAM'!M42*1000</f>
        <v>840650.42001580424</v>
      </c>
      <c r="I43" s="3022">
        <f>'23.1 Opex incl. RPM'!I43</f>
        <v>77354.579999998095</v>
      </c>
      <c r="J43" s="3022">
        <f>'23.1 Opex incl. RPM'!J43</f>
        <v>1344253.1399999987</v>
      </c>
      <c r="K43" s="3022">
        <f>'23.1 Opex incl. RPM'!K43</f>
        <v>1366411.0247912921</v>
      </c>
      <c r="L43" s="3049">
        <f>'23.1 Opex incl. RPM'!L43</f>
        <v>1444782.7551454012</v>
      </c>
      <c r="M43" s="3050">
        <f>'23.1 Opex incl. RPM'!M43</f>
        <v>1425382.6565257455</v>
      </c>
      <c r="N43" s="3022">
        <f>'23.1 Opex incl. RPM'!N43</f>
        <v>1457974.7072208684</v>
      </c>
      <c r="O43" s="3022">
        <f>'23.1 Opex incl. RPM'!O43</f>
        <v>1448609.9108109032</v>
      </c>
      <c r="P43" s="3022">
        <f>'23.1 Opex incl. RPM'!P43</f>
        <v>1460270.0323816021</v>
      </c>
      <c r="Q43" s="3052">
        <f>'23.1 Opex incl. RPM'!Q43</f>
        <v>1472058.0850133852</v>
      </c>
      <c r="U43" s="1906"/>
      <c r="V43" s="1907"/>
      <c r="W43" s="1907"/>
      <c r="X43" s="1907"/>
      <c r="Y43" s="1908"/>
      <c r="Z43" s="1906"/>
      <c r="AA43" s="1907"/>
      <c r="AB43" s="1908"/>
    </row>
    <row r="44" spans="2:28" ht="20.100000000000001" customHeight="1" outlineLevel="1">
      <c r="B44" s="1418" t="s">
        <v>63</v>
      </c>
      <c r="C44" s="3021">
        <v>4556485.3900000006</v>
      </c>
      <c r="D44" s="3022">
        <v>3052367.6899999985</v>
      </c>
      <c r="E44" s="3022">
        <v>5537773.2799999993</v>
      </c>
      <c r="F44" s="3022">
        <v>3300000</v>
      </c>
      <c r="G44" s="3023">
        <v>2407648.4058435955</v>
      </c>
      <c r="H44" s="3022">
        <f>'[14]Invoices from JAM'!M43*1000</f>
        <v>3892480.1323567294</v>
      </c>
      <c r="I44" s="3022">
        <f>'23.1 Opex incl. RPM'!I44</f>
        <v>4583869.0499999961</v>
      </c>
      <c r="J44" s="3022">
        <f>'23.1 Opex incl. RPM'!J44</f>
        <v>3811835.2700000047</v>
      </c>
      <c r="K44" s="3022">
        <f>'23.1 Opex incl. RPM'!K44</f>
        <v>3421943.9449510816</v>
      </c>
      <c r="L44" s="3049">
        <f>'23.1 Opex incl. RPM'!L44</f>
        <v>4549436.0126268743</v>
      </c>
      <c r="M44" s="3050">
        <f>'23.1 Opex incl. RPM'!M44</f>
        <v>4437266.8117492255</v>
      </c>
      <c r="N44" s="3022">
        <f>'23.1 Opex incl. RPM'!N44</f>
        <v>4573309.1141588213</v>
      </c>
      <c r="O44" s="3022">
        <f>'23.1 Opex incl. RPM'!O44</f>
        <v>4524405.5851010317</v>
      </c>
      <c r="P44" s="3022">
        <f>'23.1 Opex incl. RPM'!P44</f>
        <v>4566955.8259895854</v>
      </c>
      <c r="Q44" s="3052">
        <f>'23.1 Opex incl. RPM'!Q44</f>
        <v>4609968.1045254851</v>
      </c>
      <c r="U44" s="1906"/>
      <c r="V44" s="1907"/>
      <c r="W44" s="1907"/>
      <c r="X44" s="1907"/>
      <c r="Y44" s="1908"/>
      <c r="Z44" s="1906"/>
      <c r="AA44" s="1907"/>
      <c r="AB44" s="1908"/>
    </row>
    <row r="45" spans="2:28" ht="20.100000000000001" customHeight="1" outlineLevel="1">
      <c r="B45" s="1418" t="s">
        <v>1380</v>
      </c>
      <c r="C45" s="3021">
        <v>446919.41999999934</v>
      </c>
      <c r="D45" s="3022">
        <v>458561.21</v>
      </c>
      <c r="E45" s="3022">
        <v>498945.13</v>
      </c>
      <c r="F45" s="3022">
        <v>512854.03931791236</v>
      </c>
      <c r="G45" s="3023">
        <v>352624.41121495323</v>
      </c>
      <c r="H45" s="3022">
        <f>'[14]Invoices from JAM'!M44*1000</f>
        <v>1060742.5405510787</v>
      </c>
      <c r="I45" s="3022">
        <f>'23.1 Opex incl. RPM'!I45</f>
        <v>1262342.1499999987</v>
      </c>
      <c r="J45" s="3022">
        <f>'23.1 Opex incl. RPM'!J45</f>
        <v>456449.30000000022</v>
      </c>
      <c r="K45" s="3022">
        <f>'23.1 Opex incl. RPM'!K45</f>
        <v>446124.97208640428</v>
      </c>
      <c r="L45" s="3049">
        <f>'23.1 Opex incl. RPM'!L45</f>
        <v>471712.87015092006</v>
      </c>
      <c r="M45" s="3050">
        <f>'23.1 Opex incl. RPM'!M45</f>
        <v>465378.85476452537</v>
      </c>
      <c r="N45" s="3022">
        <f>'23.1 Opex incl. RPM'!N45</f>
        <v>476019.96307146485</v>
      </c>
      <c r="O45" s="3022">
        <f>'23.1 Opex incl. RPM'!O45</f>
        <v>472962.41343142983</v>
      </c>
      <c r="P45" s="3022">
        <f>'23.1 Opex incl. RPM'!P45</f>
        <v>476769.3729157084</v>
      </c>
      <c r="Q45" s="3052">
        <f>'23.1 Opex incl. RPM'!Q45</f>
        <v>480618.10112112563</v>
      </c>
      <c r="U45" s="1906"/>
      <c r="V45" s="1907"/>
      <c r="W45" s="1907"/>
      <c r="X45" s="1907"/>
      <c r="Y45" s="1908"/>
      <c r="Z45" s="1906"/>
      <c r="AA45" s="1907"/>
      <c r="AB45" s="1908"/>
    </row>
    <row r="46" spans="2:28" ht="20.100000000000001" customHeight="1" outlineLevel="1">
      <c r="B46" s="1418" t="s">
        <v>64</v>
      </c>
      <c r="C46" s="3021">
        <v>1409164.4000000001</v>
      </c>
      <c r="D46" s="3022">
        <v>1760479.6700000002</v>
      </c>
      <c r="E46" s="3022">
        <v>1497556.0399999965</v>
      </c>
      <c r="F46" s="3022">
        <v>1539302.8572479209</v>
      </c>
      <c r="G46" s="3023">
        <v>1333985.1822593194</v>
      </c>
      <c r="H46" s="3022">
        <f>'[14]Invoices from JAM'!M45*1000</f>
        <v>3713918.018344956</v>
      </c>
      <c r="I46" s="3022">
        <f>'23.1 Opex incl. RPM'!I46</f>
        <v>5992410.6199999908</v>
      </c>
      <c r="J46" s="3022">
        <f>'23.1 Opex incl. RPM'!J46</f>
        <v>6529407.2700000042</v>
      </c>
      <c r="K46" s="3022">
        <f>'23.1 Opex incl. RPM'!K46</f>
        <v>5141138.0905534616</v>
      </c>
      <c r="L46" s="3049">
        <f>'23.1 Opex incl. RPM'!L46</f>
        <v>5436012.678679416</v>
      </c>
      <c r="M46" s="3050">
        <f>'23.1 Opex incl. RPM'!M46</f>
        <v>5363019.571799852</v>
      </c>
      <c r="N46" s="3022">
        <f>'23.1 Opex incl. RPM'!N46</f>
        <v>5485647.5587216774</v>
      </c>
      <c r="O46" s="3022">
        <f>'23.1 Opex incl. RPM'!O46</f>
        <v>5450412.3983928859</v>
      </c>
      <c r="P46" s="3022">
        <f>'23.1 Opex incl. RPM'!P46</f>
        <v>5494283.7475403799</v>
      </c>
      <c r="Q46" s="3052">
        <f>'23.1 Opex incl. RPM'!Q46</f>
        <v>5538636.4388603037</v>
      </c>
      <c r="U46" s="1906"/>
      <c r="V46" s="1907"/>
      <c r="W46" s="1907"/>
      <c r="X46" s="1907"/>
      <c r="Y46" s="1908"/>
      <c r="Z46" s="1906"/>
      <c r="AA46" s="1907"/>
      <c r="AB46" s="1908"/>
    </row>
    <row r="47" spans="2:28" ht="20.100000000000001" customHeight="1" outlineLevel="1">
      <c r="B47" s="2860" t="s">
        <v>1381</v>
      </c>
      <c r="C47" s="3063">
        <f t="shared" ref="C47:Q47" si="3">SUM(C39:C46)</f>
        <v>15082147.090000004</v>
      </c>
      <c r="D47" s="3064">
        <f t="shared" si="3"/>
        <v>14626619.769999998</v>
      </c>
      <c r="E47" s="3064">
        <f t="shared" si="3"/>
        <v>18736355.789999999</v>
      </c>
      <c r="F47" s="3064">
        <f t="shared" si="3"/>
        <v>16866514.525403321</v>
      </c>
      <c r="G47" s="3065">
        <f t="shared" si="3"/>
        <v>14901465.321992408</v>
      </c>
      <c r="H47" s="3063">
        <f t="shared" si="3"/>
        <v>19318642.657105315</v>
      </c>
      <c r="I47" s="3064">
        <f t="shared" si="3"/>
        <v>26249401.649999972</v>
      </c>
      <c r="J47" s="3064">
        <f t="shared" si="3"/>
        <v>26240716.289999995</v>
      </c>
      <c r="K47" s="3064">
        <f t="shared" si="3"/>
        <v>26727074.374785777</v>
      </c>
      <c r="L47" s="3065">
        <f t="shared" si="3"/>
        <v>29191253.109047361</v>
      </c>
      <c r="M47" s="3063">
        <f t="shared" si="3"/>
        <v>28748201.164632287</v>
      </c>
      <c r="N47" s="3064">
        <f t="shared" si="3"/>
        <v>29440124.515016913</v>
      </c>
      <c r="O47" s="3064">
        <f t="shared" si="3"/>
        <v>29231497.595395565</v>
      </c>
      <c r="P47" s="3064">
        <f t="shared" si="3"/>
        <v>29472919.661161538</v>
      </c>
      <c r="Q47" s="3065">
        <f t="shared" si="3"/>
        <v>29716985.721548639</v>
      </c>
      <c r="U47" s="1880"/>
      <c r="V47" s="1881"/>
      <c r="W47" s="1881"/>
      <c r="X47" s="1881"/>
      <c r="Y47" s="1885"/>
      <c r="Z47" s="1880"/>
      <c r="AA47" s="1881"/>
      <c r="AB47" s="1885"/>
    </row>
    <row r="48" spans="2:28" ht="20.100000000000001" customHeight="1" outlineLevel="1" thickBot="1">
      <c r="B48" s="2861" t="s">
        <v>1360</v>
      </c>
      <c r="C48" s="3069">
        <f t="shared" ref="C48:Q48" si="4">C37+C47</f>
        <v>51811684.13000001</v>
      </c>
      <c r="D48" s="3070">
        <f t="shared" si="4"/>
        <v>57663666.046374515</v>
      </c>
      <c r="E48" s="3070">
        <f t="shared" si="4"/>
        <v>55683099.079999998</v>
      </c>
      <c r="F48" s="3070">
        <f t="shared" si="4"/>
        <v>54843208.547686838</v>
      </c>
      <c r="G48" s="3071">
        <f t="shared" si="4"/>
        <v>71584793.921898946</v>
      </c>
      <c r="H48" s="3069">
        <f t="shared" si="4"/>
        <v>61878895.358221829</v>
      </c>
      <c r="I48" s="3070">
        <f t="shared" si="4"/>
        <v>63125629.669999972</v>
      </c>
      <c r="J48" s="3070">
        <f t="shared" si="4"/>
        <v>63076941.940000027</v>
      </c>
      <c r="K48" s="3070">
        <f t="shared" si="4"/>
        <v>68317446.197065771</v>
      </c>
      <c r="L48" s="3071">
        <f t="shared" si="4"/>
        <v>68154139.824460119</v>
      </c>
      <c r="M48" s="3069">
        <f t="shared" si="4"/>
        <v>73650124.442389891</v>
      </c>
      <c r="N48" s="3070">
        <f t="shared" si="4"/>
        <v>74481939.077627748</v>
      </c>
      <c r="O48" s="3070">
        <f t="shared" si="4"/>
        <v>75480077.976345986</v>
      </c>
      <c r="P48" s="3070">
        <f t="shared" si="4"/>
        <v>76733360.535778314</v>
      </c>
      <c r="Q48" s="3071">
        <f t="shared" si="4"/>
        <v>78128669.856910557</v>
      </c>
      <c r="U48" s="1904">
        <f t="shared" ref="U48:AB48" si="5">SUM(U21:U47)</f>
        <v>0</v>
      </c>
      <c r="V48" s="1407">
        <f t="shared" si="5"/>
        <v>0</v>
      </c>
      <c r="W48" s="1407">
        <f t="shared" si="5"/>
        <v>0</v>
      </c>
      <c r="X48" s="1407">
        <f t="shared" si="5"/>
        <v>0</v>
      </c>
      <c r="Y48" s="1408">
        <f t="shared" si="5"/>
        <v>0</v>
      </c>
      <c r="Z48" s="1904">
        <f t="shared" si="5"/>
        <v>0</v>
      </c>
      <c r="AA48" s="1407">
        <f t="shared" si="5"/>
        <v>0</v>
      </c>
      <c r="AB48" s="1408">
        <f t="shared" si="5"/>
        <v>0</v>
      </c>
    </row>
    <row r="49" spans="1:33" s="136" customFormat="1" ht="21.75" customHeight="1">
      <c r="A49" s="501"/>
      <c r="B49" s="1415" t="s">
        <v>1391</v>
      </c>
      <c r="C49" s="3072"/>
      <c r="D49" s="3072"/>
      <c r="E49" s="3072"/>
      <c r="F49" s="3072"/>
      <c r="G49" s="3072"/>
      <c r="H49" s="3072"/>
      <c r="I49" s="3072"/>
      <c r="J49" s="3072"/>
      <c r="K49" s="3072"/>
      <c r="L49" s="3072"/>
      <c r="M49" s="3072"/>
      <c r="N49" s="3072"/>
      <c r="O49" s="3072"/>
      <c r="P49" s="3072"/>
      <c r="Q49" s="3073"/>
      <c r="R49" s="1266"/>
      <c r="S49" s="1268"/>
      <c r="U49" s="1905"/>
      <c r="V49" s="1416"/>
      <c r="W49" s="1416"/>
      <c r="X49" s="1416"/>
      <c r="Y49" s="1416"/>
      <c r="Z49" s="1416"/>
      <c r="AA49" s="1416"/>
      <c r="AB49" s="1417"/>
    </row>
    <row r="50" spans="1:33" ht="20.100000000000001" customHeight="1" outlineLevel="1">
      <c r="B50" s="1392" t="s">
        <v>1383</v>
      </c>
      <c r="C50" s="3021">
        <f>'23.1 Opex incl. RPM'!C50</f>
        <v>471740.85020772438</v>
      </c>
      <c r="D50" s="3022">
        <f>'23.1 Opex incl. RPM'!D50</f>
        <v>683886.54339142807</v>
      </c>
      <c r="E50" s="3022">
        <f>'23.1 Opex incl. RPM'!E50</f>
        <v>768607.80595404562</v>
      </c>
      <c r="F50" s="3022">
        <f>'23.1 Opex incl. RPM'!F50</f>
        <v>743707.81663310947</v>
      </c>
      <c r="G50" s="3023">
        <f>'23.1 Opex incl. RPM'!G50</f>
        <v>929000</v>
      </c>
      <c r="H50" s="3021">
        <f>'23.1 Opex incl. RPM'!H50</f>
        <v>76000</v>
      </c>
      <c r="I50" s="3022">
        <f>'23.1 Opex incl. RPM'!I50</f>
        <v>71000</v>
      </c>
      <c r="J50" s="3022">
        <f>'23.1 Opex incl. RPM'!J50</f>
        <v>129000</v>
      </c>
      <c r="K50" s="3022">
        <f>'23.1 Opex incl. RPM'!K50</f>
        <v>74505.644948704678</v>
      </c>
      <c r="L50" s="3023">
        <f>'23.1 Opex incl. RPM'!L50</f>
        <v>51344.991894885512</v>
      </c>
      <c r="M50" s="3021">
        <f>'23.1 Opex incl. RPM'!M50</f>
        <v>52160.396778064176</v>
      </c>
      <c r="N50" s="3022">
        <f>'23.1 Opex incl. RPM'!N50</f>
        <v>52334.273756611758</v>
      </c>
      <c r="O50" s="3022">
        <f>'23.1 Opex incl. RPM'!O50</f>
        <v>52573.434907879615</v>
      </c>
      <c r="P50" s="3022">
        <f>'23.1 Opex incl. RPM'!P50</f>
        <v>52815.943657801421</v>
      </c>
      <c r="Q50" s="3023">
        <f>'23.1 Opex incl. RPM'!Q50</f>
        <v>53061.254831175575</v>
      </c>
      <c r="U50" s="1880"/>
      <c r="V50" s="1881"/>
      <c r="W50" s="1881"/>
      <c r="X50" s="1881"/>
      <c r="Y50" s="1885"/>
      <c r="Z50" s="1880"/>
      <c r="AA50" s="1881"/>
      <c r="AB50" s="1885"/>
    </row>
    <row r="51" spans="1:33" ht="20.100000000000001" customHeight="1" outlineLevel="1">
      <c r="B51" s="1392" t="s">
        <v>1384</v>
      </c>
      <c r="C51" s="3021">
        <f>'23.1 Opex incl. RPM'!C51</f>
        <v>254916.50910422558</v>
      </c>
      <c r="D51" s="3022">
        <f>'23.1 Opex incl. RPM'!D51</f>
        <v>0</v>
      </c>
      <c r="E51" s="3022">
        <f>'23.1 Opex incl. RPM'!E51</f>
        <v>0</v>
      </c>
      <c r="F51" s="3022">
        <f>'23.1 Opex incl. RPM'!F51</f>
        <v>0</v>
      </c>
      <c r="G51" s="3023">
        <f>'23.1 Opex incl. RPM'!G51</f>
        <v>0</v>
      </c>
      <c r="H51" s="3021">
        <f>'23.1 Opex incl. RPM'!H51</f>
        <v>132712.60251534215</v>
      </c>
      <c r="I51" s="3022">
        <f>'23.1 Opex incl. RPM'!I51</f>
        <v>107402.81</v>
      </c>
      <c r="J51" s="3022">
        <f>'23.1 Opex incl. RPM'!J51</f>
        <v>172774.29</v>
      </c>
      <c r="K51" s="3022">
        <f>'23.1 Opex incl. RPM'!K51</f>
        <v>323306.16672965378</v>
      </c>
      <c r="L51" s="3023">
        <f>'23.1 Opex incl. RPM'!L51</f>
        <v>222803.95695828652</v>
      </c>
      <c r="M51" s="3021">
        <f>'23.1 Opex incl. RPM'!M51</f>
        <v>226342.28519226977</v>
      </c>
      <c r="N51" s="3022">
        <f>'23.1 Opex incl. RPM'!N51</f>
        <v>227096.79848391976</v>
      </c>
      <c r="O51" s="3022">
        <f>'23.1 Opex incl. RPM'!O51</f>
        <v>228134.60273486341</v>
      </c>
      <c r="P51" s="3022">
        <f>'23.1 Opex incl. RPM'!P51</f>
        <v>229186.93339235385</v>
      </c>
      <c r="Q51" s="3023">
        <f>'23.1 Opex incl. RPM'!Q51</f>
        <v>230251.42474967518</v>
      </c>
      <c r="U51" s="1409"/>
      <c r="V51" s="1410"/>
      <c r="W51" s="1410"/>
      <c r="X51" s="1410"/>
      <c r="Y51" s="1411"/>
      <c r="Z51" s="1880"/>
      <c r="AA51" s="1881"/>
      <c r="AB51" s="1885"/>
    </row>
    <row r="52" spans="1:33" ht="20.100000000000001" customHeight="1" outlineLevel="1">
      <c r="B52" s="1392" t="s">
        <v>1385</v>
      </c>
      <c r="C52" s="3021">
        <f>'23.1 Opex incl. RPM'!C52</f>
        <v>218368.98287577878</v>
      </c>
      <c r="D52" s="3022">
        <f>'23.1 Opex incl. RPM'!D52</f>
        <v>762309.6093681854</v>
      </c>
      <c r="E52" s="3022">
        <f>'23.1 Opex incl. RPM'!E52</f>
        <v>756793.79407719115</v>
      </c>
      <c r="F52" s="3022">
        <f>'23.1 Opex incl. RPM'!F52</f>
        <v>732276.53411093017</v>
      </c>
      <c r="G52" s="3023">
        <f>'23.1 Opex incl. RPM'!G52</f>
        <v>864000</v>
      </c>
      <c r="H52" s="3021">
        <f>'23.1 Opex incl. RPM'!H52</f>
        <v>503238.27446094196</v>
      </c>
      <c r="I52" s="3022">
        <f>'23.1 Opex incl. RPM'!I52</f>
        <v>499762.15</v>
      </c>
      <c r="J52" s="3022">
        <f>'23.1 Opex incl. RPM'!J52</f>
        <v>709714.36999999988</v>
      </c>
      <c r="K52" s="3022">
        <f>'23.1 Opex incl. RPM'!K52</f>
        <v>968097.37609308469</v>
      </c>
      <c r="L52" s="3023">
        <f>'23.1 Opex incl. RPM'!L52</f>
        <v>667156.85721775028</v>
      </c>
      <c r="M52" s="3021">
        <f>'23.1 Opex incl. RPM'!M52</f>
        <v>677751.91116839019</v>
      </c>
      <c r="N52" s="3022">
        <f>'23.1 Opex incl. RPM'!N52</f>
        <v>680011.20100892254</v>
      </c>
      <c r="O52" s="3022">
        <f>'23.1 Opex incl. RPM'!O52</f>
        <v>683118.76800153381</v>
      </c>
      <c r="P52" s="3022">
        <f>'23.1 Opex incl. RPM'!P52</f>
        <v>686269.8323892128</v>
      </c>
      <c r="Q52" s="3023">
        <f>'23.1 Opex incl. RPM'!Q52</f>
        <v>689457.31037740177</v>
      </c>
      <c r="U52" s="1409"/>
      <c r="V52" s="1410"/>
      <c r="W52" s="1410"/>
      <c r="X52" s="1410"/>
      <c r="Y52" s="1411"/>
      <c r="Z52" s="1880"/>
      <c r="AA52" s="1881"/>
      <c r="AB52" s="1885"/>
    </row>
    <row r="53" spans="1:33" ht="20.100000000000001" customHeight="1" outlineLevel="1">
      <c r="B53" s="1392" t="s">
        <v>1386</v>
      </c>
      <c r="C53" s="3021">
        <f>'23.1 Opex incl. RPM'!C53</f>
        <v>1240175.3095486064</v>
      </c>
      <c r="D53" s="3022">
        <f>'23.1 Opex incl. RPM'!D53</f>
        <v>962602.16548957513</v>
      </c>
      <c r="E53" s="3022">
        <f>'23.1 Opex incl. RPM'!E53</f>
        <v>934598.39996876335</v>
      </c>
      <c r="F53" s="3022">
        <f>'23.1 Opex incl. RPM'!F53</f>
        <v>904320.94246922608</v>
      </c>
      <c r="G53" s="3023">
        <f>'23.1 Opex incl. RPM'!G53</f>
        <v>999179.33189889556</v>
      </c>
      <c r="H53" s="3021">
        <f>'23.1 Opex incl. RPM'!H53</f>
        <v>862288.75335804757</v>
      </c>
      <c r="I53" s="3022">
        <f>'23.1 Opex incl. RPM'!I53</f>
        <v>878977.46</v>
      </c>
      <c r="J53" s="3022">
        <f>'23.1 Opex incl. RPM'!J53</f>
        <v>949689.74</v>
      </c>
      <c r="K53" s="3022">
        <f>'23.1 Opex incl. RPM'!K53</f>
        <v>1023050.73256841</v>
      </c>
      <c r="L53" s="3023">
        <f>'23.1 Opex incl. RPM'!L53</f>
        <v>705027.53996621748</v>
      </c>
      <c r="M53" s="3021">
        <f>'23.1 Opex incl. RPM'!M53</f>
        <v>716224.01459106116</v>
      </c>
      <c r="N53" s="3022">
        <f>'23.1 Opex incl. RPM'!N53</f>
        <v>718611.55140659178</v>
      </c>
      <c r="O53" s="3022">
        <f>'23.1 Opex incl. RPM'!O53</f>
        <v>721895.51722119469</v>
      </c>
      <c r="P53" s="3022">
        <f>'23.1 Opex incl. RPM'!P53</f>
        <v>725225.4495294455</v>
      </c>
      <c r="Q53" s="3023">
        <f>'23.1 Opex incl. RPM'!Q53</f>
        <v>728593.86243024538</v>
      </c>
      <c r="U53" s="1409"/>
      <c r="V53" s="1410"/>
      <c r="W53" s="1410"/>
      <c r="X53" s="1410"/>
      <c r="Y53" s="1411"/>
      <c r="Z53" s="1880"/>
      <c r="AA53" s="1881"/>
      <c r="AB53" s="1885"/>
    </row>
    <row r="54" spans="1:33" ht="20.100000000000001" customHeight="1" outlineLevel="1">
      <c r="B54" s="1392" t="s">
        <v>1504</v>
      </c>
      <c r="C54" s="3021">
        <f>'23.1 Opex incl. RPM'!C54</f>
        <v>895883.15226366639</v>
      </c>
      <c r="D54" s="3022">
        <f>'23.1 Opex incl. RPM'!D54</f>
        <v>0</v>
      </c>
      <c r="E54" s="3022">
        <f>'23.1 Opex incl. RPM'!E54</f>
        <v>0</v>
      </c>
      <c r="F54" s="3022">
        <f>'23.1 Opex incl. RPM'!F54</f>
        <v>0</v>
      </c>
      <c r="G54" s="3023">
        <f>'23.1 Opex incl. RPM'!G54</f>
        <v>0</v>
      </c>
      <c r="H54" s="3021">
        <f>'23.1 Opex incl. RPM'!H54</f>
        <v>0</v>
      </c>
      <c r="I54" s="3022">
        <f>'23.1 Opex incl. RPM'!I54</f>
        <v>0</v>
      </c>
      <c r="J54" s="3022">
        <f>'23.1 Opex incl. RPM'!J54</f>
        <v>0</v>
      </c>
      <c r="K54" s="3022">
        <f>'23.1 Opex incl. RPM'!K54</f>
        <v>140067.43718649904</v>
      </c>
      <c r="L54" s="3023">
        <f>'23.1 Opex incl. RPM'!L54</f>
        <v>96526.396517062996</v>
      </c>
      <c r="M54" s="3021">
        <f>'23.1 Opex incl. RPM'!M54</f>
        <v>98059.322946125161</v>
      </c>
      <c r="N54" s="3022">
        <f>'23.1 Opex incl. RPM'!N54</f>
        <v>98386.204255422723</v>
      </c>
      <c r="O54" s="3022">
        <f>'23.1 Opex incl. RPM'!O54</f>
        <v>98835.817027122437</v>
      </c>
      <c r="P54" s="3022">
        <f>'23.1 Opex incl. RPM'!P54</f>
        <v>99291.723141622002</v>
      </c>
      <c r="Q54" s="3023">
        <f>'23.1 Opex incl. RPM'!Q54</f>
        <v>99752.897692776969</v>
      </c>
      <c r="U54" s="3431"/>
      <c r="V54" s="3432"/>
      <c r="W54" s="3432"/>
      <c r="X54" s="3432"/>
      <c r="Y54" s="3433"/>
      <c r="Z54" s="1939"/>
      <c r="AA54" s="1940"/>
      <c r="AB54" s="1941"/>
    </row>
    <row r="55" spans="1:33" ht="20.100000000000001" customHeight="1" thickBot="1">
      <c r="B55" s="2862" t="s">
        <v>49</v>
      </c>
      <c r="C55" s="1306">
        <f t="shared" ref="C55:Q55" si="6">SUM(C50:C54)</f>
        <v>3081084.8040000014</v>
      </c>
      <c r="D55" s="1307">
        <f t="shared" si="6"/>
        <v>2408798.3182491884</v>
      </c>
      <c r="E55" s="1307">
        <f t="shared" si="6"/>
        <v>2460000</v>
      </c>
      <c r="F55" s="1307">
        <f t="shared" si="6"/>
        <v>2380305.2932132659</v>
      </c>
      <c r="G55" s="1307">
        <f t="shared" si="6"/>
        <v>2792179.3318988956</v>
      </c>
      <c r="H55" s="1306">
        <f t="shared" si="6"/>
        <v>1574239.6303343317</v>
      </c>
      <c r="I55" s="1307">
        <f t="shared" si="6"/>
        <v>1557142.42</v>
      </c>
      <c r="J55" s="1307">
        <f t="shared" si="6"/>
        <v>1961178.4</v>
      </c>
      <c r="K55" s="1307">
        <f t="shared" si="6"/>
        <v>2529027.3575263526</v>
      </c>
      <c r="L55" s="1307">
        <f t="shared" si="6"/>
        <v>1742859.7425542027</v>
      </c>
      <c r="M55" s="1306">
        <f t="shared" si="6"/>
        <v>1770537.9306759103</v>
      </c>
      <c r="N55" s="1307">
        <f t="shared" si="6"/>
        <v>1776440.0289114688</v>
      </c>
      <c r="O55" s="1307">
        <f t="shared" si="6"/>
        <v>1784558.139892594</v>
      </c>
      <c r="P55" s="1307">
        <f t="shared" si="6"/>
        <v>1792789.8821104355</v>
      </c>
      <c r="Q55" s="1307">
        <f t="shared" si="6"/>
        <v>1801116.7500812749</v>
      </c>
      <c r="U55" s="1306">
        <f t="shared" ref="U55:AB55" si="7">SUM(U50:U53)</f>
        <v>0</v>
      </c>
      <c r="V55" s="1307">
        <f t="shared" si="7"/>
        <v>0</v>
      </c>
      <c r="W55" s="1307">
        <f t="shared" si="7"/>
        <v>0</v>
      </c>
      <c r="X55" s="1307">
        <f t="shared" si="7"/>
        <v>0</v>
      </c>
      <c r="Y55" s="1308">
        <f t="shared" si="7"/>
        <v>0</v>
      </c>
      <c r="Z55" s="1306">
        <f t="shared" si="7"/>
        <v>0</v>
      </c>
      <c r="AA55" s="1307">
        <f t="shared" si="7"/>
        <v>0</v>
      </c>
      <c r="AB55" s="1308">
        <f t="shared" si="7"/>
        <v>0</v>
      </c>
    </row>
    <row r="56" spans="1:33" ht="30" customHeight="1" thickBot="1">
      <c r="B56" s="2863" t="s">
        <v>1389</v>
      </c>
      <c r="C56" s="1412">
        <f t="shared" ref="C56:Q56" si="8">C48+C55</f>
        <v>54892768.934000015</v>
      </c>
      <c r="D56" s="1413">
        <f t="shared" si="8"/>
        <v>60072464.364623703</v>
      </c>
      <c r="E56" s="1413">
        <f t="shared" si="8"/>
        <v>58143099.079999998</v>
      </c>
      <c r="F56" s="1413">
        <f t="shared" si="8"/>
        <v>57223513.840900101</v>
      </c>
      <c r="G56" s="1414">
        <f t="shared" si="8"/>
        <v>74376973.253797844</v>
      </c>
      <c r="H56" s="1412">
        <f t="shared" si="8"/>
        <v>63453134.988556162</v>
      </c>
      <c r="I56" s="1413">
        <f t="shared" si="8"/>
        <v>64682772.089999974</v>
      </c>
      <c r="J56" s="1413">
        <f t="shared" si="8"/>
        <v>65038120.340000026</v>
      </c>
      <c r="K56" s="1413">
        <f t="shared" si="8"/>
        <v>70846473.554592118</v>
      </c>
      <c r="L56" s="1414">
        <f t="shared" si="8"/>
        <v>69896999.567014322</v>
      </c>
      <c r="M56" s="1412">
        <f t="shared" si="8"/>
        <v>75420662.373065799</v>
      </c>
      <c r="N56" s="1413">
        <f t="shared" si="8"/>
        <v>76258379.10653922</v>
      </c>
      <c r="O56" s="1413">
        <f t="shared" si="8"/>
        <v>77264636.116238579</v>
      </c>
      <c r="P56" s="1413">
        <f t="shared" si="8"/>
        <v>78526150.417888746</v>
      </c>
      <c r="Q56" s="1414">
        <f t="shared" si="8"/>
        <v>79929786.606991827</v>
      </c>
      <c r="U56" s="1412" t="e">
        <f>U55+#REF!</f>
        <v>#REF!</v>
      </c>
      <c r="V56" s="1413" t="e">
        <f>V55+#REF!</f>
        <v>#REF!</v>
      </c>
      <c r="W56" s="1413" t="e">
        <f>W55+#REF!</f>
        <v>#REF!</v>
      </c>
      <c r="X56" s="1413" t="e">
        <f>X55+#REF!</f>
        <v>#REF!</v>
      </c>
      <c r="Y56" s="1414" t="e">
        <f>Y55+#REF!</f>
        <v>#REF!</v>
      </c>
      <c r="Z56" s="1412" t="e">
        <f>Z55+#REF!</f>
        <v>#REF!</v>
      </c>
      <c r="AA56" s="1413" t="e">
        <f>AA55+#REF!</f>
        <v>#REF!</v>
      </c>
      <c r="AB56" s="1414" t="e">
        <f>AB55+#REF!</f>
        <v>#REF!</v>
      </c>
    </row>
    <row r="57" spans="1:33" s="136" customFormat="1" ht="39" customHeight="1" thickBot="1">
      <c r="A57" s="1266"/>
      <c r="B57" s="1563" t="s">
        <v>127</v>
      </c>
      <c r="C57" s="4611" t="s">
        <v>1528</v>
      </c>
      <c r="D57" s="4611"/>
      <c r="E57" s="4611"/>
      <c r="F57" s="4611"/>
      <c r="G57" s="4611"/>
      <c r="H57" s="4611"/>
      <c r="I57" s="4611"/>
      <c r="J57" s="4611"/>
      <c r="K57" s="4611"/>
      <c r="L57" s="4611"/>
      <c r="M57" s="4611"/>
      <c r="N57" s="4611"/>
      <c r="O57" s="4611"/>
      <c r="P57" s="4611"/>
      <c r="Q57" s="4612"/>
      <c r="R57" s="1266"/>
      <c r="S57" s="1266"/>
      <c r="T57" s="1266"/>
      <c r="U57" s="1266"/>
      <c r="V57" s="1266"/>
      <c r="W57" s="1266"/>
      <c r="X57" s="1266"/>
      <c r="Y57" s="1266"/>
      <c r="Z57" s="1266"/>
      <c r="AA57" s="1266"/>
      <c r="AB57" s="1266"/>
      <c r="AC57" s="1266"/>
      <c r="AD57" s="1266"/>
    </row>
    <row r="58" spans="1:33" ht="42.75" customHeight="1" thickBot="1">
      <c r="B58" s="1268"/>
      <c r="C58" s="1268"/>
      <c r="D58" s="1268"/>
      <c r="E58" s="1268"/>
      <c r="F58" s="1268"/>
      <c r="G58" s="1268"/>
      <c r="H58" s="1268"/>
      <c r="I58" s="1268"/>
      <c r="J58" s="1268"/>
      <c r="K58" s="1268"/>
      <c r="L58" s="1268"/>
      <c r="M58" s="1268"/>
      <c r="N58" s="1268"/>
      <c r="O58" s="1268"/>
      <c r="P58" s="1268"/>
      <c r="Q58" s="1268"/>
      <c r="U58" s="1268"/>
      <c r="V58" s="1268"/>
      <c r="W58" s="1268"/>
      <c r="X58" s="1268"/>
      <c r="Y58" s="1268"/>
      <c r="Z58" s="1268"/>
      <c r="AA58" s="1268"/>
      <c r="AB58" s="1268"/>
    </row>
    <row r="59" spans="1:33" s="72" customFormat="1" ht="16.5" customHeight="1">
      <c r="A59" s="1266"/>
      <c r="B59" s="4603"/>
      <c r="C59" s="4606" t="s">
        <v>36</v>
      </c>
      <c r="D59" s="4607"/>
      <c r="E59" s="4607"/>
      <c r="F59" s="4607"/>
      <c r="G59" s="4608"/>
      <c r="H59" s="4609" t="s">
        <v>37</v>
      </c>
      <c r="I59" s="4607"/>
      <c r="J59" s="4607"/>
      <c r="K59" s="4607"/>
      <c r="L59" s="4610"/>
      <c r="M59" s="1266"/>
      <c r="N59" s="1266"/>
      <c r="O59" s="1266"/>
      <c r="P59" s="1266"/>
      <c r="Q59" s="1266"/>
      <c r="R59" s="1266"/>
      <c r="S59" s="1266"/>
      <c r="T59" s="1266"/>
      <c r="U59" s="1266"/>
      <c r="V59" s="1266"/>
      <c r="W59" s="1266"/>
      <c r="X59" s="1266"/>
      <c r="Y59" s="1266"/>
      <c r="Z59" s="1266"/>
      <c r="AA59" s="1266"/>
      <c r="AB59" s="1266"/>
      <c r="AC59" s="1266"/>
      <c r="AD59" s="1266"/>
      <c r="AE59" s="1266"/>
      <c r="AF59" s="1266"/>
      <c r="AG59" s="1266"/>
    </row>
    <row r="60" spans="1:33" ht="15" customHeight="1">
      <c r="B60" s="4604"/>
      <c r="C60" s="4613" t="str">
        <f>CONCATENATE("$0's, real ",dms_DollarReal)</f>
        <v>$0's, real December 2017</v>
      </c>
      <c r="D60" s="4614"/>
      <c r="E60" s="4614"/>
      <c r="F60" s="4614"/>
      <c r="G60" s="4614"/>
      <c r="H60" s="4614"/>
      <c r="I60" s="4614"/>
      <c r="J60" s="4614"/>
      <c r="K60" s="4614"/>
      <c r="L60" s="4615"/>
      <c r="U60" s="1266"/>
    </row>
    <row r="61" spans="1:33" s="72" customFormat="1" ht="16.5" customHeight="1">
      <c r="A61" s="1266"/>
      <c r="B61" s="4604"/>
      <c r="C61" s="4613" t="s">
        <v>76</v>
      </c>
      <c r="D61" s="4614"/>
      <c r="E61" s="4614"/>
      <c r="F61" s="4614"/>
      <c r="G61" s="4614"/>
      <c r="H61" s="4614"/>
      <c r="I61" s="4614"/>
      <c r="J61" s="4614"/>
      <c r="K61" s="4614"/>
      <c r="L61" s="4615"/>
      <c r="M61" s="1266"/>
      <c r="N61" s="1266"/>
      <c r="O61" s="1266"/>
      <c r="P61" s="1266"/>
      <c r="Q61" s="1266"/>
      <c r="R61" s="1266"/>
      <c r="S61" s="1266"/>
      <c r="T61" s="1266"/>
      <c r="U61" s="1266"/>
      <c r="V61" s="1266"/>
      <c r="W61" s="1266"/>
      <c r="X61" s="1266"/>
      <c r="Y61" s="1266"/>
      <c r="Z61" s="1266"/>
      <c r="AA61" s="1266"/>
      <c r="AB61" s="1266"/>
      <c r="AC61" s="1266"/>
      <c r="AD61" s="1266"/>
    </row>
    <row r="62" spans="1:33" ht="12.75" customHeight="1" thickBot="1">
      <c r="B62" s="4605"/>
      <c r="C62" s="3114">
        <f t="array" ref="C62:G62">PRCP</f>
        <v>2008</v>
      </c>
      <c r="D62" s="3115">
        <v>2009</v>
      </c>
      <c r="E62" s="3115">
        <v>2010</v>
      </c>
      <c r="F62" s="3115">
        <v>2011</v>
      </c>
      <c r="G62" s="3115">
        <v>2012</v>
      </c>
      <c r="H62" s="3115">
        <f>CRCP_y1</f>
        <v>2013</v>
      </c>
      <c r="I62" s="3115">
        <f>CRCP_y2</f>
        <v>2014</v>
      </c>
      <c r="J62" s="3115">
        <f>CRCP_y3</f>
        <v>2015</v>
      </c>
      <c r="K62" s="3115">
        <f>CRCP_y4</f>
        <v>2016</v>
      </c>
      <c r="L62" s="3116">
        <f>CRCP_y5</f>
        <v>2017</v>
      </c>
      <c r="U62" s="1266"/>
    </row>
    <row r="63" spans="1:33" s="136" customFormat="1" ht="21.75" customHeight="1" thickBot="1">
      <c r="A63" s="501"/>
      <c r="B63" s="3127" t="s">
        <v>540</v>
      </c>
      <c r="C63" s="3112"/>
      <c r="D63" s="3112"/>
      <c r="E63" s="3112"/>
      <c r="F63" s="3112"/>
      <c r="G63" s="3112"/>
      <c r="H63" s="3112"/>
      <c r="I63" s="3112"/>
      <c r="J63" s="3112"/>
      <c r="K63" s="3112"/>
      <c r="L63" s="3113"/>
      <c r="M63" s="1266"/>
      <c r="N63" s="1266"/>
      <c r="O63" s="1266"/>
      <c r="P63" s="1266"/>
      <c r="Q63" s="1266"/>
      <c r="R63" s="1266"/>
      <c r="S63" s="1268"/>
      <c r="U63" s="1266"/>
      <c r="V63" s="1266"/>
      <c r="W63" s="1266"/>
      <c r="X63" s="1266"/>
      <c r="Y63" s="1266"/>
      <c r="Z63" s="1266"/>
      <c r="AA63" s="1266"/>
      <c r="AB63" s="1266"/>
    </row>
    <row r="64" spans="1:33" ht="20.100000000000001" customHeight="1" outlineLevel="1">
      <c r="B64" s="3128" t="s">
        <v>1393</v>
      </c>
      <c r="C64" s="3129"/>
      <c r="D64" s="3129"/>
      <c r="E64" s="3129"/>
      <c r="F64" s="3129"/>
      <c r="G64" s="3129"/>
      <c r="H64" s="3129"/>
      <c r="I64" s="3129"/>
      <c r="J64" s="3129"/>
      <c r="K64" s="3129"/>
      <c r="L64" s="3130"/>
      <c r="U64" s="1266"/>
    </row>
    <row r="65" spans="1:28" ht="20.100000000000001" customHeight="1" outlineLevel="1">
      <c r="B65" s="3131" t="s">
        <v>1362</v>
      </c>
      <c r="C65" s="3132"/>
      <c r="D65" s="3133"/>
      <c r="E65" s="3133"/>
      <c r="F65" s="3133"/>
      <c r="G65" s="3134"/>
      <c r="H65" s="3132"/>
      <c r="I65" s="3133"/>
      <c r="J65" s="3133"/>
      <c r="K65" s="3133"/>
      <c r="L65" s="3134"/>
      <c r="U65" s="1266"/>
    </row>
    <row r="66" spans="1:28" ht="20.100000000000001" customHeight="1" outlineLevel="1">
      <c r="B66" s="3135" t="s">
        <v>1363</v>
      </c>
      <c r="C66" s="3132"/>
      <c r="D66" s="3133"/>
      <c r="E66" s="3133"/>
      <c r="F66" s="3133"/>
      <c r="G66" s="3134"/>
      <c r="H66" s="3132"/>
      <c r="I66" s="3133"/>
      <c r="J66" s="3133"/>
      <c r="K66" s="3133"/>
      <c r="L66" s="3134"/>
      <c r="U66" s="1266"/>
    </row>
    <row r="67" spans="1:28" ht="20.100000000000001" customHeight="1" outlineLevel="1">
      <c r="B67" s="3135" t="s">
        <v>1364</v>
      </c>
      <c r="C67" s="3132"/>
      <c r="D67" s="3133"/>
      <c r="E67" s="3133"/>
      <c r="F67" s="3133"/>
      <c r="G67" s="3134"/>
      <c r="H67" s="3132"/>
      <c r="I67" s="3133"/>
      <c r="J67" s="3133"/>
      <c r="K67" s="3133"/>
      <c r="L67" s="3134"/>
      <c r="U67" s="1266"/>
    </row>
    <row r="68" spans="1:28" ht="20.100000000000001" customHeight="1" outlineLevel="1">
      <c r="B68" s="3135" t="s">
        <v>1365</v>
      </c>
      <c r="C68" s="3132"/>
      <c r="D68" s="3133"/>
      <c r="E68" s="3133"/>
      <c r="F68" s="3133"/>
      <c r="G68" s="3134"/>
      <c r="H68" s="3132"/>
      <c r="I68" s="3133"/>
      <c r="J68" s="3133"/>
      <c r="K68" s="3133"/>
      <c r="L68" s="3134"/>
      <c r="U68" s="1266"/>
    </row>
    <row r="69" spans="1:28" ht="20.100000000000001" customHeight="1" outlineLevel="1">
      <c r="B69" s="3135" t="s">
        <v>1366</v>
      </c>
      <c r="C69" s="3132"/>
      <c r="D69" s="3133"/>
      <c r="E69" s="3133"/>
      <c r="F69" s="3133"/>
      <c r="G69" s="3134"/>
      <c r="H69" s="3132"/>
      <c r="I69" s="3133"/>
      <c r="J69" s="3133"/>
      <c r="K69" s="3133"/>
      <c r="L69" s="3134"/>
      <c r="U69" s="1266"/>
    </row>
    <row r="70" spans="1:28" ht="20.100000000000001" customHeight="1" outlineLevel="1">
      <c r="B70" s="3135" t="s">
        <v>1367</v>
      </c>
      <c r="C70" s="3132"/>
      <c r="D70" s="3133"/>
      <c r="E70" s="3133"/>
      <c r="F70" s="3133"/>
      <c r="G70" s="3134"/>
      <c r="H70" s="3132"/>
      <c r="I70" s="3133"/>
      <c r="J70" s="3133"/>
      <c r="K70" s="3133"/>
      <c r="L70" s="3134"/>
      <c r="U70" s="1266"/>
    </row>
    <row r="71" spans="1:28" ht="20.100000000000001" customHeight="1" outlineLevel="1">
      <c r="B71" s="3135" t="s">
        <v>1368</v>
      </c>
      <c r="C71" s="3132"/>
      <c r="D71" s="3133"/>
      <c r="E71" s="3133"/>
      <c r="F71" s="3133"/>
      <c r="G71" s="3134"/>
      <c r="H71" s="3132"/>
      <c r="I71" s="3133"/>
      <c r="J71" s="3133"/>
      <c r="K71" s="3133"/>
      <c r="L71" s="3134"/>
      <c r="U71" s="1266"/>
    </row>
    <row r="72" spans="1:28" ht="20.100000000000001" customHeight="1" outlineLevel="1">
      <c r="B72" s="3135" t="s">
        <v>275</v>
      </c>
      <c r="C72" s="3132"/>
      <c r="D72" s="3133"/>
      <c r="E72" s="3133"/>
      <c r="F72" s="3133"/>
      <c r="G72" s="3134"/>
      <c r="H72" s="3132"/>
      <c r="I72" s="3133"/>
      <c r="J72" s="3133"/>
      <c r="K72" s="3133"/>
      <c r="L72" s="3134"/>
      <c r="U72" s="1266"/>
    </row>
    <row r="73" spans="1:28" s="136" customFormat="1" ht="21.75" customHeight="1">
      <c r="A73" s="501"/>
      <c r="B73" s="3135" t="s">
        <v>1369</v>
      </c>
      <c r="C73" s="3132"/>
      <c r="D73" s="3133"/>
      <c r="E73" s="3133"/>
      <c r="F73" s="3133"/>
      <c r="G73" s="3134"/>
      <c r="H73" s="3132"/>
      <c r="I73" s="3133"/>
      <c r="J73" s="3133"/>
      <c r="K73" s="3133"/>
      <c r="L73" s="3134"/>
      <c r="M73" s="1266"/>
      <c r="N73" s="1266"/>
      <c r="O73" s="1266"/>
      <c r="P73" s="1266"/>
      <c r="Q73" s="1266"/>
      <c r="R73" s="1266"/>
      <c r="S73" s="1268"/>
      <c r="U73" s="1266"/>
      <c r="V73" s="1266"/>
      <c r="W73" s="1266"/>
      <c r="X73" s="1266"/>
      <c r="Y73" s="1266"/>
      <c r="Z73" s="1266"/>
      <c r="AA73" s="1266"/>
      <c r="AB73" s="1266"/>
    </row>
    <row r="74" spans="1:28" ht="20.100000000000001" customHeight="1" outlineLevel="1">
      <c r="B74" s="3135" t="s">
        <v>1370</v>
      </c>
      <c r="C74" s="3132"/>
      <c r="D74" s="3133"/>
      <c r="E74" s="3133"/>
      <c r="F74" s="3133"/>
      <c r="G74" s="3134"/>
      <c r="H74" s="3132"/>
      <c r="I74" s="3133"/>
      <c r="J74" s="3133"/>
      <c r="K74" s="3133"/>
      <c r="L74" s="3134"/>
      <c r="U74" s="1266"/>
    </row>
    <row r="75" spans="1:28" ht="20.100000000000001" customHeight="1" outlineLevel="1">
      <c r="B75" s="3135" t="s">
        <v>1371</v>
      </c>
      <c r="C75" s="3132"/>
      <c r="D75" s="3133"/>
      <c r="E75" s="3133"/>
      <c r="F75" s="3133"/>
      <c r="G75" s="3134"/>
      <c r="H75" s="3132"/>
      <c r="I75" s="3133"/>
      <c r="J75" s="3133"/>
      <c r="K75" s="3133"/>
      <c r="L75" s="3134"/>
      <c r="U75" s="1266"/>
    </row>
    <row r="76" spans="1:28" ht="20.100000000000001" customHeight="1" outlineLevel="1">
      <c r="B76" s="3135" t="s">
        <v>1372</v>
      </c>
      <c r="C76" s="3132"/>
      <c r="D76" s="3133"/>
      <c r="E76" s="3133"/>
      <c r="F76" s="3133"/>
      <c r="G76" s="3134"/>
      <c r="H76" s="3132"/>
      <c r="I76" s="3133"/>
      <c r="J76" s="3133"/>
      <c r="K76" s="3133"/>
      <c r="L76" s="3134"/>
      <c r="U76" s="1266"/>
    </row>
    <row r="77" spans="1:28" ht="20.100000000000001" customHeight="1" outlineLevel="1">
      <c r="B77" s="3135" t="s">
        <v>135</v>
      </c>
      <c r="C77" s="3132"/>
      <c r="D77" s="3133"/>
      <c r="E77" s="3133"/>
      <c r="F77" s="3133"/>
      <c r="G77" s="3134"/>
      <c r="H77" s="3132"/>
      <c r="I77" s="3133"/>
      <c r="J77" s="3133"/>
      <c r="K77" s="3133"/>
      <c r="L77" s="3134"/>
      <c r="U77" s="1266"/>
    </row>
    <row r="78" spans="1:28" ht="20.100000000000001" customHeight="1" outlineLevel="1">
      <c r="B78" s="3135" t="s">
        <v>1373</v>
      </c>
      <c r="C78" s="3132"/>
      <c r="D78" s="3133"/>
      <c r="E78" s="3133"/>
      <c r="F78" s="3133"/>
      <c r="G78" s="3134"/>
      <c r="H78" s="3132"/>
      <c r="I78" s="3133"/>
      <c r="J78" s="3133"/>
      <c r="K78" s="3133"/>
      <c r="L78" s="3134"/>
      <c r="U78" s="1266"/>
    </row>
    <row r="79" spans="1:28" ht="20.100000000000001" customHeight="1" outlineLevel="1">
      <c r="B79" s="3135" t="s">
        <v>1374</v>
      </c>
      <c r="C79" s="3132"/>
      <c r="D79" s="3133"/>
      <c r="E79" s="3133"/>
      <c r="F79" s="3133"/>
      <c r="G79" s="3134"/>
      <c r="H79" s="3132"/>
      <c r="I79" s="3133"/>
      <c r="J79" s="3133"/>
      <c r="K79" s="3133"/>
      <c r="L79" s="3134"/>
      <c r="U79" s="1266"/>
    </row>
    <row r="80" spans="1:28" ht="20.100000000000001" customHeight="1" outlineLevel="1">
      <c r="B80" s="3136" t="s">
        <v>1375</v>
      </c>
      <c r="C80" s="3132">
        <f>SUM(C66:C79)</f>
        <v>0</v>
      </c>
      <c r="D80" s="3133">
        <f>SUM(D66:D79)</f>
        <v>0</v>
      </c>
      <c r="E80" s="3133">
        <f t="shared" ref="E80" si="9">SUM(E66:E79)</f>
        <v>0</v>
      </c>
      <c r="F80" s="3133">
        <f t="shared" ref="F80" si="10">SUM(F66:F79)</f>
        <v>0</v>
      </c>
      <c r="G80" s="3134">
        <f>SUM(G66:G79)</f>
        <v>0</v>
      </c>
      <c r="H80" s="3132">
        <f>SUM(H66:H79)</f>
        <v>0</v>
      </c>
      <c r="I80" s="3133">
        <f>SUM(I66:I79)</f>
        <v>0</v>
      </c>
      <c r="J80" s="3133">
        <f t="shared" ref="J80" si="11">SUM(J66:J79)</f>
        <v>0</v>
      </c>
      <c r="K80" s="3133">
        <f t="shared" ref="K80" si="12">SUM(K66:K79)</f>
        <v>0</v>
      </c>
      <c r="L80" s="3134">
        <f>SUM(L66:L79)</f>
        <v>0</v>
      </c>
      <c r="U80" s="1266"/>
    </row>
    <row r="81" spans="2:21" ht="20.100000000000001" customHeight="1" outlineLevel="1">
      <c r="B81" s="3131" t="s">
        <v>1376</v>
      </c>
      <c r="C81" s="3132"/>
      <c r="D81" s="3133"/>
      <c r="E81" s="3133"/>
      <c r="F81" s="3133"/>
      <c r="G81" s="3134"/>
      <c r="H81" s="3132"/>
      <c r="I81" s="3133"/>
      <c r="J81" s="3133"/>
      <c r="K81" s="3133"/>
      <c r="L81" s="3134"/>
      <c r="U81" s="1266"/>
    </row>
    <row r="82" spans="2:21" ht="20.100000000000001" customHeight="1" outlineLevel="1">
      <c r="B82" s="3135" t="s">
        <v>1377</v>
      </c>
      <c r="C82" s="3132"/>
      <c r="D82" s="3133"/>
      <c r="E82" s="3133"/>
      <c r="F82" s="3133"/>
      <c r="G82" s="3134"/>
      <c r="H82" s="3132"/>
      <c r="I82" s="3133"/>
      <c r="J82" s="3133"/>
      <c r="K82" s="3133"/>
      <c r="L82" s="3134"/>
      <c r="U82" s="1266"/>
    </row>
    <row r="83" spans="2:21" ht="20.100000000000001" customHeight="1" outlineLevel="1">
      <c r="B83" s="3135" t="s">
        <v>1378</v>
      </c>
      <c r="C83" s="3132"/>
      <c r="D83" s="3133"/>
      <c r="E83" s="3133"/>
      <c r="F83" s="3133"/>
      <c r="G83" s="3134"/>
      <c r="H83" s="3132"/>
      <c r="I83" s="3133"/>
      <c r="J83" s="3133"/>
      <c r="K83" s="3133"/>
      <c r="L83" s="3134"/>
      <c r="U83" s="1266"/>
    </row>
    <row r="84" spans="2:21" ht="20.100000000000001" customHeight="1" outlineLevel="1">
      <c r="B84" s="3135" t="s">
        <v>62</v>
      </c>
      <c r="C84" s="3132"/>
      <c r="D84" s="3133"/>
      <c r="E84" s="3133"/>
      <c r="F84" s="3133"/>
      <c r="G84" s="3134"/>
      <c r="H84" s="3132"/>
      <c r="I84" s="3133"/>
      <c r="J84" s="3133"/>
      <c r="K84" s="3133"/>
      <c r="L84" s="3134"/>
      <c r="U84" s="1266"/>
    </row>
    <row r="85" spans="2:21" ht="20.100000000000001" customHeight="1" outlineLevel="1">
      <c r="B85" s="3135" t="s">
        <v>1356</v>
      </c>
      <c r="C85" s="3132"/>
      <c r="D85" s="3133"/>
      <c r="E85" s="3133"/>
      <c r="F85" s="3133"/>
      <c r="G85" s="3134"/>
      <c r="H85" s="3132"/>
      <c r="I85" s="3133"/>
      <c r="J85" s="3133"/>
      <c r="K85" s="3133"/>
      <c r="L85" s="3134"/>
      <c r="U85" s="1266"/>
    </row>
    <row r="86" spans="2:21" ht="20.100000000000001" customHeight="1" outlineLevel="1">
      <c r="B86" s="3135" t="s">
        <v>1379</v>
      </c>
      <c r="C86" s="3132"/>
      <c r="D86" s="3133"/>
      <c r="E86" s="3133"/>
      <c r="F86" s="3133"/>
      <c r="G86" s="3134"/>
      <c r="H86" s="3132"/>
      <c r="I86" s="3133"/>
      <c r="J86" s="3133"/>
      <c r="K86" s="3133"/>
      <c r="L86" s="3134"/>
      <c r="U86" s="1266"/>
    </row>
    <row r="87" spans="2:21" ht="20.100000000000001" customHeight="1" outlineLevel="1">
      <c r="B87" s="3135" t="s">
        <v>63</v>
      </c>
      <c r="C87" s="3132"/>
      <c r="D87" s="3133"/>
      <c r="E87" s="3133"/>
      <c r="F87" s="3133"/>
      <c r="G87" s="3134"/>
      <c r="H87" s="3132"/>
      <c r="I87" s="3133"/>
      <c r="J87" s="3133"/>
      <c r="K87" s="3133"/>
      <c r="L87" s="3134"/>
      <c r="U87" s="1266"/>
    </row>
    <row r="88" spans="2:21" ht="20.100000000000001" customHeight="1" outlineLevel="1">
      <c r="B88" s="3135" t="s">
        <v>1380</v>
      </c>
      <c r="C88" s="3132"/>
      <c r="D88" s="3133"/>
      <c r="E88" s="3133"/>
      <c r="F88" s="3133"/>
      <c r="G88" s="3134"/>
      <c r="H88" s="3132"/>
      <c r="I88" s="3133"/>
      <c r="J88" s="3133"/>
      <c r="K88" s="3133"/>
      <c r="L88" s="3134"/>
      <c r="U88" s="1266"/>
    </row>
    <row r="89" spans="2:21" ht="20.100000000000001" customHeight="1" outlineLevel="1">
      <c r="B89" s="3135" t="s">
        <v>64</v>
      </c>
      <c r="C89" s="3132"/>
      <c r="D89" s="3133"/>
      <c r="E89" s="3133"/>
      <c r="F89" s="3133"/>
      <c r="G89" s="3134"/>
      <c r="H89" s="3132"/>
      <c r="I89" s="3133"/>
      <c r="J89" s="3133"/>
      <c r="K89" s="3133"/>
      <c r="L89" s="3134"/>
      <c r="U89" s="1266"/>
    </row>
    <row r="90" spans="2:21" ht="20.100000000000001" customHeight="1" outlineLevel="1">
      <c r="B90" s="3136" t="s">
        <v>1381</v>
      </c>
      <c r="C90" s="3132">
        <f t="shared" ref="C90:L90" si="13">SUM(C82:C89)</f>
        <v>0</v>
      </c>
      <c r="D90" s="3133">
        <f t="shared" si="13"/>
        <v>0</v>
      </c>
      <c r="E90" s="3133">
        <f t="shared" si="13"/>
        <v>0</v>
      </c>
      <c r="F90" s="3133">
        <f t="shared" si="13"/>
        <v>0</v>
      </c>
      <c r="G90" s="3134">
        <f t="shared" si="13"/>
        <v>0</v>
      </c>
      <c r="H90" s="3132">
        <f t="shared" si="13"/>
        <v>0</v>
      </c>
      <c r="I90" s="3133">
        <f t="shared" si="13"/>
        <v>0</v>
      </c>
      <c r="J90" s="3133">
        <f t="shared" si="13"/>
        <v>0</v>
      </c>
      <c r="K90" s="3133">
        <f t="shared" si="13"/>
        <v>0</v>
      </c>
      <c r="L90" s="3134">
        <f t="shared" si="13"/>
        <v>0</v>
      </c>
      <c r="U90" s="1266"/>
    </row>
    <row r="91" spans="2:21" ht="20.100000000000001" customHeight="1" outlineLevel="1" thickBot="1">
      <c r="B91" s="3117" t="s">
        <v>1360</v>
      </c>
      <c r="C91" s="3318">
        <f t="shared" ref="C91:L91" si="14">C80+C90</f>
        <v>0</v>
      </c>
      <c r="D91" s="3138">
        <f t="shared" si="14"/>
        <v>0</v>
      </c>
      <c r="E91" s="3138">
        <f t="shared" si="14"/>
        <v>0</v>
      </c>
      <c r="F91" s="3138">
        <f t="shared" si="14"/>
        <v>0</v>
      </c>
      <c r="G91" s="3139">
        <f t="shared" si="14"/>
        <v>0</v>
      </c>
      <c r="H91" s="3318">
        <f t="shared" si="14"/>
        <v>0</v>
      </c>
      <c r="I91" s="3138">
        <f t="shared" si="14"/>
        <v>0</v>
      </c>
      <c r="J91" s="3138">
        <f t="shared" si="14"/>
        <v>0</v>
      </c>
      <c r="K91" s="3138">
        <f t="shared" si="14"/>
        <v>0</v>
      </c>
      <c r="L91" s="3139">
        <f t="shared" si="14"/>
        <v>0</v>
      </c>
      <c r="U91" s="1266"/>
    </row>
    <row r="92" spans="2:21" ht="20.100000000000001" customHeight="1" outlineLevel="1">
      <c r="B92" s="3128" t="s">
        <v>1394</v>
      </c>
      <c r="C92" s="3129"/>
      <c r="D92" s="3129"/>
      <c r="E92" s="3129"/>
      <c r="F92" s="3129"/>
      <c r="G92" s="3129"/>
      <c r="H92" s="3129"/>
      <c r="I92" s="3129"/>
      <c r="J92" s="3129"/>
      <c r="K92" s="3129"/>
      <c r="L92" s="3130"/>
      <c r="U92" s="1266"/>
    </row>
    <row r="93" spans="2:21" ht="20.100000000000001" customHeight="1" outlineLevel="1">
      <c r="B93" s="3140" t="s">
        <v>1383</v>
      </c>
      <c r="C93" s="3124"/>
      <c r="D93" s="3125"/>
      <c r="E93" s="3125"/>
      <c r="F93" s="3125"/>
      <c r="G93" s="3126"/>
      <c r="H93" s="3124"/>
      <c r="I93" s="3125"/>
      <c r="J93" s="3125"/>
      <c r="K93" s="3125"/>
      <c r="L93" s="3126"/>
      <c r="U93" s="1266"/>
    </row>
    <row r="94" spans="2:21" ht="20.100000000000001" customHeight="1" outlineLevel="1">
      <c r="B94" s="3140" t="s">
        <v>1384</v>
      </c>
      <c r="C94" s="3124"/>
      <c r="D94" s="3141"/>
      <c r="E94" s="3141"/>
      <c r="F94" s="3141"/>
      <c r="G94" s="3126"/>
      <c r="H94" s="3124"/>
      <c r="I94" s="3125"/>
      <c r="J94" s="3125"/>
      <c r="K94" s="3125"/>
      <c r="L94" s="3126"/>
      <c r="U94" s="1266"/>
    </row>
    <row r="95" spans="2:21" ht="20.100000000000001" customHeight="1" outlineLevel="1">
      <c r="B95" s="3140" t="s">
        <v>1385</v>
      </c>
      <c r="C95" s="3124"/>
      <c r="D95" s="3141"/>
      <c r="E95" s="3141"/>
      <c r="F95" s="3141"/>
      <c r="G95" s="3126"/>
      <c r="H95" s="3124"/>
      <c r="I95" s="3125"/>
      <c r="J95" s="3125"/>
      <c r="K95" s="3125"/>
      <c r="L95" s="3126"/>
      <c r="U95" s="1266"/>
    </row>
    <row r="96" spans="2:21" ht="20.100000000000001" customHeight="1" outlineLevel="1">
      <c r="B96" s="3140" t="s">
        <v>1386</v>
      </c>
      <c r="C96" s="3124"/>
      <c r="D96" s="3141"/>
      <c r="E96" s="3141"/>
      <c r="F96" s="3141"/>
      <c r="G96" s="3126"/>
      <c r="H96" s="3124"/>
      <c r="I96" s="3125"/>
      <c r="J96" s="3125"/>
      <c r="K96" s="3125"/>
      <c r="L96" s="3126"/>
      <c r="U96" s="1266"/>
    </row>
    <row r="97" spans="2:28" ht="20.100000000000001" customHeight="1" outlineLevel="1" thickBot="1">
      <c r="B97" s="3142" t="s">
        <v>49</v>
      </c>
      <c r="C97" s="3143">
        <f t="shared" ref="C97:L97" si="15">SUM(C93:C96)</f>
        <v>0</v>
      </c>
      <c r="D97" s="3144">
        <f t="shared" si="15"/>
        <v>0</v>
      </c>
      <c r="E97" s="3144">
        <f t="shared" si="15"/>
        <v>0</v>
      </c>
      <c r="F97" s="3144">
        <f t="shared" si="15"/>
        <v>0</v>
      </c>
      <c r="G97" s="3145">
        <f t="shared" si="15"/>
        <v>0</v>
      </c>
      <c r="H97" s="3143">
        <f t="shared" si="15"/>
        <v>0</v>
      </c>
      <c r="I97" s="3144">
        <f t="shared" si="15"/>
        <v>0</v>
      </c>
      <c r="J97" s="3144">
        <f t="shared" si="15"/>
        <v>0</v>
      </c>
      <c r="K97" s="3144">
        <f t="shared" si="15"/>
        <v>0</v>
      </c>
      <c r="L97" s="3145">
        <f t="shared" si="15"/>
        <v>0</v>
      </c>
      <c r="U97" s="1266"/>
    </row>
    <row r="98" spans="2:28" ht="20.100000000000001" customHeight="1" outlineLevel="1" thickBot="1">
      <c r="B98" s="3146" t="s">
        <v>1389</v>
      </c>
      <c r="C98" s="3147">
        <f t="shared" ref="C98:L98" si="16">C91+C97</f>
        <v>0</v>
      </c>
      <c r="D98" s="3148">
        <f t="shared" si="16"/>
        <v>0</v>
      </c>
      <c r="E98" s="3148">
        <f t="shared" si="16"/>
        <v>0</v>
      </c>
      <c r="F98" s="3148">
        <f t="shared" si="16"/>
        <v>0</v>
      </c>
      <c r="G98" s="3149">
        <f t="shared" si="16"/>
        <v>0</v>
      </c>
      <c r="H98" s="3147">
        <f t="shared" si="16"/>
        <v>0</v>
      </c>
      <c r="I98" s="3148">
        <f t="shared" si="16"/>
        <v>0</v>
      </c>
      <c r="J98" s="3148">
        <f t="shared" si="16"/>
        <v>0</v>
      </c>
      <c r="K98" s="3148">
        <f t="shared" si="16"/>
        <v>0</v>
      </c>
      <c r="L98" s="3149">
        <f t="shared" si="16"/>
        <v>0</v>
      </c>
      <c r="U98" s="1266"/>
    </row>
    <row r="99" spans="2:28" ht="41.25" customHeight="1" thickBot="1">
      <c r="B99" s="3174" t="s">
        <v>127</v>
      </c>
      <c r="C99" s="3120"/>
      <c r="D99" s="3121"/>
      <c r="E99" s="3121"/>
      <c r="F99" s="3121"/>
      <c r="G99" s="3121"/>
      <c r="H99" s="3121"/>
      <c r="I99" s="3121"/>
      <c r="J99" s="3121"/>
      <c r="K99" s="3121"/>
      <c r="L99" s="3122"/>
      <c r="U99" s="1266"/>
    </row>
    <row r="100" spans="2:28" ht="37.5" customHeight="1">
      <c r="B100" s="136"/>
      <c r="C100" s="118"/>
      <c r="D100" s="118"/>
      <c r="E100" s="118"/>
      <c r="F100" s="118"/>
      <c r="G100" s="118"/>
      <c r="H100" s="118"/>
      <c r="I100" s="839"/>
      <c r="J100" s="839"/>
      <c r="K100" s="839"/>
      <c r="L100" s="839"/>
      <c r="M100" s="1268"/>
      <c r="N100" s="1268"/>
      <c r="O100" s="1268"/>
      <c r="P100" s="1268"/>
      <c r="Q100" s="1268"/>
      <c r="U100" s="1266"/>
    </row>
    <row r="101" spans="2:28" ht="38.25" customHeight="1">
      <c r="C101" s="3111"/>
      <c r="D101" s="3111"/>
      <c r="E101" s="3111"/>
      <c r="F101" s="3111"/>
      <c r="G101" s="3111"/>
      <c r="H101" s="3111"/>
      <c r="I101" s="3111"/>
      <c r="J101" s="3111"/>
      <c r="K101" s="3111"/>
      <c r="L101" s="3111"/>
      <c r="M101" s="3111"/>
      <c r="N101" s="3111"/>
      <c r="O101" s="3111"/>
      <c r="P101" s="3111"/>
      <c r="Q101" s="3111"/>
      <c r="AA101" s="1272"/>
      <c r="AB101" s="1272"/>
    </row>
    <row r="102" spans="2:28" ht="20.100000000000001" customHeight="1">
      <c r="C102" s="3111"/>
      <c r="D102" s="3111"/>
      <c r="E102" s="3111"/>
      <c r="F102" s="3111"/>
      <c r="G102" s="3111"/>
      <c r="H102" s="3111"/>
      <c r="I102" s="3111"/>
      <c r="J102" s="3111"/>
      <c r="K102" s="3111"/>
      <c r="L102" s="3111"/>
      <c r="M102" s="3111"/>
      <c r="N102" s="3111"/>
      <c r="O102" s="3111"/>
      <c r="P102" s="3111"/>
      <c r="Q102" s="3111"/>
      <c r="AA102" s="1272"/>
      <c r="AB102" s="1272"/>
    </row>
    <row r="103" spans="2:28" ht="20.100000000000001" customHeight="1">
      <c r="C103" s="3111"/>
      <c r="D103" s="3111"/>
      <c r="E103" s="3111"/>
      <c r="F103" s="3111"/>
      <c r="G103" s="3111"/>
      <c r="H103" s="3111"/>
      <c r="I103" s="3111"/>
      <c r="J103" s="3111"/>
      <c r="K103" s="3111"/>
      <c r="L103" s="3111"/>
      <c r="M103" s="3111"/>
      <c r="N103" s="3111"/>
      <c r="O103" s="3111"/>
      <c r="P103" s="3111"/>
      <c r="Q103" s="3111"/>
    </row>
    <row r="104" spans="2:28" ht="20.100000000000001" customHeight="1">
      <c r="C104" s="3111"/>
      <c r="D104" s="3111"/>
      <c r="E104" s="3111"/>
      <c r="F104" s="3111"/>
      <c r="G104" s="3111"/>
      <c r="H104" s="3111"/>
      <c r="I104" s="3111"/>
      <c r="J104" s="3111"/>
      <c r="K104" s="3111"/>
      <c r="L104" s="3111"/>
      <c r="M104" s="3111"/>
      <c r="N104" s="3111"/>
      <c r="O104" s="3111"/>
      <c r="P104" s="3111"/>
      <c r="Q104" s="3111"/>
    </row>
    <row r="105" spans="2:28" ht="20.100000000000001" customHeight="1">
      <c r="C105" s="3111"/>
      <c r="D105" s="3111"/>
      <c r="E105" s="3111"/>
      <c r="F105" s="3111"/>
      <c r="G105" s="3111"/>
      <c r="H105" s="3111"/>
      <c r="I105" s="3111"/>
      <c r="J105" s="3111"/>
      <c r="K105" s="3111"/>
      <c r="L105" s="3111"/>
      <c r="M105" s="3111"/>
      <c r="N105" s="3111"/>
      <c r="O105" s="3111"/>
      <c r="P105" s="3111"/>
      <c r="Q105" s="3111"/>
    </row>
    <row r="106" spans="2:28" ht="20.100000000000001" customHeight="1">
      <c r="C106" s="3111"/>
      <c r="D106" s="3111"/>
      <c r="E106" s="3111"/>
      <c r="F106" s="3111"/>
      <c r="G106" s="3111"/>
      <c r="H106" s="3111"/>
      <c r="I106" s="3111"/>
      <c r="J106" s="3111"/>
      <c r="K106" s="3111"/>
      <c r="L106" s="3111"/>
      <c r="M106" s="3111"/>
      <c r="N106" s="3111"/>
      <c r="O106" s="3111"/>
      <c r="P106" s="3111"/>
      <c r="Q106" s="3111"/>
    </row>
    <row r="107" spans="2:28" ht="20.100000000000001" customHeight="1">
      <c r="C107" s="3111"/>
      <c r="D107" s="3111"/>
      <c r="E107" s="3111"/>
      <c r="F107" s="3111"/>
      <c r="G107" s="3111"/>
      <c r="H107" s="3111"/>
      <c r="I107" s="3111"/>
      <c r="J107" s="3111"/>
      <c r="K107" s="3111"/>
      <c r="L107" s="3111"/>
      <c r="M107" s="3111"/>
      <c r="N107" s="3111"/>
      <c r="O107" s="3111"/>
      <c r="P107" s="3111"/>
      <c r="Q107" s="3111"/>
    </row>
    <row r="108" spans="2:28" ht="20.100000000000001" customHeight="1">
      <c r="C108" s="3111"/>
      <c r="D108" s="3111"/>
      <c r="E108" s="3111"/>
      <c r="F108" s="3111"/>
      <c r="G108" s="3111"/>
      <c r="H108" s="3111"/>
      <c r="I108" s="3111"/>
      <c r="J108" s="3111"/>
      <c r="K108" s="3111"/>
      <c r="L108" s="3111"/>
      <c r="M108" s="3111"/>
      <c r="N108" s="3111"/>
      <c r="O108" s="3111"/>
      <c r="P108" s="3111"/>
      <c r="Q108" s="3111"/>
    </row>
    <row r="109" spans="2:28" ht="20.100000000000001" customHeight="1">
      <c r="C109" s="3111"/>
      <c r="D109" s="3111"/>
      <c r="E109" s="3111"/>
      <c r="F109" s="3111"/>
      <c r="G109" s="3111"/>
      <c r="H109" s="3111"/>
      <c r="I109" s="3111"/>
      <c r="J109" s="3111"/>
      <c r="K109" s="3111"/>
      <c r="L109" s="3111"/>
      <c r="M109" s="3111"/>
      <c r="N109" s="3111"/>
      <c r="O109" s="3111"/>
      <c r="P109" s="3111"/>
      <c r="Q109" s="3111"/>
    </row>
    <row r="110" spans="2:28" ht="20.100000000000001" customHeight="1">
      <c r="C110" s="3111"/>
      <c r="D110" s="3111"/>
      <c r="E110" s="3111"/>
      <c r="F110" s="3111"/>
      <c r="G110" s="3111"/>
      <c r="H110" s="3111"/>
      <c r="I110" s="3111"/>
      <c r="J110" s="3111"/>
      <c r="K110" s="3111"/>
      <c r="L110" s="3111"/>
      <c r="M110" s="3111"/>
      <c r="N110" s="3111"/>
      <c r="O110" s="3111"/>
      <c r="P110" s="3111"/>
      <c r="Q110" s="3111"/>
    </row>
    <row r="111" spans="2:28" ht="20.100000000000001" customHeight="1">
      <c r="C111" s="3111"/>
      <c r="D111" s="3111"/>
      <c r="E111" s="3111"/>
      <c r="F111" s="3111"/>
      <c r="G111" s="3111"/>
      <c r="H111" s="3111"/>
      <c r="I111" s="3111"/>
      <c r="J111" s="3111"/>
      <c r="K111" s="3111"/>
      <c r="L111" s="3111"/>
      <c r="M111" s="3111"/>
      <c r="N111" s="3111"/>
      <c r="O111" s="3111"/>
      <c r="P111" s="3111"/>
      <c r="Q111" s="3111"/>
    </row>
    <row r="112" spans="2:28" ht="20.100000000000001" customHeight="1">
      <c r="C112" s="3111"/>
      <c r="D112" s="3111"/>
      <c r="E112" s="3111"/>
      <c r="F112" s="3111"/>
      <c r="G112" s="3111"/>
      <c r="H112" s="3111"/>
      <c r="I112" s="3111"/>
      <c r="J112" s="3111"/>
      <c r="K112" s="3111"/>
      <c r="L112" s="3111"/>
      <c r="M112" s="3111"/>
      <c r="N112" s="3111"/>
      <c r="O112" s="3111"/>
      <c r="P112" s="3111"/>
      <c r="Q112" s="3111"/>
    </row>
    <row r="113" spans="3:17" ht="20.100000000000001" customHeight="1">
      <c r="C113" s="3111"/>
      <c r="D113" s="3111"/>
      <c r="E113" s="3111"/>
      <c r="F113" s="3111"/>
      <c r="G113" s="3111"/>
      <c r="H113" s="3111"/>
      <c r="I113" s="3111"/>
      <c r="J113" s="3111"/>
      <c r="K113" s="3111"/>
      <c r="L113" s="3111"/>
      <c r="M113" s="3111"/>
      <c r="N113" s="3111"/>
      <c r="O113" s="3111"/>
      <c r="P113" s="3111"/>
      <c r="Q113" s="3111"/>
    </row>
    <row r="114" spans="3:17" ht="20.100000000000001" customHeight="1">
      <c r="C114" s="3111"/>
      <c r="D114" s="3111"/>
      <c r="E114" s="3111"/>
      <c r="F114" s="3111"/>
      <c r="G114" s="3111"/>
      <c r="H114" s="3111"/>
      <c r="I114" s="3111"/>
      <c r="J114" s="3111"/>
      <c r="K114" s="3111"/>
      <c r="L114" s="3111"/>
      <c r="M114" s="3111"/>
      <c r="N114" s="3111"/>
      <c r="O114" s="3111"/>
      <c r="P114" s="3111"/>
      <c r="Q114" s="3111"/>
    </row>
  </sheetData>
  <mergeCells count="18">
    <mergeCell ref="C57:Q57"/>
    <mergeCell ref="B59:B62"/>
    <mergeCell ref="C59:G59"/>
    <mergeCell ref="H59:L59"/>
    <mergeCell ref="C60:L60"/>
    <mergeCell ref="C61:L61"/>
    <mergeCell ref="U16:Y16"/>
    <mergeCell ref="Z16:AB16"/>
    <mergeCell ref="U17:AB17"/>
    <mergeCell ref="U18:AB18"/>
    <mergeCell ref="B16:B19"/>
    <mergeCell ref="C16:G16"/>
    <mergeCell ref="H16:L16"/>
    <mergeCell ref="M16:Q16"/>
    <mergeCell ref="C17:J17"/>
    <mergeCell ref="K17:Q17"/>
    <mergeCell ref="C18:J18"/>
    <mergeCell ref="K18:Q18"/>
  </mergeCells>
  <pageMargins left="0.75" right="0.75" top="1" bottom="1" header="0.5" footer="0.5"/>
  <pageSetup paperSize="9" orientation="portrait" r:id="rId1"/>
  <headerFooter alignWithMargins="0"/>
  <customProperties>
    <customPr name="layoutContexts" r:id="rId2"/>
    <customPr name="SaveUndoMode" r:id="rId3"/>
  </customProperties>
  <drawing r:id="rId4"/>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tabColor theme="5" tint="-0.249977111117893"/>
    <pageSetUpPr autoPageBreaks="0"/>
  </sheetPr>
  <dimension ref="A1:AE63"/>
  <sheetViews>
    <sheetView showGridLines="0" zoomScale="85" zoomScaleNormal="85" workbookViewId="0">
      <selection activeCell="J59" sqref="J59"/>
    </sheetView>
  </sheetViews>
  <sheetFormatPr defaultColWidth="9.140625" defaultRowHeight="12.75"/>
  <cols>
    <col min="1" max="1" width="13.42578125" style="94" customWidth="1"/>
    <col min="2" max="2" width="66.85546875" style="76" customWidth="1"/>
    <col min="3" max="3" width="17.7109375" style="94" customWidth="1"/>
    <col min="4" max="8" width="15.7109375" style="94" customWidth="1"/>
    <col min="9" max="9" width="15.7109375" customWidth="1"/>
    <col min="10" max="11" width="17.7109375" customWidth="1"/>
    <col min="12" max="14" width="15.7109375" customWidth="1"/>
    <col min="15" max="16" width="17.7109375" customWidth="1"/>
    <col min="17" max="18" width="11.5703125" bestFit="1" customWidth="1"/>
    <col min="19" max="22" width="8.7109375"/>
    <col min="23" max="23" width="15.28515625" customWidth="1"/>
    <col min="24" max="30" width="8.7109375" customWidth="1"/>
    <col min="31" max="16384" width="9.140625" style="94"/>
  </cols>
  <sheetData>
    <row r="1" spans="1:30" s="217" customFormat="1" ht="24.95" customHeight="1">
      <c r="B1" s="2272" t="str">
        <f>IF(dms_DataQuality="backcast",INDEX(dms_Worksheet_List,MATCH(dms_Model,dms_Model_List))&amp;" BACKCAST",INDEX(dms_Worksheet_List,MATCH(dms_Model,dms_Model_List)))</f>
        <v>REGULATORY REPORTING STATEMENT</v>
      </c>
      <c r="C1" s="518"/>
      <c r="D1" s="518"/>
      <c r="E1" s="518"/>
      <c r="F1" s="518"/>
      <c r="G1" s="518"/>
      <c r="H1" s="518"/>
      <c r="I1"/>
      <c r="J1"/>
      <c r="K1"/>
      <c r="L1"/>
      <c r="M1"/>
      <c r="N1"/>
      <c r="O1"/>
      <c r="P1"/>
      <c r="Q1"/>
      <c r="R1"/>
      <c r="S1"/>
      <c r="T1"/>
      <c r="U1"/>
      <c r="V1"/>
      <c r="W1"/>
      <c r="X1"/>
      <c r="Y1"/>
      <c r="Z1"/>
      <c r="AA1"/>
      <c r="AB1"/>
      <c r="AC1"/>
      <c r="AD1"/>
    </row>
    <row r="2" spans="1:30" s="217" customFormat="1" ht="24.95" customHeight="1">
      <c r="B2" s="2277" t="str">
        <f>INDEX(dms_TradingNameFull_List,MATCH(dms_TradingName,dms_TradingName_List))</f>
        <v>Multinet Gas (DB No.1) Pty Ltd (ACN 086 026 986), Multinet Gas (DB No.2) Pty Ltd (ACN 086 230 122)</v>
      </c>
      <c r="C2" s="220"/>
      <c r="D2" s="220"/>
      <c r="E2" s="220"/>
      <c r="F2" s="220"/>
      <c r="G2" s="220"/>
      <c r="H2" s="220"/>
      <c r="I2"/>
      <c r="J2"/>
      <c r="K2"/>
      <c r="L2"/>
      <c r="M2"/>
      <c r="N2"/>
      <c r="O2"/>
      <c r="P2"/>
      <c r="Q2"/>
      <c r="R2"/>
      <c r="S2"/>
      <c r="T2"/>
      <c r="U2"/>
      <c r="V2"/>
      <c r="W2"/>
      <c r="X2"/>
      <c r="Y2"/>
      <c r="Z2"/>
      <c r="AA2"/>
      <c r="AB2"/>
      <c r="AC2"/>
      <c r="AD2"/>
    </row>
    <row r="3" spans="1:30" s="217" customFormat="1" ht="24.95" customHeight="1">
      <c r="B3" s="2277" t="str">
        <f ca="1">IF(SUM(dms_SingleYear_Model)&gt;0,CRY,CONCATENATE(FRCP_y1," to ",dms_MultiYear_FinalYear_Result))</f>
        <v>2018 to 2022</v>
      </c>
      <c r="C3" s="221"/>
      <c r="D3" s="221"/>
      <c r="E3" s="221"/>
      <c r="F3" s="221"/>
      <c r="G3" s="221"/>
      <c r="H3" s="221"/>
      <c r="I3"/>
      <c r="J3"/>
      <c r="K3"/>
      <c r="L3"/>
      <c r="M3"/>
      <c r="N3"/>
      <c r="O3"/>
      <c r="P3"/>
      <c r="Q3"/>
      <c r="R3"/>
      <c r="S3"/>
      <c r="T3"/>
      <c r="U3"/>
      <c r="V3"/>
      <c r="W3"/>
      <c r="X3"/>
      <c r="Y3"/>
      <c r="Z3"/>
      <c r="AA3"/>
      <c r="AB3"/>
      <c r="AC3"/>
      <c r="AD3"/>
    </row>
    <row r="4" spans="1:30" s="159" customFormat="1" ht="24" customHeight="1">
      <c r="B4" s="10" t="s">
        <v>485</v>
      </c>
      <c r="C4" s="12"/>
      <c r="D4" s="12"/>
      <c r="E4" s="12"/>
      <c r="F4" s="12"/>
      <c r="G4" s="12"/>
      <c r="H4" s="12"/>
      <c r="I4"/>
      <c r="J4"/>
      <c r="K4"/>
      <c r="L4"/>
      <c r="M4"/>
      <c r="N4"/>
      <c r="O4"/>
      <c r="P4"/>
      <c r="Q4"/>
      <c r="R4"/>
      <c r="S4"/>
      <c r="T4"/>
      <c r="U4"/>
      <c r="V4"/>
      <c r="W4"/>
      <c r="X4"/>
      <c r="Y4"/>
      <c r="Z4"/>
      <c r="AA4"/>
      <c r="AB4"/>
      <c r="AC4"/>
      <c r="AD4"/>
    </row>
    <row r="5" spans="1:30" customFormat="1" ht="12.75" customHeight="1">
      <c r="A5" s="282"/>
      <c r="B5" s="282"/>
      <c r="C5" s="282"/>
      <c r="D5" s="282"/>
      <c r="E5" s="282"/>
      <c r="F5" s="282"/>
      <c r="G5" s="282"/>
      <c r="H5" s="282"/>
    </row>
    <row r="6" spans="1:30" customFormat="1" ht="12.75" customHeight="1">
      <c r="A6" s="282"/>
      <c r="B6" s="282"/>
      <c r="C6" s="282"/>
      <c r="D6" s="282"/>
      <c r="E6" s="282"/>
      <c r="F6" s="282"/>
      <c r="G6" s="282"/>
      <c r="H6" s="282"/>
    </row>
    <row r="7" spans="1:30" s="95" customFormat="1" ht="12.75" customHeight="1">
      <c r="A7" s="725"/>
      <c r="B7" s="831"/>
      <c r="C7" s="831"/>
      <c r="D7" s="831"/>
      <c r="E7" s="831"/>
      <c r="F7" s="831"/>
      <c r="G7" s="831"/>
      <c r="H7" s="831"/>
      <c r="I7"/>
      <c r="J7"/>
      <c r="K7"/>
      <c r="L7"/>
      <c r="M7"/>
      <c r="N7"/>
      <c r="O7"/>
      <c r="P7"/>
      <c r="Q7"/>
      <c r="R7"/>
      <c r="S7"/>
      <c r="T7"/>
      <c r="U7"/>
      <c r="V7"/>
      <c r="W7"/>
      <c r="X7"/>
      <c r="Y7"/>
      <c r="Z7"/>
      <c r="AA7"/>
      <c r="AB7"/>
      <c r="AC7"/>
      <c r="AD7"/>
    </row>
    <row r="8" spans="1:30" s="95" customFormat="1" ht="12.75" customHeight="1">
      <c r="A8" s="725"/>
      <c r="B8" s="2922" t="s">
        <v>61</v>
      </c>
      <c r="C8" s="2922"/>
      <c r="D8" s="831"/>
      <c r="E8" s="831"/>
      <c r="F8" s="831"/>
      <c r="G8" s="831"/>
      <c r="H8" s="831"/>
      <c r="I8"/>
      <c r="J8"/>
      <c r="K8"/>
      <c r="L8"/>
      <c r="M8"/>
      <c r="N8"/>
      <c r="O8"/>
      <c r="P8"/>
      <c r="Q8"/>
      <c r="R8"/>
      <c r="S8"/>
      <c r="T8"/>
      <c r="U8"/>
      <c r="V8"/>
      <c r="W8"/>
      <c r="X8"/>
      <c r="Y8"/>
      <c r="Z8"/>
      <c r="AA8"/>
      <c r="AB8"/>
      <c r="AC8"/>
      <c r="AD8"/>
    </row>
    <row r="9" spans="1:30" s="1366" customFormat="1" ht="35.25" customHeight="1">
      <c r="A9" s="1010"/>
      <c r="B9" s="2923" t="str">
        <f>CONCATENATE("This template asks for information relating to a base-step-trend approach to forecasting ",dms_TradingName, "'s operating expenditure.")</f>
        <v>This template asks for information relating to a base-step-trend approach to forecasting Multinet Gas's operating expenditure.</v>
      </c>
      <c r="C9" s="2923"/>
      <c r="D9" s="1365"/>
      <c r="E9" s="1365"/>
      <c r="F9" s="1365"/>
      <c r="G9" s="1365"/>
      <c r="H9" s="1365"/>
      <c r="I9" s="1013"/>
      <c r="J9" s="1013"/>
      <c r="K9" s="1013"/>
      <c r="L9" s="1013"/>
      <c r="M9" s="1013"/>
      <c r="N9" s="1013"/>
      <c r="O9" s="1013"/>
      <c r="P9" s="1013"/>
      <c r="Q9" s="1013"/>
      <c r="R9" s="1013"/>
      <c r="S9" s="1013"/>
      <c r="T9" s="1013"/>
      <c r="U9" s="1013"/>
      <c r="V9" s="1013"/>
      <c r="W9" s="1013"/>
      <c r="X9" s="1013"/>
      <c r="Y9" s="1013"/>
      <c r="Z9" s="1013"/>
      <c r="AA9" s="1013"/>
      <c r="AB9" s="1013"/>
      <c r="AC9" s="1013"/>
      <c r="AD9" s="1013"/>
    </row>
    <row r="10" spans="1:30" s="1366" customFormat="1" ht="40.5" customHeight="1">
      <c r="A10" s="829"/>
      <c r="B10" s="2923" t="s">
        <v>474</v>
      </c>
      <c r="C10" s="2923"/>
      <c r="D10" s="1365"/>
      <c r="E10" s="1365"/>
      <c r="F10" s="1365"/>
      <c r="G10" s="1365"/>
      <c r="H10" s="1365"/>
      <c r="I10" s="1013"/>
      <c r="J10" s="1013"/>
      <c r="K10" s="1013"/>
      <c r="L10" s="1013"/>
      <c r="M10" s="1013"/>
      <c r="N10" s="1013"/>
      <c r="O10" s="1013"/>
      <c r="P10" s="1013"/>
      <c r="Q10" s="1013"/>
      <c r="R10" s="1013"/>
      <c r="S10" s="1013"/>
      <c r="T10" s="1013"/>
      <c r="U10" s="1013"/>
      <c r="V10" s="1013"/>
      <c r="W10" s="1013"/>
      <c r="X10" s="1013"/>
      <c r="Y10" s="1013"/>
      <c r="Z10" s="1013"/>
      <c r="AA10" s="1013"/>
      <c r="AB10" s="1013"/>
      <c r="AC10" s="1013"/>
      <c r="AD10" s="1013"/>
    </row>
    <row r="11" spans="1:30" s="1366" customFormat="1" ht="13.5" customHeight="1">
      <c r="A11" s="829"/>
      <c r="B11" s="2923" t="s">
        <v>83</v>
      </c>
      <c r="C11" s="2923"/>
      <c r="D11" s="1365"/>
      <c r="E11" s="1365"/>
      <c r="F11" s="1365"/>
      <c r="G11" s="1365"/>
      <c r="H11" s="1365"/>
      <c r="I11" s="1013"/>
      <c r="J11" s="1013"/>
      <c r="K11" s="1013"/>
      <c r="L11" s="1013"/>
      <c r="M11" s="1013"/>
      <c r="N11" s="1013"/>
      <c r="O11" s="1013"/>
      <c r="P11" s="1013"/>
      <c r="Q11" s="1013"/>
      <c r="R11" s="1013"/>
      <c r="S11" s="1013"/>
      <c r="T11" s="1013"/>
      <c r="U11" s="1013"/>
      <c r="V11" s="1013"/>
      <c r="W11" s="1013"/>
      <c r="X11" s="1013"/>
      <c r="Y11" s="1013"/>
      <c r="Z11" s="1013"/>
      <c r="AA11" s="1013"/>
      <c r="AB11" s="1013"/>
      <c r="AC11" s="1013"/>
      <c r="AD11" s="1013"/>
    </row>
    <row r="12" spans="1:30" s="95" customFormat="1" ht="14.25" customHeight="1">
      <c r="A12" s="775"/>
      <c r="B12" s="775"/>
      <c r="C12" s="775"/>
      <c r="D12" s="775"/>
      <c r="E12" s="775"/>
      <c r="F12" s="775"/>
      <c r="G12" s="775"/>
      <c r="H12" s="775"/>
      <c r="I12"/>
      <c r="J12"/>
      <c r="K12"/>
      <c r="L12"/>
      <c r="M12"/>
      <c r="N12"/>
      <c r="O12"/>
      <c r="P12"/>
      <c r="Q12"/>
      <c r="R12"/>
      <c r="S12"/>
      <c r="T12"/>
      <c r="U12"/>
      <c r="V12"/>
      <c r="W12"/>
      <c r="X12"/>
      <c r="Y12"/>
      <c r="Z12"/>
      <c r="AA12"/>
      <c r="AB12"/>
      <c r="AC12"/>
      <c r="AD12"/>
    </row>
    <row r="13" spans="1:30" s="69" customFormat="1" ht="37.5" customHeight="1" thickBot="1">
      <c r="A13" s="392"/>
      <c r="C13" s="392"/>
      <c r="D13" s="392"/>
      <c r="E13" s="392"/>
      <c r="F13" s="392"/>
      <c r="G13" s="392"/>
      <c r="H13" s="392"/>
      <c r="I13"/>
      <c r="J13"/>
      <c r="K13"/>
      <c r="L13"/>
      <c r="M13"/>
      <c r="N13"/>
      <c r="O13"/>
      <c r="P13"/>
      <c r="Q13"/>
      <c r="R13"/>
      <c r="S13"/>
      <c r="T13"/>
      <c r="U13"/>
      <c r="V13"/>
      <c r="W13"/>
      <c r="X13"/>
      <c r="Y13"/>
      <c r="Z13"/>
      <c r="AA13"/>
      <c r="AB13"/>
      <c r="AC13"/>
      <c r="AD13"/>
    </row>
    <row r="14" spans="1:30" s="1266" customFormat="1" ht="20.25" customHeight="1" thickBot="1">
      <c r="A14" s="1268"/>
      <c r="B14" s="833" t="s">
        <v>541</v>
      </c>
      <c r="C14" s="863"/>
      <c r="D14" s="863"/>
      <c r="E14" s="863"/>
      <c r="F14" s="863"/>
      <c r="G14" s="863"/>
      <c r="H14" s="864"/>
      <c r="I14" s="864"/>
    </row>
    <row r="15" spans="1:30" s="69" customFormat="1" ht="25.5" customHeight="1" thickBot="1">
      <c r="A15" s="392"/>
      <c r="B15" s="2873" t="s">
        <v>490</v>
      </c>
      <c r="C15" s="2874"/>
      <c r="D15" s="2874"/>
      <c r="E15" s="2874"/>
      <c r="F15" s="2874"/>
      <c r="G15" s="2874"/>
      <c r="H15" s="2874"/>
      <c r="I15" s="2910"/>
      <c r="J15"/>
      <c r="K15"/>
      <c r="L15"/>
      <c r="M15"/>
      <c r="N15"/>
      <c r="O15"/>
      <c r="P15"/>
      <c r="Q15"/>
      <c r="R15"/>
      <c r="S15"/>
      <c r="T15"/>
      <c r="U15"/>
      <c r="V15"/>
      <c r="W15"/>
      <c r="X15"/>
      <c r="Y15"/>
      <c r="Z15"/>
      <c r="AA15"/>
      <c r="AB15"/>
      <c r="AC15"/>
      <c r="AD15"/>
    </row>
    <row r="16" spans="1:30" ht="42" customHeight="1">
      <c r="A16" s="725"/>
      <c r="B16" s="4625"/>
      <c r="C16" s="4634" t="s">
        <v>37</v>
      </c>
      <c r="D16" s="4635"/>
      <c r="E16" s="4617" t="s">
        <v>75</v>
      </c>
      <c r="F16" s="4617"/>
      <c r="G16" s="4617"/>
      <c r="H16" s="4617"/>
      <c r="I16" s="4618"/>
    </row>
    <row r="17" spans="1:31" ht="12.75" customHeight="1">
      <c r="A17" s="725"/>
      <c r="B17" s="4626"/>
      <c r="C17" s="4628" t="str">
        <f>CONCATENATE("$0's, real ",dms_DollarReal)</f>
        <v>$0's, real December 2017</v>
      </c>
      <c r="D17" s="4629"/>
      <c r="E17" s="4629"/>
      <c r="F17" s="4629"/>
      <c r="G17" s="4629"/>
      <c r="H17" s="4629"/>
      <c r="I17" s="4630"/>
    </row>
    <row r="18" spans="1:31" ht="12.75" customHeight="1">
      <c r="A18" s="725"/>
      <c r="B18" s="4626"/>
      <c r="C18" s="4631" t="s">
        <v>57</v>
      </c>
      <c r="D18" s="4632"/>
      <c r="E18" s="4632"/>
      <c r="F18" s="4632"/>
      <c r="G18" s="4632"/>
      <c r="H18" s="4632"/>
      <c r="I18" s="4633"/>
    </row>
    <row r="19" spans="1:31" ht="13.5" customHeight="1" thickBot="1">
      <c r="A19" s="725"/>
      <c r="B19" s="4627"/>
      <c r="C19" s="2900">
        <v>2016</v>
      </c>
      <c r="D19" s="2901">
        <f>CRCP_y5</f>
        <v>2017</v>
      </c>
      <c r="E19" s="2902" t="str">
        <f t="array" ref="E19:I19">FRCP</f>
        <v>2018</v>
      </c>
      <c r="F19" s="2902">
        <v>2019</v>
      </c>
      <c r="G19" s="2902">
        <v>2020</v>
      </c>
      <c r="H19" s="2902">
        <v>2021</v>
      </c>
      <c r="I19" s="2903">
        <v>2022</v>
      </c>
    </row>
    <row r="20" spans="1:31">
      <c r="A20" s="725"/>
      <c r="B20" s="2904" t="s">
        <v>1439</v>
      </c>
      <c r="C20" s="3753">
        <v>69.599999999999994</v>
      </c>
      <c r="D20" s="3754">
        <v>71</v>
      </c>
      <c r="E20" s="3755">
        <v>70.974759004189835</v>
      </c>
      <c r="F20" s="3755">
        <v>70.974759004189835</v>
      </c>
      <c r="G20" s="3755">
        <v>70.974759004189835</v>
      </c>
      <c r="H20" s="3755">
        <v>70.974759004189835</v>
      </c>
      <c r="I20" s="3755">
        <v>70.974759004189835</v>
      </c>
    </row>
    <row r="21" spans="1:31">
      <c r="A21" s="725"/>
      <c r="B21" s="2904" t="s">
        <v>1440</v>
      </c>
      <c r="C21" s="2911"/>
      <c r="D21" s="2913"/>
      <c r="E21" s="3756">
        <v>0.41804133053467807</v>
      </c>
      <c r="F21" s="3756">
        <v>0.79428138829867312</v>
      </c>
      <c r="G21" s="3756">
        <v>1.3282430488187835</v>
      </c>
      <c r="H21" s="3756">
        <v>2.1127306210939234</v>
      </c>
      <c r="I21" s="3756">
        <v>3.0190154924474375</v>
      </c>
    </row>
    <row r="22" spans="1:31">
      <c r="A22" s="725"/>
      <c r="B22" s="2904" t="s">
        <v>475</v>
      </c>
      <c r="C22" s="2911"/>
      <c r="D22" s="2913"/>
      <c r="E22" s="3756">
        <v>0.46423489091950959</v>
      </c>
      <c r="F22" s="3756">
        <v>0.93967447211417177</v>
      </c>
      <c r="G22" s="3756">
        <v>1.4261259014922643</v>
      </c>
      <c r="H22" s="3756">
        <v>1.9174759737020293</v>
      </c>
      <c r="I22" s="3756">
        <v>2.4292930480517749</v>
      </c>
    </row>
    <row r="23" spans="1:31">
      <c r="A23" s="725"/>
      <c r="B23" s="2904" t="s">
        <v>476</v>
      </c>
      <c r="C23" s="2911"/>
      <c r="D23" s="2913"/>
      <c r="E23" s="2905">
        <v>0</v>
      </c>
      <c r="F23" s="2905">
        <v>0</v>
      </c>
      <c r="G23" s="2905">
        <v>0</v>
      </c>
      <c r="H23" s="2905">
        <v>0</v>
      </c>
      <c r="I23" s="2905">
        <v>0</v>
      </c>
    </row>
    <row r="24" spans="1:31">
      <c r="A24" s="725"/>
      <c r="B24" s="2904" t="s">
        <v>1441</v>
      </c>
      <c r="C24" s="2912"/>
      <c r="D24" s="2914"/>
      <c r="E24" s="3757">
        <v>0.64351152635054454</v>
      </c>
      <c r="F24" s="3757">
        <v>0.66900022261264092</v>
      </c>
      <c r="G24" s="3757">
        <v>0.6838896391510072</v>
      </c>
      <c r="H24" s="3757">
        <v>0.701184827316777</v>
      </c>
      <c r="I24" s="3757">
        <v>0.71705279346241801</v>
      </c>
    </row>
    <row r="25" spans="1:31" ht="13.5" thickBot="1">
      <c r="A25" s="725"/>
      <c r="B25" s="2904" t="s">
        <v>1442</v>
      </c>
      <c r="C25" s="2912"/>
      <c r="D25" s="2915"/>
      <c r="E25" s="2906">
        <v>4.6503698696877294</v>
      </c>
      <c r="F25" s="2906">
        <v>4.6503698696877294</v>
      </c>
      <c r="G25" s="2906">
        <v>4.6503698696877294</v>
      </c>
      <c r="H25" s="2906">
        <v>4.6503698696877294</v>
      </c>
      <c r="I25" s="2906">
        <v>4.6503698696877294</v>
      </c>
    </row>
    <row r="26" spans="1:31" ht="13.5" thickBot="1">
      <c r="B26" s="2907" t="s">
        <v>209</v>
      </c>
      <c r="C26" s="2916">
        <f t="shared" ref="C26:I26" si="0">SUM(C20:C25)</f>
        <v>69.599999999999994</v>
      </c>
      <c r="D26" s="2916">
        <f t="shared" si="0"/>
        <v>71</v>
      </c>
      <c r="E26" s="2908">
        <f t="shared" si="0"/>
        <v>77.150916621682313</v>
      </c>
      <c r="F26" s="2908">
        <f t="shared" si="0"/>
        <v>78.028084956903058</v>
      </c>
      <c r="G26" s="2908">
        <f t="shared" si="0"/>
        <v>79.063387463339609</v>
      </c>
      <c r="H26" s="2908">
        <f t="shared" si="0"/>
        <v>80.356520295990293</v>
      </c>
      <c r="I26" s="2909">
        <f t="shared" si="0"/>
        <v>81.790490207839184</v>
      </c>
    </row>
    <row r="27" spans="1:31" ht="13.5" thickBot="1"/>
    <row r="28" spans="1:31" ht="16.5" thickBot="1">
      <c r="B28" s="771" t="s">
        <v>1432</v>
      </c>
      <c r="C28" s="1368"/>
      <c r="D28" s="1368"/>
      <c r="E28" s="1368"/>
      <c r="F28" s="1368"/>
      <c r="G28" s="1368"/>
      <c r="H28" s="1369"/>
    </row>
    <row r="29" spans="1:31" ht="20.25">
      <c r="B29" s="844"/>
      <c r="C29" s="847"/>
      <c r="E29" s="4591" t="s">
        <v>75</v>
      </c>
      <c r="F29" s="4583"/>
      <c r="G29" s="4583"/>
      <c r="H29" s="4583"/>
      <c r="I29" s="4584"/>
      <c r="AE29"/>
    </row>
    <row r="30" spans="1:31">
      <c r="B30" s="845"/>
      <c r="C30" s="848"/>
      <c r="E30" s="4585" t="str">
        <f>CONCATENATE("$0's, real ",dms_DollarReal)</f>
        <v>$0's, real December 2017</v>
      </c>
      <c r="F30" s="4586"/>
      <c r="G30" s="4586"/>
      <c r="H30" s="4586"/>
      <c r="I30" s="4587"/>
      <c r="AE30"/>
    </row>
    <row r="31" spans="1:31">
      <c r="B31" s="845"/>
      <c r="C31" s="848"/>
      <c r="E31" s="4585" t="s">
        <v>57</v>
      </c>
      <c r="F31" s="4586"/>
      <c r="G31" s="4586"/>
      <c r="H31" s="4586"/>
      <c r="I31" s="4587"/>
      <c r="AE31"/>
    </row>
    <row r="32" spans="1:31" ht="21" thickBot="1">
      <c r="B32" s="846"/>
      <c r="C32" s="849"/>
      <c r="E32" s="375" t="str">
        <f t="array" ref="E32:I32">FRCP</f>
        <v>2018</v>
      </c>
      <c r="F32" s="374">
        <v>2019</v>
      </c>
      <c r="G32" s="374">
        <v>2020</v>
      </c>
      <c r="H32" s="374">
        <v>2021</v>
      </c>
      <c r="I32" s="470">
        <v>2022</v>
      </c>
      <c r="AE32"/>
    </row>
    <row r="33" spans="2:31">
      <c r="B33" s="305" t="s">
        <v>46</v>
      </c>
      <c r="C33" s="850" t="s">
        <v>20</v>
      </c>
      <c r="D33" s="149"/>
      <c r="E33" s="852"/>
      <c r="F33" s="837"/>
      <c r="G33" s="837"/>
      <c r="H33" s="837"/>
      <c r="I33" s="853"/>
      <c r="AE33"/>
    </row>
    <row r="34" spans="2:31">
      <c r="B34" s="834" t="s">
        <v>1690</v>
      </c>
      <c r="C34" s="1014" t="s">
        <v>11</v>
      </c>
      <c r="D34" s="149"/>
      <c r="E34" s="3758">
        <f>E25</f>
        <v>4.6503698696877294</v>
      </c>
      <c r="F34" s="3758">
        <f t="shared" ref="F34:I34" si="1">F25</f>
        <v>4.6503698696877294</v>
      </c>
      <c r="G34" s="3758">
        <f t="shared" si="1"/>
        <v>4.6503698696877294</v>
      </c>
      <c r="H34" s="3758">
        <f t="shared" si="1"/>
        <v>4.6503698696877294</v>
      </c>
      <c r="I34" s="3758">
        <f t="shared" si="1"/>
        <v>4.6503698696877294</v>
      </c>
      <c r="AE34"/>
    </row>
    <row r="35" spans="2:31">
      <c r="B35" s="834" t="s">
        <v>90</v>
      </c>
      <c r="C35" s="1014" t="s">
        <v>11</v>
      </c>
      <c r="D35" s="149"/>
      <c r="E35" s="854"/>
      <c r="F35" s="835"/>
      <c r="G35" s="835"/>
      <c r="H35" s="835"/>
      <c r="I35" s="855"/>
      <c r="AE35"/>
    </row>
    <row r="36" spans="2:31">
      <c r="B36" s="834" t="s">
        <v>90</v>
      </c>
      <c r="C36" s="1014" t="s">
        <v>11</v>
      </c>
      <c r="D36" s="149"/>
      <c r="E36" s="854"/>
      <c r="F36" s="835"/>
      <c r="G36" s="835"/>
      <c r="H36" s="835"/>
      <c r="I36" s="855"/>
      <c r="AE36"/>
    </row>
    <row r="37" spans="2:31">
      <c r="B37" s="834" t="s">
        <v>90</v>
      </c>
      <c r="C37" s="1014" t="s">
        <v>11</v>
      </c>
      <c r="D37" s="149"/>
      <c r="E37" s="854"/>
      <c r="F37" s="835"/>
      <c r="G37" s="835"/>
      <c r="H37" s="835"/>
      <c r="I37" s="855"/>
      <c r="AE37"/>
    </row>
    <row r="38" spans="2:31">
      <c r="B38" s="834" t="s">
        <v>90</v>
      </c>
      <c r="C38" s="1014" t="s">
        <v>11</v>
      </c>
      <c r="D38" s="149"/>
      <c r="E38" s="854"/>
      <c r="F38" s="835"/>
      <c r="G38" s="835"/>
      <c r="H38" s="835"/>
      <c r="I38" s="855"/>
      <c r="AE38"/>
    </row>
    <row r="39" spans="2:31">
      <c r="B39" s="834" t="s">
        <v>90</v>
      </c>
      <c r="C39" s="1014" t="s">
        <v>11</v>
      </c>
      <c r="D39" s="149"/>
      <c r="E39" s="854"/>
      <c r="F39" s="835"/>
      <c r="G39" s="835"/>
      <c r="H39" s="835"/>
      <c r="I39" s="855"/>
      <c r="AE39"/>
    </row>
    <row r="40" spans="2:31">
      <c r="B40" s="834" t="s">
        <v>90</v>
      </c>
      <c r="C40" s="1014" t="s">
        <v>11</v>
      </c>
      <c r="D40" s="149"/>
      <c r="E40" s="854"/>
      <c r="F40" s="835"/>
      <c r="G40" s="835"/>
      <c r="H40" s="835"/>
      <c r="I40" s="855"/>
      <c r="AE40"/>
    </row>
    <row r="41" spans="2:31">
      <c r="B41" s="834" t="s">
        <v>90</v>
      </c>
      <c r="C41" s="1014" t="s">
        <v>11</v>
      </c>
      <c r="D41" s="149"/>
      <c r="E41" s="854"/>
      <c r="F41" s="835"/>
      <c r="G41" s="835"/>
      <c r="H41" s="835"/>
      <c r="I41" s="855"/>
      <c r="AE41"/>
    </row>
    <row r="42" spans="2:31">
      <c r="B42" s="834" t="s">
        <v>90</v>
      </c>
      <c r="C42" s="1014" t="s">
        <v>11</v>
      </c>
      <c r="D42" s="149"/>
      <c r="E42" s="854"/>
      <c r="F42" s="835"/>
      <c r="G42" s="835"/>
      <c r="H42" s="835"/>
      <c r="I42" s="855"/>
      <c r="AE42"/>
    </row>
    <row r="43" spans="2:31">
      <c r="B43" s="834" t="s">
        <v>90</v>
      </c>
      <c r="C43" s="1014" t="s">
        <v>11</v>
      </c>
      <c r="D43" s="149"/>
      <c r="E43" s="854"/>
      <c r="F43" s="835"/>
      <c r="G43" s="835"/>
      <c r="H43" s="835"/>
      <c r="I43" s="855"/>
      <c r="AE43"/>
    </row>
    <row r="44" spans="2:31">
      <c r="B44" s="834" t="s">
        <v>90</v>
      </c>
      <c r="C44" s="1014" t="s">
        <v>11</v>
      </c>
      <c r="D44" s="149"/>
      <c r="E44" s="854"/>
      <c r="F44" s="835"/>
      <c r="G44" s="835"/>
      <c r="H44" s="835"/>
      <c r="I44" s="855"/>
      <c r="AE44"/>
    </row>
    <row r="45" spans="2:31">
      <c r="B45" s="834" t="s">
        <v>90</v>
      </c>
      <c r="C45" s="1014" t="s">
        <v>11</v>
      </c>
      <c r="D45" s="149"/>
      <c r="E45" s="854"/>
      <c r="F45" s="835"/>
      <c r="G45" s="835"/>
      <c r="H45" s="835"/>
      <c r="I45" s="855"/>
      <c r="AE45"/>
    </row>
    <row r="46" spans="2:31" ht="13.5" thickBot="1">
      <c r="B46" s="857" t="s">
        <v>47</v>
      </c>
      <c r="C46" s="856"/>
      <c r="D46" s="149"/>
      <c r="E46" s="841">
        <f>SUM(E34:E45)</f>
        <v>4.6503698696877294</v>
      </c>
      <c r="F46" s="842">
        <f>SUM(F34:F45)</f>
        <v>4.6503698696877294</v>
      </c>
      <c r="G46" s="842">
        <f>SUM(G34:G45)</f>
        <v>4.6503698696877294</v>
      </c>
      <c r="H46" s="842">
        <f>SUM(H34:H45)</f>
        <v>4.6503698696877294</v>
      </c>
      <c r="I46" s="843">
        <f>SUM(I34:I45)</f>
        <v>4.6503698696877294</v>
      </c>
      <c r="AE46"/>
    </row>
    <row r="47" spans="2:31" ht="13.5" thickBot="1">
      <c r="B47" s="1563" t="s">
        <v>127</v>
      </c>
      <c r="C47" s="2872"/>
      <c r="D47" s="858"/>
      <c r="E47" s="4486"/>
      <c r="F47" s="4486"/>
      <c r="G47" s="4486"/>
      <c r="H47" s="4486"/>
      <c r="I47" s="4487"/>
      <c r="AE47"/>
    </row>
    <row r="48" spans="2:31" ht="13.5" thickBot="1"/>
    <row r="49" spans="2:9" ht="16.5" thickBot="1">
      <c r="B49" s="2873" t="s">
        <v>1433</v>
      </c>
      <c r="C49" s="2874"/>
      <c r="D49" s="2875"/>
      <c r="E49" s="2875"/>
      <c r="F49" s="2875"/>
      <c r="G49" s="2875"/>
      <c r="H49" s="2875"/>
      <c r="I49" s="2876"/>
    </row>
    <row r="50" spans="2:9" ht="20.25">
      <c r="B50" s="3759" t="s">
        <v>1691</v>
      </c>
      <c r="C50" s="2877"/>
      <c r="D50" s="2878"/>
      <c r="E50" s="4616" t="s">
        <v>75</v>
      </c>
      <c r="F50" s="4617"/>
      <c r="G50" s="4617"/>
      <c r="H50" s="4617"/>
      <c r="I50" s="4618"/>
    </row>
    <row r="51" spans="2:9">
      <c r="B51" s="2879"/>
      <c r="C51" s="2880"/>
      <c r="D51" s="2881"/>
      <c r="E51" s="4619" t="str">
        <f>CONCATENATE("$0's, real ",dms_DollarReal)</f>
        <v>$0's, real December 2017</v>
      </c>
      <c r="F51" s="4620"/>
      <c r="G51" s="4620"/>
      <c r="H51" s="4620"/>
      <c r="I51" s="4621"/>
    </row>
    <row r="52" spans="2:9">
      <c r="B52" s="2879"/>
      <c r="C52" s="2880"/>
      <c r="D52" s="2881"/>
      <c r="E52" s="4619" t="s">
        <v>57</v>
      </c>
      <c r="F52" s="4620"/>
      <c r="G52" s="4620"/>
      <c r="H52" s="4620"/>
      <c r="I52" s="4621"/>
    </row>
    <row r="53" spans="2:9" ht="21" thickBot="1">
      <c r="B53" s="2882"/>
      <c r="C53" s="2883"/>
      <c r="D53" s="2884"/>
      <c r="E53" s="2885" t="str">
        <f t="array" ref="E53:I53">FRCP</f>
        <v>2018</v>
      </c>
      <c r="F53" s="2886">
        <v>2019</v>
      </c>
      <c r="G53" s="2886">
        <v>2020</v>
      </c>
      <c r="H53" s="2886">
        <v>2021</v>
      </c>
      <c r="I53" s="2887">
        <v>2022</v>
      </c>
    </row>
    <row r="54" spans="2:9">
      <c r="B54" s="2888" t="s">
        <v>1434</v>
      </c>
      <c r="C54" s="149"/>
      <c r="D54" s="149"/>
      <c r="E54" s="2889"/>
      <c r="F54" s="2890"/>
      <c r="G54" s="2890"/>
      <c r="H54" s="2890"/>
      <c r="I54" s="2891"/>
    </row>
    <row r="55" spans="2:9">
      <c r="B55" s="2917" t="s">
        <v>1435</v>
      </c>
      <c r="C55" s="2920"/>
      <c r="D55" s="2919"/>
      <c r="E55" s="2892"/>
      <c r="F55" s="2893"/>
      <c r="G55" s="2893"/>
      <c r="H55" s="2893"/>
      <c r="I55" s="2894"/>
    </row>
    <row r="56" spans="2:9">
      <c r="B56" s="2917" t="s">
        <v>1435</v>
      </c>
      <c r="C56" s="2920"/>
      <c r="D56" s="2919"/>
      <c r="E56" s="2892"/>
      <c r="F56" s="2893"/>
      <c r="G56" s="2893"/>
      <c r="H56" s="2893"/>
      <c r="I56" s="2894"/>
    </row>
    <row r="57" spans="2:9">
      <c r="B57" s="2917" t="s">
        <v>1435</v>
      </c>
      <c r="C57" s="2920"/>
      <c r="D57" s="2919"/>
      <c r="E57" s="2892"/>
      <c r="F57" s="2893"/>
      <c r="G57" s="2893"/>
      <c r="H57" s="2893"/>
      <c r="I57" s="2894"/>
    </row>
    <row r="58" spans="2:9">
      <c r="B58" s="2917" t="s">
        <v>1435</v>
      </c>
      <c r="C58" s="2920"/>
      <c r="D58" s="2919"/>
      <c r="E58" s="2892"/>
      <c r="F58" s="2893"/>
      <c r="G58" s="2893"/>
      <c r="H58" s="2893"/>
      <c r="I58" s="2894"/>
    </row>
    <row r="59" spans="2:9">
      <c r="B59" s="2917" t="s">
        <v>1435</v>
      </c>
      <c r="C59" s="2920"/>
      <c r="D59" s="2919"/>
      <c r="E59" s="2892"/>
      <c r="F59" s="2893"/>
      <c r="G59" s="2893"/>
      <c r="H59" s="2893"/>
      <c r="I59" s="2894"/>
    </row>
    <row r="60" spans="2:9">
      <c r="B60" s="2917" t="s">
        <v>1435</v>
      </c>
      <c r="C60" s="2920"/>
      <c r="D60" s="2919"/>
      <c r="E60" s="2892"/>
      <c r="F60" s="2893"/>
      <c r="G60" s="2893"/>
      <c r="H60" s="2893"/>
      <c r="I60" s="2894"/>
    </row>
    <row r="61" spans="2:9">
      <c r="B61" s="2917" t="s">
        <v>1435</v>
      </c>
      <c r="C61" s="2920"/>
      <c r="D61" s="2919"/>
      <c r="E61" s="2892"/>
      <c r="F61" s="2893"/>
      <c r="G61" s="2893"/>
      <c r="H61" s="2893"/>
      <c r="I61" s="2894"/>
    </row>
    <row r="62" spans="2:9" ht="13.5" thickBot="1">
      <c r="B62" s="2918" t="s">
        <v>1436</v>
      </c>
      <c r="C62" s="2921"/>
      <c r="D62" s="2919"/>
      <c r="E62" s="2895">
        <f>SUM(E55:E61)</f>
        <v>0</v>
      </c>
      <c r="F62" s="2896">
        <f>SUM(F55:F61)</f>
        <v>0</v>
      </c>
      <c r="G62" s="2896">
        <f>SUM(G55:G61)</f>
        <v>0</v>
      </c>
      <c r="H62" s="2896">
        <f>SUM(H55:H61)</f>
        <v>0</v>
      </c>
      <c r="I62" s="2897">
        <f>SUM(I55:I61)</f>
        <v>0</v>
      </c>
    </row>
    <row r="63" spans="2:9" ht="13.5" thickBot="1">
      <c r="B63" s="2898" t="s">
        <v>127</v>
      </c>
      <c r="C63" s="2899"/>
      <c r="D63" s="2899"/>
      <c r="E63" s="4622"/>
      <c r="F63" s="4623"/>
      <c r="G63" s="4623"/>
      <c r="H63" s="4623"/>
      <c r="I63" s="4624"/>
    </row>
  </sheetData>
  <mergeCells count="13">
    <mergeCell ref="E50:I50"/>
    <mergeCell ref="E51:I51"/>
    <mergeCell ref="E52:I52"/>
    <mergeCell ref="E63:I63"/>
    <mergeCell ref="B16:B19"/>
    <mergeCell ref="E47:I47"/>
    <mergeCell ref="E29:I29"/>
    <mergeCell ref="E31:I31"/>
    <mergeCell ref="E30:I30"/>
    <mergeCell ref="C17:I17"/>
    <mergeCell ref="E16:I16"/>
    <mergeCell ref="C18:I18"/>
    <mergeCell ref="C16:D16"/>
  </mergeCells>
  <dataValidations count="1">
    <dataValidation type="list" allowBlank="1" showInputMessage="1" showErrorMessage="1" sqref="C34:C45">
      <formula1>"yes,no,select"</formula1>
    </dataValidation>
  </dataValidations>
  <pageMargins left="0.75" right="0.75" top="1" bottom="1" header="0.5" footer="0.5"/>
  <pageSetup paperSize="9" orientation="portrait" r:id="rId1"/>
  <headerFooter alignWithMargins="0"/>
  <customProperties>
    <customPr name="layoutContexts" r:id="rId2"/>
  </customProperties>
  <drawing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92D050"/>
    <pageSetUpPr autoPageBreaks="0" fitToPage="1"/>
  </sheetPr>
  <dimension ref="A1:AH83"/>
  <sheetViews>
    <sheetView showGridLines="0" topLeftCell="B1" zoomScale="70" zoomScaleNormal="70" workbookViewId="0">
      <selection activeCell="F39" sqref="F39:I39"/>
    </sheetView>
  </sheetViews>
  <sheetFormatPr defaultColWidth="9.140625" defaultRowHeight="15"/>
  <cols>
    <col min="1" max="1" width="22.42578125" style="1989" hidden="1" customWidth="1"/>
    <col min="2" max="2" width="20.85546875" style="1998" customWidth="1"/>
    <col min="3" max="3" width="85.85546875" style="1993" customWidth="1"/>
    <col min="4" max="10" width="15.28515625" style="1993" customWidth="1"/>
    <col min="11" max="11" width="24.85546875" style="1993" customWidth="1"/>
    <col min="12" max="23" width="15.28515625" style="1993" customWidth="1"/>
    <col min="24" max="24" width="15.85546875" style="1993" customWidth="1"/>
    <col min="25" max="25" width="11" style="1954" bestFit="1" customWidth="1"/>
    <col min="26" max="26" width="10.5703125" style="1954" bestFit="1" customWidth="1"/>
    <col min="27" max="27" width="10.7109375" style="1954" bestFit="1" customWidth="1"/>
    <col min="28" max="28" width="11" style="1954" bestFit="1" customWidth="1"/>
    <col min="29" max="29" width="9.28515625" style="1954" customWidth="1"/>
    <col min="30" max="30" width="11" style="1954" bestFit="1" customWidth="1"/>
    <col min="31" max="32" width="10.5703125" style="1954" bestFit="1" customWidth="1"/>
    <col min="33" max="33" width="9.85546875" style="1954" customWidth="1"/>
    <col min="34" max="16384" width="9.140625" style="1993"/>
  </cols>
  <sheetData>
    <row r="1" spans="1:34" ht="22.5" customHeight="1">
      <c r="B1" s="1990"/>
      <c r="C1" s="2272" t="str">
        <f>IF(dms_DataQuality="backcast",INDEX(dms_Worksheet_List,MATCH(dms_Model,dms_Model_List))&amp;" BACKCAST",INDEX(dms_Worksheet_List,MATCH(dms_Model,dms_Model_List)))</f>
        <v>REGULATORY REPORTING STATEMENT</v>
      </c>
      <c r="D1" s="1956"/>
      <c r="E1" s="1956"/>
      <c r="F1" s="1956"/>
      <c r="G1" s="1956"/>
      <c r="H1" s="1956"/>
      <c r="I1" s="1991"/>
      <c r="J1" s="1991"/>
      <c r="K1" s="1991"/>
      <c r="L1" s="1991"/>
      <c r="M1" s="1991"/>
      <c r="N1" s="1991"/>
      <c r="O1" s="1991"/>
      <c r="P1" s="1991"/>
      <c r="Q1" s="1991"/>
      <c r="R1" s="1991"/>
      <c r="S1" s="1991"/>
      <c r="T1" s="1991"/>
      <c r="U1" s="1991"/>
      <c r="V1" s="1991"/>
      <c r="W1" s="1991"/>
      <c r="X1" s="1991"/>
      <c r="AH1" s="1992"/>
    </row>
    <row r="2" spans="1:34" ht="24" customHeight="1">
      <c r="B2" s="1990"/>
      <c r="C2" s="2277" t="str">
        <f>INDEX(dms_TradingNameFull_List,MATCH(dms_TradingName,dms_TradingName_List))</f>
        <v>Multinet Gas (DB No.1) Pty Ltd (ACN 086 026 986), Multinet Gas (DB No.2) Pty Ltd (ACN 086 230 122)</v>
      </c>
      <c r="D2" s="1955"/>
      <c r="E2" s="1955"/>
      <c r="F2" s="1955"/>
      <c r="G2" s="1955"/>
      <c r="H2" s="1955"/>
      <c r="I2" s="1991"/>
      <c r="J2" s="1991"/>
      <c r="K2" s="1991"/>
      <c r="L2" s="1991"/>
      <c r="M2" s="1991"/>
      <c r="N2" s="1991"/>
      <c r="O2" s="1991"/>
      <c r="P2" s="1991"/>
      <c r="Q2" s="1991"/>
      <c r="R2" s="1991"/>
      <c r="S2" s="1991"/>
      <c r="T2" s="1991"/>
      <c r="U2" s="1991"/>
      <c r="V2" s="1991"/>
      <c r="W2" s="1991"/>
      <c r="X2" s="1991"/>
      <c r="AH2" s="1992"/>
    </row>
    <row r="3" spans="1:34" ht="27" customHeight="1">
      <c r="B3" s="1990"/>
      <c r="C3" s="2277" t="str">
        <f ca="1">IF(SUM(dms_SingleYear_Model)&gt;0,CRY,CONCATENATE(FRCP_y1," to ",dms_MultiYear_FinalYear_Result))</f>
        <v>2018 to 2022</v>
      </c>
      <c r="D3" s="1956"/>
      <c r="E3" s="1956"/>
      <c r="F3" s="1956"/>
      <c r="G3" s="1956"/>
      <c r="H3" s="1956"/>
      <c r="I3" s="1991"/>
      <c r="J3" s="1991"/>
      <c r="K3" s="1991"/>
      <c r="L3" s="1991"/>
      <c r="M3" s="1991"/>
      <c r="N3" s="1991"/>
      <c r="O3" s="1991"/>
      <c r="P3" s="1991"/>
      <c r="Q3" s="1991"/>
      <c r="R3" s="1991"/>
      <c r="S3" s="1991"/>
      <c r="T3" s="1991"/>
      <c r="U3" s="1991"/>
      <c r="V3" s="1991"/>
      <c r="W3" s="1991"/>
      <c r="X3" s="1991"/>
      <c r="AH3" s="1992"/>
    </row>
    <row r="4" spans="1:34" s="1957" customFormat="1" ht="24" customHeight="1">
      <c r="B4" s="1954"/>
      <c r="C4" s="1994" t="s">
        <v>1411</v>
      </c>
      <c r="D4" s="1994"/>
      <c r="E4" s="1994"/>
      <c r="F4" s="1994"/>
      <c r="G4" s="1994"/>
      <c r="H4" s="1994"/>
      <c r="I4" s="1994"/>
      <c r="J4" s="1994"/>
      <c r="K4" s="1994"/>
      <c r="L4" s="1994"/>
      <c r="M4" s="1994"/>
      <c r="N4" s="1994"/>
      <c r="O4" s="1994"/>
      <c r="P4" s="1994"/>
      <c r="Q4" s="1994"/>
      <c r="R4" s="1994"/>
      <c r="S4" s="1994"/>
      <c r="T4" s="1994"/>
      <c r="U4" s="1994"/>
      <c r="V4" s="1994"/>
      <c r="W4" s="1994"/>
      <c r="X4" s="1994"/>
      <c r="Y4" s="1954"/>
      <c r="Z4" s="1954"/>
      <c r="AA4" s="1954"/>
      <c r="AB4" s="1954"/>
      <c r="AC4" s="1954"/>
      <c r="AD4" s="1954"/>
      <c r="AE4" s="1954"/>
    </row>
    <row r="5" spans="1:34" ht="24" customHeight="1">
      <c r="B5" s="1990"/>
      <c r="C5" s="1995"/>
      <c r="D5" s="1995"/>
      <c r="E5" s="1995"/>
      <c r="F5" s="1995"/>
      <c r="G5" s="1995"/>
      <c r="H5" s="1995"/>
    </row>
    <row r="6" spans="1:34">
      <c r="B6" s="1990"/>
      <c r="C6" s="1996"/>
      <c r="D6" s="1996"/>
      <c r="E6" s="1996"/>
      <c r="F6" s="1996"/>
      <c r="G6" s="1996"/>
      <c r="H6" s="1996"/>
      <c r="I6" s="1996"/>
      <c r="J6" s="1996"/>
      <c r="K6" s="1996"/>
      <c r="L6" s="1996"/>
      <c r="M6" s="1996"/>
      <c r="N6" s="1996"/>
      <c r="O6" s="1996"/>
      <c r="P6" s="1996"/>
      <c r="Q6" s="1996"/>
      <c r="R6" s="1996"/>
      <c r="S6" s="1996"/>
      <c r="T6" s="1997"/>
      <c r="U6" s="1997"/>
      <c r="V6" s="1997"/>
      <c r="W6" s="1997"/>
      <c r="X6" s="1997"/>
      <c r="AH6" s="1997"/>
    </row>
    <row r="7" spans="1:34" ht="25.5" customHeight="1">
      <c r="C7" s="1999" t="s">
        <v>61</v>
      </c>
      <c r="D7" s="1999"/>
      <c r="E7" s="1999"/>
      <c r="F7" s="1999"/>
      <c r="G7" s="1999"/>
      <c r="H7" s="1999"/>
      <c r="I7" s="1999"/>
      <c r="J7" s="1999"/>
      <c r="K7" s="1999"/>
      <c r="L7" s="1999"/>
      <c r="M7" s="2000"/>
      <c r="N7" s="2000"/>
      <c r="O7" s="2000"/>
      <c r="P7" s="2000"/>
      <c r="Q7" s="2000"/>
      <c r="R7" s="2000"/>
      <c r="S7" s="2000"/>
      <c r="T7" s="2000"/>
      <c r="U7" s="2000"/>
      <c r="V7" s="2000"/>
      <c r="W7" s="2000"/>
      <c r="X7" s="2000"/>
      <c r="AH7" s="2001"/>
    </row>
    <row r="8" spans="1:34" ht="212.25" customHeight="1">
      <c r="C8" s="4646" t="s">
        <v>1401</v>
      </c>
      <c r="D8" s="4646"/>
      <c r="E8" s="4646"/>
      <c r="F8" s="4646"/>
      <c r="G8" s="4646"/>
      <c r="H8" s="4646"/>
      <c r="I8" s="4646"/>
      <c r="J8" s="4646"/>
      <c r="K8" s="4646"/>
      <c r="L8" s="4646"/>
      <c r="M8" s="2002"/>
      <c r="N8" s="2002"/>
      <c r="O8" s="2002"/>
      <c r="P8" s="2002"/>
      <c r="Q8" s="2002"/>
      <c r="R8" s="2002"/>
      <c r="S8" s="2002"/>
      <c r="T8" s="2003"/>
      <c r="U8" s="2003"/>
      <c r="V8" s="2003"/>
      <c r="W8" s="2003"/>
      <c r="X8" s="2003"/>
      <c r="AH8" s="2004"/>
    </row>
    <row r="9" spans="1:34">
      <c r="C9" s="2003"/>
      <c r="D9" s="2003"/>
      <c r="E9" s="2003"/>
      <c r="F9" s="2003"/>
      <c r="G9" s="2003"/>
      <c r="H9" s="2003"/>
      <c r="I9" s="2003"/>
      <c r="J9" s="2003"/>
      <c r="K9" s="2003"/>
      <c r="L9" s="2003"/>
      <c r="M9" s="2003"/>
      <c r="N9" s="2003"/>
      <c r="O9" s="2003"/>
      <c r="P9" s="2003"/>
      <c r="Q9" s="2003"/>
      <c r="R9" s="2003"/>
      <c r="S9" s="2003"/>
      <c r="T9" s="2003"/>
      <c r="U9" s="2003"/>
      <c r="V9" s="2003"/>
      <c r="W9" s="2003"/>
      <c r="X9" s="2003"/>
      <c r="AH9" s="2005"/>
    </row>
    <row r="10" spans="1:34" ht="15.75" thickBot="1">
      <c r="C10" s="2006"/>
      <c r="D10" s="2007"/>
      <c r="E10" s="2007"/>
      <c r="F10" s="2007"/>
      <c r="G10" s="2007"/>
      <c r="H10" s="2007"/>
      <c r="I10" s="2008"/>
      <c r="J10" s="1954"/>
      <c r="K10" s="1954"/>
      <c r="L10" s="1954"/>
      <c r="M10" s="1954"/>
      <c r="N10" s="1954"/>
      <c r="O10" s="1954"/>
      <c r="P10" s="1954"/>
      <c r="Q10" s="1954"/>
      <c r="R10" s="1954"/>
      <c r="S10" s="1954"/>
      <c r="T10" s="1954"/>
      <c r="U10" s="1954"/>
      <c r="V10" s="1954"/>
      <c r="W10" s="1954"/>
      <c r="X10" s="1954"/>
      <c r="AH10" s="2005"/>
    </row>
    <row r="11" spans="1:34" s="2010" customFormat="1" ht="24.75" customHeight="1" thickBot="1">
      <c r="A11" s="2009"/>
      <c r="C11" s="2011" t="s">
        <v>409</v>
      </c>
      <c r="D11" s="2012"/>
      <c r="E11" s="2012"/>
      <c r="F11" s="2012"/>
      <c r="G11" s="2012"/>
      <c r="H11" s="2012"/>
      <c r="I11" s="2012"/>
      <c r="J11" s="2013"/>
      <c r="K11" s="2013"/>
      <c r="L11" s="2013"/>
      <c r="M11" s="2013"/>
      <c r="N11" s="2013"/>
      <c r="O11" s="2013"/>
      <c r="P11" s="2013"/>
      <c r="Q11" s="2013"/>
      <c r="R11" s="2014"/>
      <c r="U11" s="1954"/>
      <c r="V11" s="1954"/>
      <c r="W11" s="1954"/>
      <c r="X11" s="1954"/>
      <c r="Y11" s="1954"/>
      <c r="Z11" s="1954"/>
      <c r="AA11" s="1954"/>
      <c r="AB11" s="1954"/>
      <c r="AC11" s="1954"/>
      <c r="AD11" s="1954"/>
      <c r="AE11" s="1954"/>
      <c r="AF11" s="1954"/>
    </row>
    <row r="12" spans="1:34" s="2010" customFormat="1" ht="18.75" thickBot="1">
      <c r="A12" s="2009"/>
      <c r="C12" s="2015"/>
      <c r="D12" s="4647" t="s">
        <v>56</v>
      </c>
      <c r="E12" s="4648"/>
      <c r="F12" s="4648"/>
      <c r="G12" s="4648"/>
      <c r="H12" s="4649"/>
      <c r="I12" s="4650" t="s">
        <v>410</v>
      </c>
      <c r="J12" s="4651"/>
      <c r="K12" s="2016"/>
      <c r="L12" s="4647" t="s">
        <v>56</v>
      </c>
      <c r="M12" s="4648"/>
      <c r="N12" s="4648"/>
      <c r="O12" s="4648"/>
      <c r="P12" s="4649"/>
      <c r="Q12" s="4652" t="s">
        <v>410</v>
      </c>
      <c r="R12" s="4653"/>
      <c r="U12" s="1954"/>
      <c r="V12" s="1954"/>
      <c r="W12" s="1954"/>
      <c r="X12" s="1954"/>
      <c r="Y12" s="1954"/>
      <c r="Z12" s="1954"/>
      <c r="AA12" s="1954"/>
      <c r="AB12" s="1954"/>
      <c r="AC12" s="1954"/>
      <c r="AD12" s="1954"/>
      <c r="AE12" s="1954"/>
      <c r="AF12" s="1954"/>
    </row>
    <row r="13" spans="1:34" s="2010" customFormat="1" ht="18.75" thickBot="1">
      <c r="A13" s="2009"/>
      <c r="C13" s="2015"/>
      <c r="D13" s="2017">
        <f>PRCP_y4</f>
        <v>2011</v>
      </c>
      <c r="E13" s="2251">
        <f>PRCP_y5</f>
        <v>2012</v>
      </c>
      <c r="F13" s="2252">
        <f>CRCP_y1</f>
        <v>2013</v>
      </c>
      <c r="G13" s="2021">
        <f>CRCP_y2</f>
        <v>2014</v>
      </c>
      <c r="H13" s="2021">
        <f>CRCP_y3</f>
        <v>2015</v>
      </c>
      <c r="I13" s="2018">
        <f>CRCP_y4</f>
        <v>2016</v>
      </c>
      <c r="J13" s="2253">
        <f>CRCP_y5</f>
        <v>2017</v>
      </c>
      <c r="K13" s="2019"/>
      <c r="L13" s="2020">
        <f>PRCP_y4</f>
        <v>2011</v>
      </c>
      <c r="M13" s="2254">
        <f>PRCP_y5</f>
        <v>2012</v>
      </c>
      <c r="N13" s="2252">
        <f>CRCP_y1</f>
        <v>2013</v>
      </c>
      <c r="O13" s="2021">
        <f>CRCP_y2</f>
        <v>2014</v>
      </c>
      <c r="P13" s="2021">
        <f>CRCP_y3</f>
        <v>2015</v>
      </c>
      <c r="Q13" s="2021">
        <f>CRCP_y4</f>
        <v>2016</v>
      </c>
      <c r="R13" s="2022">
        <f>CRCP_y5</f>
        <v>2017</v>
      </c>
      <c r="U13" s="1954"/>
      <c r="V13" s="1954"/>
      <c r="W13" s="1954"/>
      <c r="X13" s="1954"/>
      <c r="Y13" s="1954"/>
      <c r="Z13" s="1954"/>
      <c r="AA13" s="1954"/>
      <c r="AB13" s="1954"/>
      <c r="AC13" s="1954"/>
      <c r="AD13" s="1954"/>
      <c r="AE13" s="1954"/>
      <c r="AF13" s="1954"/>
    </row>
    <row r="14" spans="1:34" ht="15" customHeight="1">
      <c r="A14" s="1989" t="s">
        <v>411</v>
      </c>
      <c r="C14" s="2023" t="s">
        <v>740</v>
      </c>
      <c r="D14" s="2024">
        <v>179.4</v>
      </c>
      <c r="E14" s="2025"/>
      <c r="F14" s="2025"/>
      <c r="G14" s="2025"/>
      <c r="H14" s="2026"/>
      <c r="I14" s="2026"/>
      <c r="J14" s="2027"/>
      <c r="K14" s="2028" t="s">
        <v>741</v>
      </c>
      <c r="L14" s="2029"/>
      <c r="M14" s="2030">
        <f t="shared" ref="M14:Q14" si="0">E15/D15-1</f>
        <v>2.2044088176352838E-2</v>
      </c>
      <c r="N14" s="2030">
        <f t="shared" si="0"/>
        <v>2.7450980392156765E-2</v>
      </c>
      <c r="O14" s="2030">
        <f t="shared" si="0"/>
        <v>1.7175572519083859E-2</v>
      </c>
      <c r="P14" s="2030">
        <f t="shared" si="0"/>
        <v>1.6885553470919357E-2</v>
      </c>
      <c r="Q14" s="2030">
        <f t="shared" si="0"/>
        <v>1.4999999999999902E-2</v>
      </c>
      <c r="R14" s="2031">
        <f>J15/I15-1</f>
        <v>2.0000000000000018E-2</v>
      </c>
      <c r="X14" s="1954"/>
      <c r="AG14" s="1993"/>
    </row>
    <row r="15" spans="1:34" ht="15.75" customHeight="1" thickBot="1">
      <c r="A15" s="1989" t="s">
        <v>412</v>
      </c>
      <c r="C15" s="2032" t="s">
        <v>742</v>
      </c>
      <c r="D15" s="2033">
        <v>99.8</v>
      </c>
      <c r="E15" s="2034">
        <v>102</v>
      </c>
      <c r="F15" s="2034">
        <v>104.8</v>
      </c>
      <c r="G15" s="2034">
        <v>106.6</v>
      </c>
      <c r="H15" s="2034">
        <v>108.4</v>
      </c>
      <c r="I15" s="2034">
        <f>H15*1.015</f>
        <v>110.026</v>
      </c>
      <c r="J15" s="2035">
        <f>I15*1.02</f>
        <v>112.22651999999999</v>
      </c>
      <c r="K15" s="2036" t="str">
        <f>CONCATENATE("Cumulative index (",CRCP_y5,"=1)")</f>
        <v>Cumulative index (2017=1)</v>
      </c>
      <c r="L15" s="2037">
        <f t="shared" ref="L15:Q15" si="1">M15/(1+M14)</f>
        <v>0.88927287418339263</v>
      </c>
      <c r="M15" s="2038">
        <f t="shared" si="1"/>
        <v>0.90887608383473006</v>
      </c>
      <c r="N15" s="2039">
        <f t="shared" si="1"/>
        <v>0.93382562339097752</v>
      </c>
      <c r="O15" s="2039">
        <f t="shared" si="1"/>
        <v>0.94986461310570791</v>
      </c>
      <c r="P15" s="2039">
        <f t="shared" si="1"/>
        <v>0.96590360282043852</v>
      </c>
      <c r="Q15" s="2039">
        <f t="shared" si="1"/>
        <v>0.98039215686274506</v>
      </c>
      <c r="R15" s="2040">
        <v>1</v>
      </c>
      <c r="X15" s="1954"/>
      <c r="AG15" s="1993"/>
    </row>
    <row r="16" spans="1:34" s="2046" customFormat="1">
      <c r="A16" s="2041"/>
      <c r="B16" s="2042"/>
      <c r="C16" s="2043"/>
      <c r="D16" s="2044"/>
      <c r="E16" s="2045"/>
      <c r="F16" s="2045"/>
      <c r="G16" s="2045"/>
      <c r="H16" s="2045"/>
      <c r="I16" s="2045"/>
      <c r="M16" s="2047"/>
      <c r="N16" s="2047"/>
      <c r="O16" s="2047"/>
      <c r="P16" s="2047"/>
      <c r="Q16" s="2047"/>
      <c r="R16" s="2047"/>
      <c r="T16" s="2048"/>
      <c r="U16" s="2048"/>
      <c r="V16" s="2048"/>
      <c r="W16" s="2048"/>
      <c r="X16" s="2048"/>
      <c r="Y16" s="1954"/>
      <c r="Z16" s="1954"/>
      <c r="AA16" s="1954"/>
      <c r="AB16" s="1954"/>
      <c r="AC16" s="1954"/>
      <c r="AD16" s="1954"/>
      <c r="AE16" s="1954"/>
      <c r="AF16" s="1954"/>
      <c r="AG16" s="1954"/>
    </row>
    <row r="17" spans="1:34" s="1954" customFormat="1">
      <c r="A17" s="2049"/>
    </row>
    <row r="18" spans="1:34" s="1954" customFormat="1">
      <c r="A18" s="2049"/>
    </row>
    <row r="19" spans="1:34" s="1954" customFormat="1">
      <c r="A19" s="2049"/>
    </row>
    <row r="20" spans="1:34" ht="17.25" customHeight="1">
      <c r="A20" s="2050"/>
      <c r="B20" s="2051"/>
      <c r="C20" s="2052" t="str">
        <f ca="1">CONCATENATE("TABLE 23.4.1 - The carryover amounts that arise from applying the Incentive Mechanism during the ", dms_Reg_Year_Span, " regulatory control period")</f>
        <v>TABLE 23.4.1 - The carryover amounts that arise from applying the Incentive Mechanism during the 2018 to 2022 regulatory control period</v>
      </c>
      <c r="D20" s="2052"/>
      <c r="E20" s="2052"/>
      <c r="F20" s="2052"/>
      <c r="G20" s="2052"/>
      <c r="H20" s="2052"/>
      <c r="I20" s="2052"/>
      <c r="J20" s="2052"/>
      <c r="K20" s="2052"/>
      <c r="L20" s="2052"/>
      <c r="M20" s="2052"/>
      <c r="N20" s="2052"/>
      <c r="O20" s="2052"/>
      <c r="P20" s="2052"/>
      <c r="Q20" s="2052"/>
      <c r="R20" s="2052"/>
      <c r="S20" s="2052"/>
      <c r="T20" s="2052"/>
      <c r="U20" s="2052"/>
      <c r="V20" s="2052"/>
      <c r="W20" s="2052"/>
      <c r="X20" s="1954"/>
      <c r="AH20" s="2053"/>
    </row>
    <row r="21" spans="1:34" s="2010" customFormat="1" ht="15.75" thickBot="1">
      <c r="A21" s="2009"/>
      <c r="C21" s="2054"/>
      <c r="D21" s="2054"/>
      <c r="E21" s="2054"/>
      <c r="F21" s="2054"/>
      <c r="G21" s="2054"/>
      <c r="H21" s="2054"/>
      <c r="I21" s="2054"/>
      <c r="J21" s="2054"/>
      <c r="K21" s="2054"/>
      <c r="L21" s="2054"/>
      <c r="M21" s="2054"/>
      <c r="N21" s="2054"/>
      <c r="O21" s="2054"/>
      <c r="P21" s="2054"/>
      <c r="Q21" s="2054"/>
      <c r="R21" s="2054"/>
      <c r="S21" s="2054"/>
      <c r="T21" s="2054"/>
      <c r="U21" s="2054"/>
      <c r="V21" s="2054"/>
      <c r="W21" s="2054"/>
      <c r="X21" s="1954"/>
      <c r="Y21" s="1954"/>
      <c r="Z21" s="1954"/>
      <c r="AA21" s="1954"/>
      <c r="AB21" s="1954"/>
      <c r="AC21" s="1954"/>
      <c r="AD21" s="1954"/>
      <c r="AE21" s="1954"/>
    </row>
    <row r="22" spans="1:34" s="2056" customFormat="1" ht="24.75" customHeight="1" thickBot="1">
      <c r="A22" s="2055"/>
      <c r="C22" s="2057" t="s">
        <v>1398</v>
      </c>
      <c r="D22" s="2058"/>
      <c r="E22" s="2058"/>
      <c r="F22" s="2058"/>
      <c r="G22" s="2058"/>
      <c r="H22" s="2058"/>
      <c r="I22" s="2058"/>
      <c r="J22" s="2058"/>
      <c r="K22" s="2058"/>
      <c r="L22" s="2058"/>
      <c r="M22" s="2058"/>
      <c r="N22" s="2058"/>
      <c r="O22" s="2058"/>
      <c r="P22" s="2058"/>
      <c r="Q22" s="2058"/>
      <c r="R22" s="2058"/>
      <c r="S22" s="2058"/>
      <c r="T22" s="2058"/>
      <c r="U22" s="2058"/>
      <c r="V22" s="2058"/>
      <c r="W22" s="2058"/>
      <c r="X22" s="1954"/>
      <c r="Y22" s="1954"/>
      <c r="Z22" s="1954"/>
      <c r="AA22" s="1954"/>
      <c r="AB22" s="1954"/>
      <c r="AC22" s="1954"/>
      <c r="AD22" s="1954"/>
      <c r="AE22" s="1954"/>
    </row>
    <row r="23" spans="1:34" s="2010" customFormat="1" ht="15.75">
      <c r="A23" s="2009"/>
      <c r="C23" s="2059"/>
      <c r="D23" s="4641" t="s">
        <v>413</v>
      </c>
      <c r="E23" s="4642"/>
      <c r="F23" s="4638" t="s">
        <v>318</v>
      </c>
      <c r="G23" s="4639"/>
      <c r="H23" s="4639"/>
      <c r="I23" s="4639"/>
      <c r="J23" s="4640"/>
      <c r="K23" s="1954"/>
      <c r="L23" s="4641" t="s">
        <v>413</v>
      </c>
      <c r="M23" s="4642"/>
      <c r="N23" s="4638" t="s">
        <v>318</v>
      </c>
      <c r="O23" s="4639"/>
      <c r="P23" s="4639"/>
      <c r="Q23" s="4639"/>
      <c r="R23" s="4640"/>
      <c r="S23" s="4654" t="s">
        <v>314</v>
      </c>
      <c r="T23" s="4655"/>
      <c r="U23" s="4655"/>
      <c r="V23" s="4655"/>
      <c r="W23" s="4656"/>
      <c r="Y23" s="1954"/>
      <c r="Z23" s="1954"/>
      <c r="AA23" s="1954"/>
      <c r="AB23" s="1954"/>
      <c r="AC23" s="1954"/>
      <c r="AD23" s="1954"/>
      <c r="AE23" s="1954"/>
    </row>
    <row r="24" spans="1:34" s="2010" customFormat="1" ht="15.75" thickBot="1">
      <c r="A24" s="2009"/>
      <c r="C24" s="2060"/>
      <c r="D24" s="4657" t="str">
        <f>CONCATENATE("$m, real ", (PRCP_y5))</f>
        <v>$m, real 2012</v>
      </c>
      <c r="E24" s="4658"/>
      <c r="F24" s="4659" t="str">
        <f>CONCATENATE("$m, real ", PRCP_y5)</f>
        <v>$m, real 2012</v>
      </c>
      <c r="G24" s="4660"/>
      <c r="H24" s="4660"/>
      <c r="I24" s="4660"/>
      <c r="J24" s="4661"/>
      <c r="K24" s="1954"/>
      <c r="L24" s="4662" t="str">
        <f>CONCATENATE("$m, real ", (CRCP_y5))</f>
        <v>$m, real 2017</v>
      </c>
      <c r="M24" s="4663"/>
      <c r="N24" s="4659" t="str">
        <f>CONCATENATE("$m, real ", dms_DollarReal)</f>
        <v>$m, real December 2017</v>
      </c>
      <c r="O24" s="4660"/>
      <c r="P24" s="4660"/>
      <c r="Q24" s="4660"/>
      <c r="R24" s="4661"/>
      <c r="S24" s="2061"/>
      <c r="T24" s="2062"/>
      <c r="U24" s="2062"/>
      <c r="V24" s="2062"/>
      <c r="W24" s="2063"/>
      <c r="Y24" s="1954"/>
      <c r="Z24" s="1954"/>
      <c r="AA24" s="1954"/>
      <c r="AB24" s="1954"/>
      <c r="AC24" s="1954"/>
      <c r="AD24" s="1954"/>
      <c r="AE24" s="1954"/>
    </row>
    <row r="25" spans="1:34" s="2010" customFormat="1" ht="15.75" thickBot="1">
      <c r="A25" s="2009"/>
      <c r="C25" s="2060"/>
      <c r="D25" s="2064">
        <f>PRCP_y4</f>
        <v>2011</v>
      </c>
      <c r="E25" s="2065">
        <f>PRCP_y5</f>
        <v>2012</v>
      </c>
      <c r="F25" s="2066">
        <f>CRCP_y1</f>
        <v>2013</v>
      </c>
      <c r="G25" s="2067">
        <f>CRCP_y2</f>
        <v>2014</v>
      </c>
      <c r="H25" s="2067">
        <f>CRCP_y3</f>
        <v>2015</v>
      </c>
      <c r="I25" s="2067">
        <f>CRCP_y4</f>
        <v>2016</v>
      </c>
      <c r="J25" s="2068">
        <f>CRCP_y5</f>
        <v>2017</v>
      </c>
      <c r="K25" s="1954"/>
      <c r="L25" s="2069">
        <f>CRCP_y1</f>
        <v>2013</v>
      </c>
      <c r="M25" s="2070">
        <f>CRCP_y1</f>
        <v>2013</v>
      </c>
      <c r="N25" s="2066">
        <f>CRCP_y1</f>
        <v>2013</v>
      </c>
      <c r="O25" s="2067">
        <f>CRCP_y2</f>
        <v>2014</v>
      </c>
      <c r="P25" s="2067">
        <f>CRCP_y3</f>
        <v>2015</v>
      </c>
      <c r="Q25" s="2067">
        <f>CRCP_y4</f>
        <v>2016</v>
      </c>
      <c r="R25" s="2068">
        <f>CRCP_y5</f>
        <v>2017</v>
      </c>
      <c r="S25" s="2071" t="str">
        <f t="array" ref="S25:W25">FRCP</f>
        <v>2018</v>
      </c>
      <c r="T25" s="2072">
        <v>2019</v>
      </c>
      <c r="U25" s="2072">
        <v>2020</v>
      </c>
      <c r="V25" s="2072">
        <v>2021</v>
      </c>
      <c r="W25" s="2073">
        <v>2022</v>
      </c>
      <c r="Y25" s="1954"/>
      <c r="Z25" s="1954"/>
      <c r="AA25" s="1954"/>
      <c r="AB25" s="1954"/>
      <c r="AC25" s="1954"/>
      <c r="AD25" s="1954"/>
      <c r="AE25" s="1954"/>
    </row>
    <row r="26" spans="1:34">
      <c r="A26" s="1989" t="s">
        <v>414</v>
      </c>
      <c r="C26" s="2074" t="s">
        <v>415</v>
      </c>
      <c r="D26" s="2075"/>
      <c r="E26" s="2076"/>
      <c r="F26" s="2075">
        <f>'[15]ECM summary'!B34/1000</f>
        <v>56.985617667156788</v>
      </c>
      <c r="G26" s="2075">
        <f>'[15]ECM summary'!C34/1000</f>
        <v>62.456705104288567</v>
      </c>
      <c r="H26" s="2075">
        <f>'[15]ECM summary'!D34/1000</f>
        <v>64.725135254196104</v>
      </c>
      <c r="I26" s="2075">
        <f>'[15]ECM summary'!E34/1000</f>
        <v>64.3714153847733</v>
      </c>
      <c r="J26" s="2075">
        <f>'[15]ECM summary'!F34/1000</f>
        <v>65.19232297473728</v>
      </c>
      <c r="K26" s="1954"/>
      <c r="L26" s="2077">
        <f t="shared" ref="L26:M26" si="2">+D26/$M$15</f>
        <v>0</v>
      </c>
      <c r="M26" s="2078">
        <f t="shared" si="2"/>
        <v>0</v>
      </c>
      <c r="N26" s="2077">
        <f>+F26/$M$15</f>
        <v>62.698995694465921</v>
      </c>
      <c r="O26" s="2078">
        <f>+G26/$M$15</f>
        <v>68.718614358044533</v>
      </c>
      <c r="P26" s="2078">
        <f>+H26/$M$15</f>
        <v>71.214477314781803</v>
      </c>
      <c r="Q26" s="2078">
        <f>+I26/$M$15</f>
        <v>70.825293491250662</v>
      </c>
      <c r="R26" s="2079">
        <f>+J26/$M$15</f>
        <v>71.728505276184436</v>
      </c>
      <c r="S26" s="2080"/>
      <c r="T26" s="2080"/>
      <c r="U26" s="2080"/>
      <c r="V26" s="2080"/>
      <c r="W26" s="2081"/>
      <c r="X26" s="2082"/>
    </row>
    <row r="27" spans="1:34">
      <c r="C27" s="2083" t="s">
        <v>739</v>
      </c>
      <c r="D27" s="2084"/>
      <c r="E27" s="2085"/>
      <c r="F27" s="2084"/>
      <c r="G27" s="2085"/>
      <c r="H27" s="2085"/>
      <c r="I27" s="2085"/>
      <c r="J27" s="2086"/>
      <c r="K27" s="1954"/>
      <c r="L27" s="2087"/>
      <c r="M27" s="2088"/>
      <c r="N27" s="2087"/>
      <c r="O27" s="2088"/>
      <c r="P27" s="2088"/>
      <c r="Q27" s="2088"/>
      <c r="R27" s="2089"/>
      <c r="S27" s="2080"/>
      <c r="T27" s="2080"/>
      <c r="U27" s="2080"/>
      <c r="V27" s="2080"/>
      <c r="W27" s="2081"/>
      <c r="X27" s="2082"/>
    </row>
    <row r="28" spans="1:34">
      <c r="C28" s="2090" t="s">
        <v>1404</v>
      </c>
      <c r="D28" s="2091"/>
      <c r="E28" s="2092"/>
      <c r="F28" s="2091"/>
      <c r="G28" s="2092"/>
      <c r="H28" s="2092"/>
      <c r="I28" s="2092"/>
      <c r="J28" s="2093"/>
      <c r="K28" s="1954"/>
      <c r="L28" s="2094">
        <f t="shared" ref="L28:R31" si="3">-D28/$M$15</f>
        <v>0</v>
      </c>
      <c r="M28" s="2095">
        <f t="shared" si="3"/>
        <v>0</v>
      </c>
      <c r="N28" s="2094">
        <f t="shared" si="3"/>
        <v>0</v>
      </c>
      <c r="O28" s="2095">
        <f t="shared" si="3"/>
        <v>0</v>
      </c>
      <c r="P28" s="2095">
        <f t="shared" si="3"/>
        <v>0</v>
      </c>
      <c r="Q28" s="2095">
        <f t="shared" si="3"/>
        <v>0</v>
      </c>
      <c r="R28" s="2096">
        <f t="shared" si="3"/>
        <v>0</v>
      </c>
      <c r="S28" s="2080"/>
      <c r="T28" s="2080"/>
      <c r="U28" s="2080"/>
      <c r="V28" s="2080"/>
      <c r="W28" s="2081"/>
      <c r="X28" s="2097"/>
    </row>
    <row r="29" spans="1:34">
      <c r="C29" s="2090" t="s">
        <v>1405</v>
      </c>
      <c r="D29" s="2091"/>
      <c r="E29" s="2092"/>
      <c r="F29" s="2091"/>
      <c r="G29" s="2092"/>
      <c r="H29" s="2092"/>
      <c r="I29" s="2092"/>
      <c r="J29" s="2093"/>
      <c r="K29" s="1954"/>
      <c r="L29" s="2094">
        <f t="shared" si="3"/>
        <v>0</v>
      </c>
      <c r="M29" s="2095">
        <f t="shared" si="3"/>
        <v>0</v>
      </c>
      <c r="N29" s="2094">
        <f t="shared" si="3"/>
        <v>0</v>
      </c>
      <c r="O29" s="2095">
        <f t="shared" si="3"/>
        <v>0</v>
      </c>
      <c r="P29" s="2095">
        <f t="shared" si="3"/>
        <v>0</v>
      </c>
      <c r="Q29" s="2095">
        <f t="shared" si="3"/>
        <v>0</v>
      </c>
      <c r="R29" s="2096">
        <f t="shared" si="3"/>
        <v>0</v>
      </c>
      <c r="S29" s="2080"/>
      <c r="T29" s="2080"/>
      <c r="U29" s="2080"/>
      <c r="V29" s="2080"/>
      <c r="W29" s="2081"/>
      <c r="X29" s="2097"/>
    </row>
    <row r="30" spans="1:34">
      <c r="C30" s="2090" t="s">
        <v>1406</v>
      </c>
      <c r="D30" s="2091"/>
      <c r="E30" s="2092"/>
      <c r="F30" s="2091"/>
      <c r="G30" s="2092"/>
      <c r="H30" s="2092"/>
      <c r="I30" s="2092"/>
      <c r="J30" s="2093"/>
      <c r="K30" s="1954"/>
      <c r="L30" s="2094">
        <f t="shared" si="3"/>
        <v>0</v>
      </c>
      <c r="M30" s="2095">
        <f t="shared" si="3"/>
        <v>0</v>
      </c>
      <c r="N30" s="2094">
        <f t="shared" si="3"/>
        <v>0</v>
      </c>
      <c r="O30" s="2095">
        <f t="shared" si="3"/>
        <v>0</v>
      </c>
      <c r="P30" s="2095">
        <f t="shared" si="3"/>
        <v>0</v>
      </c>
      <c r="Q30" s="2095">
        <f t="shared" si="3"/>
        <v>0</v>
      </c>
      <c r="R30" s="2096">
        <f t="shared" si="3"/>
        <v>0</v>
      </c>
      <c r="S30" s="2080"/>
      <c r="T30" s="2080"/>
      <c r="U30" s="2080"/>
      <c r="V30" s="2080"/>
      <c r="W30" s="2081"/>
      <c r="X30" s="2097"/>
    </row>
    <row r="31" spans="1:34" ht="25.5">
      <c r="C31" s="2865" t="s">
        <v>1408</v>
      </c>
      <c r="D31" s="2091"/>
      <c r="E31" s="2092"/>
      <c r="F31" s="2091"/>
      <c r="G31" s="2092"/>
      <c r="H31" s="2092"/>
      <c r="I31" s="2092"/>
      <c r="J31" s="2093"/>
      <c r="K31" s="1954"/>
      <c r="L31" s="2094">
        <f t="shared" si="3"/>
        <v>0</v>
      </c>
      <c r="M31" s="2095">
        <f t="shared" si="3"/>
        <v>0</v>
      </c>
      <c r="N31" s="2094">
        <f t="shared" si="3"/>
        <v>0</v>
      </c>
      <c r="O31" s="2095">
        <f t="shared" si="3"/>
        <v>0</v>
      </c>
      <c r="P31" s="2095">
        <f t="shared" si="3"/>
        <v>0</v>
      </c>
      <c r="Q31" s="2095">
        <f t="shared" si="3"/>
        <v>0</v>
      </c>
      <c r="R31" s="2096">
        <f t="shared" si="3"/>
        <v>0</v>
      </c>
      <c r="S31" s="2080"/>
      <c r="T31" s="2080"/>
      <c r="U31" s="2080"/>
      <c r="V31" s="2080"/>
      <c r="W31" s="2081"/>
      <c r="X31" s="2097"/>
    </row>
    <row r="32" spans="1:34">
      <c r="A32" s="1989" t="s">
        <v>416</v>
      </c>
      <c r="C32" s="2098" t="s">
        <v>1409</v>
      </c>
      <c r="D32" s="2091"/>
      <c r="E32" s="2092"/>
      <c r="F32" s="2091"/>
      <c r="G32" s="2092"/>
      <c r="H32" s="2092"/>
      <c r="I32" s="2092"/>
      <c r="J32" s="2093"/>
      <c r="K32" s="1954"/>
      <c r="L32" s="2094">
        <f>D32/$M$15</f>
        <v>0</v>
      </c>
      <c r="M32" s="2095">
        <f t="shared" ref="M32:R33" si="4">E32/$M$15</f>
        <v>0</v>
      </c>
      <c r="N32" s="2094">
        <f t="shared" si="4"/>
        <v>0</v>
      </c>
      <c r="O32" s="2095">
        <f t="shared" si="4"/>
        <v>0</v>
      </c>
      <c r="P32" s="2095">
        <f t="shared" si="4"/>
        <v>0</v>
      </c>
      <c r="Q32" s="2095">
        <f t="shared" si="4"/>
        <v>0</v>
      </c>
      <c r="R32" s="2096">
        <f t="shared" si="4"/>
        <v>0</v>
      </c>
      <c r="S32" s="2080"/>
      <c r="T32" s="2080"/>
      <c r="U32" s="2080"/>
      <c r="V32" s="2080"/>
      <c r="W32" s="2081"/>
      <c r="X32" s="2097"/>
    </row>
    <row r="33" spans="1:31" ht="15.75" thickBot="1">
      <c r="C33" s="2099" t="s">
        <v>1410</v>
      </c>
      <c r="D33" s="2100"/>
      <c r="E33" s="2101"/>
      <c r="F33" s="2100"/>
      <c r="G33" s="2101"/>
      <c r="H33" s="2101"/>
      <c r="I33" s="2101"/>
      <c r="J33" s="2102"/>
      <c r="K33" s="1954"/>
      <c r="L33" s="2094">
        <f>D33/$M$15</f>
        <v>0</v>
      </c>
      <c r="M33" s="2095">
        <f t="shared" si="4"/>
        <v>0</v>
      </c>
      <c r="N33" s="2094">
        <f t="shared" si="4"/>
        <v>0</v>
      </c>
      <c r="O33" s="2095">
        <f t="shared" si="4"/>
        <v>0</v>
      </c>
      <c r="P33" s="2095">
        <f t="shared" si="4"/>
        <v>0</v>
      </c>
      <c r="Q33" s="2095">
        <f t="shared" si="4"/>
        <v>0</v>
      </c>
      <c r="R33" s="2096">
        <f t="shared" si="4"/>
        <v>0</v>
      </c>
      <c r="S33" s="2080"/>
      <c r="T33" s="2080"/>
      <c r="U33" s="2080"/>
      <c r="V33" s="2080"/>
      <c r="W33" s="2081"/>
      <c r="X33" s="2097"/>
    </row>
    <row r="34" spans="1:31" ht="15.75" thickBot="1">
      <c r="A34" s="1989" t="s">
        <v>417</v>
      </c>
      <c r="C34" s="2103" t="s">
        <v>1396</v>
      </c>
      <c r="D34" s="2104">
        <f t="shared" ref="D34:J34" si="5">D26-SUM(D28:D31)+D32+D33</f>
        <v>0</v>
      </c>
      <c r="E34" s="2105">
        <f t="shared" si="5"/>
        <v>0</v>
      </c>
      <c r="F34" s="2104">
        <f t="shared" si="5"/>
        <v>56.985617667156788</v>
      </c>
      <c r="G34" s="2105">
        <f t="shared" si="5"/>
        <v>62.456705104288567</v>
      </c>
      <c r="H34" s="2105">
        <f t="shared" si="5"/>
        <v>64.725135254196104</v>
      </c>
      <c r="I34" s="2105">
        <f t="shared" si="5"/>
        <v>64.3714153847733</v>
      </c>
      <c r="J34" s="2106">
        <f t="shared" si="5"/>
        <v>65.19232297473728</v>
      </c>
      <c r="K34" s="1954"/>
      <c r="L34" s="2107">
        <f t="shared" ref="L34:R34" si="6">+SUM(L26:L33)</f>
        <v>0</v>
      </c>
      <c r="M34" s="2108">
        <f t="shared" si="6"/>
        <v>0</v>
      </c>
      <c r="N34" s="2109">
        <f t="shared" si="6"/>
        <v>62.698995694465921</v>
      </c>
      <c r="O34" s="2108">
        <f t="shared" si="6"/>
        <v>68.718614358044533</v>
      </c>
      <c r="P34" s="2108">
        <f t="shared" si="6"/>
        <v>71.214477314781803</v>
      </c>
      <c r="Q34" s="2108">
        <f t="shared" si="6"/>
        <v>70.825293491250662</v>
      </c>
      <c r="R34" s="2110">
        <f t="shared" si="6"/>
        <v>71.728505276184436</v>
      </c>
      <c r="S34" s="2111"/>
      <c r="T34" s="2111"/>
      <c r="U34" s="2111"/>
      <c r="V34" s="2111"/>
      <c r="W34" s="2112"/>
      <c r="X34" s="2097"/>
    </row>
    <row r="35" spans="1:31" ht="15.75" thickBot="1">
      <c r="C35" s="2113"/>
      <c r="D35" s="2114"/>
      <c r="E35" s="2114"/>
      <c r="F35" s="2115"/>
      <c r="G35" s="2115"/>
      <c r="H35" s="2115"/>
      <c r="I35" s="2115"/>
      <c r="J35" s="2116"/>
      <c r="K35" s="2117"/>
      <c r="L35" s="1954"/>
      <c r="M35" s="2114"/>
      <c r="N35" s="2114"/>
      <c r="O35" s="2114"/>
      <c r="P35" s="2114"/>
      <c r="Q35" s="2114"/>
      <c r="R35" s="2114"/>
      <c r="S35" s="2118"/>
      <c r="T35" s="2118"/>
      <c r="U35" s="2118"/>
      <c r="V35" s="2118"/>
      <c r="W35" s="2119"/>
      <c r="X35" s="2097"/>
    </row>
    <row r="36" spans="1:31" s="2056" customFormat="1" ht="25.5" customHeight="1" thickBot="1">
      <c r="A36" s="2055"/>
      <c r="C36" s="2057" t="s">
        <v>1399</v>
      </c>
      <c r="D36" s="2058"/>
      <c r="E36" s="2058"/>
      <c r="F36" s="2058"/>
      <c r="G36" s="2058"/>
      <c r="H36" s="2058"/>
      <c r="I36" s="2058"/>
      <c r="J36" s="2058"/>
      <c r="K36" s="2058"/>
      <c r="L36" s="2058"/>
      <c r="M36" s="2058"/>
      <c r="N36" s="2058"/>
      <c r="O36" s="2058"/>
      <c r="P36" s="2058"/>
      <c r="Q36" s="2058"/>
      <c r="R36" s="2058"/>
      <c r="S36" s="2058"/>
      <c r="T36" s="2058"/>
      <c r="U36" s="2058"/>
      <c r="V36" s="2058"/>
      <c r="W36" s="2120"/>
      <c r="X36" s="2010"/>
      <c r="Y36" s="1954"/>
      <c r="Z36" s="1954"/>
      <c r="AA36" s="1954"/>
      <c r="AB36" s="1954"/>
      <c r="AC36" s="1954"/>
      <c r="AD36" s="1954"/>
      <c r="AE36" s="1954"/>
    </row>
    <row r="37" spans="1:31" s="2056" customFormat="1" ht="25.5" customHeight="1">
      <c r="A37" s="2055"/>
      <c r="C37" s="2121"/>
      <c r="D37" s="4636" t="s">
        <v>413</v>
      </c>
      <c r="E37" s="4637"/>
      <c r="F37" s="4638" t="s">
        <v>318</v>
      </c>
      <c r="G37" s="4639"/>
      <c r="H37" s="4639"/>
      <c r="I37" s="4639"/>
      <c r="J37" s="4640"/>
      <c r="K37" s="2122"/>
      <c r="L37" s="4641" t="s">
        <v>413</v>
      </c>
      <c r="M37" s="4642"/>
      <c r="N37" s="4643" t="s">
        <v>318</v>
      </c>
      <c r="O37" s="4644"/>
      <c r="P37" s="4644"/>
      <c r="Q37" s="4644"/>
      <c r="R37" s="4645"/>
      <c r="S37" s="2123"/>
      <c r="T37" s="2124"/>
      <c r="U37" s="2124"/>
      <c r="V37" s="2124"/>
      <c r="W37" s="2125"/>
      <c r="X37" s="2010"/>
      <c r="Y37" s="1954"/>
      <c r="Z37" s="1954"/>
      <c r="AA37" s="1954"/>
      <c r="AB37" s="1954"/>
      <c r="AC37" s="1954"/>
      <c r="AD37" s="1954"/>
      <c r="AE37" s="1954"/>
    </row>
    <row r="38" spans="1:31" s="2010" customFormat="1" ht="15.75" thickBot="1">
      <c r="A38" s="2009"/>
      <c r="C38" s="2121"/>
      <c r="D38" s="4657" t="s">
        <v>418</v>
      </c>
      <c r="E38" s="4658"/>
      <c r="F38" s="4659" t="s">
        <v>1529</v>
      </c>
      <c r="G38" s="4660"/>
      <c r="H38" s="4660"/>
      <c r="I38" s="4660"/>
      <c r="J38" s="4661"/>
      <c r="K38" s="2126"/>
      <c r="L38" s="4662" t="str">
        <f>CONCATENATE("$m, real ", (CRCP_y5))</f>
        <v>$m, real 2017</v>
      </c>
      <c r="M38" s="4663"/>
      <c r="N38" s="4659" t="str">
        <f>CONCATENATE("$m, real ", dms_DollarReal)</f>
        <v>$m, real December 2017</v>
      </c>
      <c r="O38" s="4660"/>
      <c r="P38" s="4660"/>
      <c r="Q38" s="4660"/>
      <c r="R38" s="4661"/>
      <c r="S38" s="2127"/>
      <c r="T38" s="2128"/>
      <c r="U38" s="2128"/>
      <c r="V38" s="2128"/>
      <c r="W38" s="2129"/>
      <c r="Y38" s="1954"/>
      <c r="Z38" s="1954"/>
      <c r="AA38" s="1954"/>
      <c r="AB38" s="1954"/>
      <c r="AC38" s="1954"/>
      <c r="AD38" s="1954"/>
      <c r="AE38" s="1954"/>
    </row>
    <row r="39" spans="1:31" s="2010" customFormat="1" ht="15.75" thickBot="1">
      <c r="A39" s="2009"/>
      <c r="C39" s="2019"/>
      <c r="D39" s="2064">
        <f>PRCP_y4</f>
        <v>2011</v>
      </c>
      <c r="E39" s="2065">
        <f>PRCP_y5</f>
        <v>2012</v>
      </c>
      <c r="F39" s="2066">
        <f>CRCP_y1</f>
        <v>2013</v>
      </c>
      <c r="G39" s="2067">
        <f>CRCP_y2</f>
        <v>2014</v>
      </c>
      <c r="H39" s="2067">
        <f>CRCP_y3</f>
        <v>2015</v>
      </c>
      <c r="I39" s="2067">
        <f>CRCP_y4</f>
        <v>2016</v>
      </c>
      <c r="J39" s="2068">
        <f>CRCP_y5</f>
        <v>2017</v>
      </c>
      <c r="K39" s="2126"/>
      <c r="L39" s="2069">
        <f>PRCP_y4</f>
        <v>2011</v>
      </c>
      <c r="M39" s="2070">
        <f>PRCP_y5</f>
        <v>2012</v>
      </c>
      <c r="N39" s="2066">
        <f>CRCP_y1</f>
        <v>2013</v>
      </c>
      <c r="O39" s="2067">
        <f>CRCP_y2</f>
        <v>2014</v>
      </c>
      <c r="P39" s="2067">
        <f>CRCP_y3</f>
        <v>2015</v>
      </c>
      <c r="Q39" s="2067">
        <f>CRCP_y4</f>
        <v>2016</v>
      </c>
      <c r="R39" s="2068">
        <f>CRCP_y5</f>
        <v>2017</v>
      </c>
      <c r="S39" s="2127"/>
      <c r="T39" s="2128"/>
      <c r="U39" s="2128"/>
      <c r="V39" s="2128"/>
      <c r="W39" s="2129"/>
      <c r="Y39" s="1954"/>
      <c r="Z39" s="1954"/>
      <c r="AA39" s="1954"/>
      <c r="AB39" s="1954"/>
      <c r="AC39" s="1954"/>
      <c r="AD39" s="1954"/>
      <c r="AE39" s="1954"/>
    </row>
    <row r="40" spans="1:31">
      <c r="A40" s="1989" t="s">
        <v>419</v>
      </c>
      <c r="C40" s="2074" t="s">
        <v>420</v>
      </c>
      <c r="D40" s="3096"/>
      <c r="E40" s="3097"/>
      <c r="F40" s="3098">
        <v>71.932271852941213</v>
      </c>
      <c r="G40" s="3099">
        <v>65.661699448769326</v>
      </c>
      <c r="H40" s="3099">
        <v>63.587485553120096</v>
      </c>
      <c r="I40" s="3100">
        <v>72.146931176238638</v>
      </c>
      <c r="J40" s="2130"/>
      <c r="K40" s="1954"/>
      <c r="L40" s="2131">
        <f t="shared" ref="L40:M40" si="7">+D40/L$15*(1+L$14)^0.5</f>
        <v>0</v>
      </c>
      <c r="M40" s="2132">
        <f t="shared" si="7"/>
        <v>0</v>
      </c>
      <c r="N40" s="2131">
        <f>+F40/N$15*(1+N$14)^0.5</f>
        <v>78.079773701491789</v>
      </c>
      <c r="O40" s="2132">
        <f>+G40/O$15*(1+O$14)^0.5</f>
        <v>69.718554066185874</v>
      </c>
      <c r="P40" s="2132">
        <f>+H40/P$15*(1+P$14)^0.5</f>
        <v>66.385603046135003</v>
      </c>
      <c r="Q40" s="2133">
        <f>+I40/Q$15*(1+Q$14)^0.5</f>
        <v>74.13973948702089</v>
      </c>
      <c r="R40" s="2134"/>
      <c r="S40" s="2135"/>
      <c r="T40" s="2135"/>
      <c r="U40" s="2135"/>
      <c r="V40" s="2135"/>
      <c r="W40" s="2136"/>
    </row>
    <row r="41" spans="1:31">
      <c r="C41" s="2137" t="s">
        <v>421</v>
      </c>
      <c r="D41" s="2138"/>
      <c r="E41" s="2139"/>
      <c r="F41" s="2138"/>
      <c r="G41" s="2139"/>
      <c r="H41" s="2139"/>
      <c r="I41" s="2140"/>
      <c r="J41" s="2141"/>
      <c r="K41" s="1954"/>
      <c r="L41" s="2142"/>
      <c r="M41" s="2143"/>
      <c r="N41" s="2142"/>
      <c r="O41" s="2143"/>
      <c r="P41" s="2143"/>
      <c r="Q41" s="2144"/>
      <c r="R41" s="2145"/>
      <c r="S41" s="2135"/>
      <c r="T41" s="2135"/>
      <c r="U41" s="2135"/>
      <c r="V41" s="2135"/>
      <c r="W41" s="2136"/>
      <c r="X41" s="2082"/>
    </row>
    <row r="42" spans="1:31">
      <c r="A42" s="1989" t="s">
        <v>422</v>
      </c>
      <c r="C42" s="2090" t="s">
        <v>1402</v>
      </c>
      <c r="D42" s="2091"/>
      <c r="E42" s="2092"/>
      <c r="F42" s="2091"/>
      <c r="G42" s="2092"/>
      <c r="H42" s="2092"/>
      <c r="I42" s="2146"/>
      <c r="J42" s="2141"/>
      <c r="K42" s="1954"/>
      <c r="L42" s="2147">
        <f t="shared" ref="L42:Q48" si="8">-D42/L$15*(1+L$14)^0.5</f>
        <v>0</v>
      </c>
      <c r="M42" s="2148">
        <f t="shared" si="8"/>
        <v>0</v>
      </c>
      <c r="N42" s="2147">
        <f t="shared" si="8"/>
        <v>0</v>
      </c>
      <c r="O42" s="2148">
        <f t="shared" si="8"/>
        <v>0</v>
      </c>
      <c r="P42" s="2148">
        <f t="shared" si="8"/>
        <v>0</v>
      </c>
      <c r="Q42" s="2149">
        <f t="shared" si="8"/>
        <v>0</v>
      </c>
      <c r="R42" s="2150"/>
      <c r="S42" s="2135"/>
      <c r="T42" s="2135"/>
      <c r="U42" s="2135"/>
      <c r="V42" s="2135"/>
      <c r="W42" s="2136"/>
      <c r="X42" s="2151"/>
    </row>
    <row r="43" spans="1:31">
      <c r="A43" s="1989" t="s">
        <v>423</v>
      </c>
      <c r="C43" s="2090" t="s">
        <v>1403</v>
      </c>
      <c r="D43" s="3083"/>
      <c r="E43" s="3084"/>
      <c r="F43" s="3083">
        <v>7.0849381372549018</v>
      </c>
      <c r="G43" s="3084">
        <v>2.7289852902789931</v>
      </c>
      <c r="H43" s="3084">
        <v>-1.1848743245637232</v>
      </c>
      <c r="I43" s="3085">
        <v>-0.26489738597411333</v>
      </c>
      <c r="J43" s="2141"/>
      <c r="K43" s="1954"/>
      <c r="L43" s="2147">
        <f t="shared" si="8"/>
        <v>0</v>
      </c>
      <c r="M43" s="2148">
        <f t="shared" si="8"/>
        <v>0</v>
      </c>
      <c r="N43" s="2147">
        <f t="shared" si="8"/>
        <v>-7.6904336842978802</v>
      </c>
      <c r="O43" s="2148">
        <f t="shared" si="8"/>
        <v>-2.8975934236150493</v>
      </c>
      <c r="P43" s="2148">
        <f t="shared" si="8"/>
        <v>1.2370137910915564</v>
      </c>
      <c r="Q43" s="2149">
        <f t="shared" si="8"/>
        <v>0.27221425591809184</v>
      </c>
      <c r="R43" s="2150"/>
      <c r="S43" s="2135"/>
      <c r="T43" s="2135"/>
      <c r="U43" s="2135"/>
      <c r="V43" s="2135"/>
      <c r="W43" s="2136"/>
      <c r="X43" s="2152"/>
    </row>
    <row r="44" spans="1:31">
      <c r="C44" s="2090" t="str">
        <f>C28</f>
        <v>unaccounted for gas expenses (clause 6.4(j)(3))</v>
      </c>
      <c r="D44" s="3083"/>
      <c r="E44" s="3084"/>
      <c r="F44" s="3083">
        <v>1.5705882352941176</v>
      </c>
      <c r="G44" s="3084">
        <v>0.86113478280897326</v>
      </c>
      <c r="H44" s="3084">
        <v>2.8506271657786648</v>
      </c>
      <c r="I44" s="3085">
        <v>7.5347708780712708</v>
      </c>
      <c r="J44" s="2141"/>
      <c r="K44" s="1954"/>
      <c r="L44" s="2147">
        <f t="shared" si="8"/>
        <v>0</v>
      </c>
      <c r="M44" s="2148">
        <f t="shared" si="8"/>
        <v>0</v>
      </c>
      <c r="N44" s="2147">
        <f t="shared" si="8"/>
        <v>-1.704814415436481</v>
      </c>
      <c r="O44" s="2148">
        <f t="shared" si="8"/>
        <v>-0.91433929394993574</v>
      </c>
      <c r="P44" s="2148">
        <f t="shared" si="8"/>
        <v>-2.9760667812823387</v>
      </c>
      <c r="Q44" s="2149">
        <f t="shared" si="8"/>
        <v>-7.7428927452229228</v>
      </c>
      <c r="R44" s="2153"/>
      <c r="S44" s="2135"/>
      <c r="T44" s="2135"/>
      <c r="U44" s="2135"/>
      <c r="V44" s="2135"/>
      <c r="W44" s="2136"/>
      <c r="X44" s="2152"/>
    </row>
    <row r="45" spans="1:31">
      <c r="A45" s="1989" t="s">
        <v>424</v>
      </c>
      <c r="C45" s="2090" t="str">
        <f>C29</f>
        <v>licence fees (clause 6.4(j)(4))</v>
      </c>
      <c r="D45" s="3083"/>
      <c r="E45" s="3084"/>
      <c r="F45" s="3083">
        <v>3.5814676470588232E-2</v>
      </c>
      <c r="G45" s="3084">
        <v>9.0525051054094301E-3</v>
      </c>
      <c r="H45" s="3084">
        <v>2.3574646571052248E-2</v>
      </c>
      <c r="I45" s="3085">
        <v>7.8304929319834807E-2</v>
      </c>
      <c r="J45" s="2141"/>
      <c r="K45" s="1954"/>
      <c r="L45" s="2147">
        <f t="shared" si="8"/>
        <v>0</v>
      </c>
      <c r="M45" s="2148">
        <f t="shared" si="8"/>
        <v>0</v>
      </c>
      <c r="N45" s="2147">
        <f t="shared" si="8"/>
        <v>-3.8875483312033478E-2</v>
      </c>
      <c r="O45" s="2148">
        <f t="shared" si="8"/>
        <v>-9.6118067598650915E-3</v>
      </c>
      <c r="P45" s="2148">
        <f t="shared" si="8"/>
        <v>-2.461203042714134E-2</v>
      </c>
      <c r="Q45" s="2149">
        <f t="shared" si="8"/>
        <v>-8.0467830934355264E-2</v>
      </c>
      <c r="R45" s="2153"/>
      <c r="S45" s="2135"/>
      <c r="T45" s="2135"/>
      <c r="U45" s="2135"/>
      <c r="V45" s="2135"/>
      <c r="W45" s="2136"/>
      <c r="X45" s="2152"/>
    </row>
    <row r="46" spans="1:31">
      <c r="C46" s="2090" t="str">
        <f>C30</f>
        <v>debt raising costs (clause 6.4(j)(5))</v>
      </c>
      <c r="D46" s="3086"/>
      <c r="E46" s="3087"/>
      <c r="F46" s="3086"/>
      <c r="G46" s="3087"/>
      <c r="H46" s="3087"/>
      <c r="I46" s="3088"/>
      <c r="J46" s="2141"/>
      <c r="K46" s="1954"/>
      <c r="L46" s="2154">
        <f t="shared" si="8"/>
        <v>0</v>
      </c>
      <c r="M46" s="2155">
        <f t="shared" si="8"/>
        <v>0</v>
      </c>
      <c r="N46" s="2154">
        <f t="shared" si="8"/>
        <v>0</v>
      </c>
      <c r="O46" s="2155">
        <f t="shared" si="8"/>
        <v>0</v>
      </c>
      <c r="P46" s="2155">
        <f t="shared" si="8"/>
        <v>0</v>
      </c>
      <c r="Q46" s="2156">
        <f t="shared" si="8"/>
        <v>0</v>
      </c>
      <c r="R46" s="2153"/>
      <c r="S46" s="2135"/>
      <c r="T46" s="2135"/>
      <c r="U46" s="2135"/>
      <c r="V46" s="2135"/>
      <c r="W46" s="2136"/>
      <c r="X46" s="2152"/>
    </row>
    <row r="47" spans="1:31">
      <c r="C47" s="2090" t="s">
        <v>1407</v>
      </c>
      <c r="D47" s="3086"/>
      <c r="E47" s="3087"/>
      <c r="F47" s="3086">
        <v>1.2498172039502153</v>
      </c>
      <c r="G47" s="3087">
        <v>0.8367104369155639</v>
      </c>
      <c r="H47" s="3087">
        <v>0.89294135209340253</v>
      </c>
      <c r="I47" s="3088">
        <v>1.2790010681827384</v>
      </c>
      <c r="J47" s="2141"/>
      <c r="K47" s="1954"/>
      <c r="L47" s="2154">
        <f t="shared" si="8"/>
        <v>0</v>
      </c>
      <c r="M47" s="2155">
        <f t="shared" si="8"/>
        <v>0</v>
      </c>
      <c r="N47" s="2154">
        <f t="shared" si="8"/>
        <v>-1.3566295341285521</v>
      </c>
      <c r="O47" s="2155">
        <f t="shared" si="8"/>
        <v>-0.88840590973971634</v>
      </c>
      <c r="P47" s="2155">
        <f t="shared" si="8"/>
        <v>-0.93223453684186497</v>
      </c>
      <c r="Q47" s="2156">
        <f t="shared" si="8"/>
        <v>-1.3143290290068486</v>
      </c>
      <c r="R47" s="2153"/>
      <c r="S47" s="2135"/>
      <c r="T47" s="2135"/>
      <c r="U47" s="2135"/>
      <c r="V47" s="2135"/>
      <c r="W47" s="2136"/>
      <c r="X47" s="2152"/>
    </row>
    <row r="48" spans="1:31" ht="26.25" thickBot="1">
      <c r="C48" s="2865" t="str">
        <f t="shared" ref="C48" si="9">C31</f>
        <v>any other activity that Multinet and the Regulator agree to exclude from the operation of the efficiency carryover mechanism (clause 6.4(j)(7))</v>
      </c>
      <c r="D48" s="3089"/>
      <c r="E48" s="3090"/>
      <c r="F48" s="3089"/>
      <c r="G48" s="3090"/>
      <c r="H48" s="3090"/>
      <c r="I48" s="3091"/>
      <c r="J48" s="2141"/>
      <c r="K48" s="1954"/>
      <c r="L48" s="2154">
        <f t="shared" si="8"/>
        <v>0</v>
      </c>
      <c r="M48" s="2155">
        <f t="shared" si="8"/>
        <v>0</v>
      </c>
      <c r="N48" s="2154">
        <f t="shared" si="8"/>
        <v>0</v>
      </c>
      <c r="O48" s="2155">
        <f t="shared" si="8"/>
        <v>0</v>
      </c>
      <c r="P48" s="2155">
        <f t="shared" si="8"/>
        <v>0</v>
      </c>
      <c r="Q48" s="2156">
        <f t="shared" si="8"/>
        <v>0</v>
      </c>
      <c r="R48" s="2153"/>
      <c r="S48" s="2135"/>
      <c r="T48" s="2135"/>
      <c r="U48" s="2135"/>
      <c r="V48" s="2135"/>
      <c r="W48" s="2136"/>
      <c r="X48" s="2152"/>
    </row>
    <row r="49" spans="1:32" ht="15.75" thickBot="1">
      <c r="A49" s="1989" t="s">
        <v>425</v>
      </c>
      <c r="C49" s="2103" t="s">
        <v>1397</v>
      </c>
      <c r="D49" s="3092">
        <f t="shared" ref="D49:I49" si="10">+D40-SUM(D42:D48)</f>
        <v>0</v>
      </c>
      <c r="E49" s="3093">
        <f t="shared" si="10"/>
        <v>0</v>
      </c>
      <c r="F49" s="3094">
        <f t="shared" si="10"/>
        <v>61.991113599971392</v>
      </c>
      <c r="G49" s="3093">
        <f t="shared" si="10"/>
        <v>61.225816433660384</v>
      </c>
      <c r="H49" s="3093">
        <f t="shared" si="10"/>
        <v>61.005216713240699</v>
      </c>
      <c r="I49" s="3095">
        <f t="shared" si="10"/>
        <v>63.519751686638912</v>
      </c>
      <c r="J49" s="2157"/>
      <c r="K49" s="1954"/>
      <c r="L49" s="2158">
        <f t="shared" ref="L49:Q49" si="11">L40+SUM(L42:L48)</f>
        <v>0</v>
      </c>
      <c r="M49" s="2159">
        <f t="shared" si="11"/>
        <v>0</v>
      </c>
      <c r="N49" s="2158">
        <f t="shared" si="11"/>
        <v>67.289020584316845</v>
      </c>
      <c r="O49" s="2159">
        <f t="shared" si="11"/>
        <v>65.008603632121307</v>
      </c>
      <c r="P49" s="2159">
        <f t="shared" si="11"/>
        <v>63.689703488675214</v>
      </c>
      <c r="Q49" s="2160">
        <f t="shared" si="11"/>
        <v>65.27426413777485</v>
      </c>
      <c r="R49" s="2161">
        <f>+Q49+R34-Q34</f>
        <v>66.177475922708638</v>
      </c>
      <c r="S49" s="2162"/>
      <c r="T49" s="2162"/>
      <c r="U49" s="2162"/>
      <c r="V49" s="2162"/>
      <c r="W49" s="2163"/>
      <c r="X49" s="2082"/>
    </row>
    <row r="50" spans="1:32" ht="39.950000000000003" customHeight="1" thickBot="1">
      <c r="C50" s="1957"/>
      <c r="D50" s="1957"/>
      <c r="E50" s="2164"/>
      <c r="F50" s="1957"/>
      <c r="G50" s="1957"/>
      <c r="H50" s="1957"/>
      <c r="I50" s="1957"/>
      <c r="J50" s="1957"/>
      <c r="K50" s="1954"/>
      <c r="L50" s="1957"/>
      <c r="M50" s="1957"/>
      <c r="N50" s="1957"/>
      <c r="O50" s="1957"/>
      <c r="P50" s="1957"/>
      <c r="Q50" s="2165"/>
      <c r="R50" s="2166"/>
      <c r="S50" s="2167"/>
      <c r="T50" s="2167"/>
      <c r="U50" s="2167"/>
      <c r="V50" s="2167"/>
      <c r="W50" s="2167"/>
      <c r="X50" s="2167"/>
    </row>
    <row r="51" spans="1:32" s="2010" customFormat="1" ht="18.75" thickBot="1">
      <c r="A51" s="2009"/>
      <c r="C51" s="2168"/>
      <c r="D51" s="2168"/>
      <c r="E51" s="2168"/>
      <c r="F51" s="3101"/>
      <c r="G51" s="3101"/>
      <c r="H51" s="3101"/>
      <c r="I51" s="3101"/>
      <c r="J51" s="2169"/>
      <c r="L51" s="2170" t="str">
        <f>CONCATENATE("Incremental gain ($m, ",CRCP_y5,")")</f>
        <v>Incremental gain ($m, 2017)</v>
      </c>
      <c r="M51" s="2171"/>
      <c r="N51" s="2172"/>
      <c r="O51" s="2172"/>
      <c r="P51" s="2172"/>
      <c r="Q51" s="2172"/>
      <c r="R51" s="2172"/>
      <c r="S51" s="2172"/>
      <c r="T51" s="2172"/>
      <c r="U51" s="2172"/>
      <c r="V51" s="2172"/>
      <c r="W51" s="2173"/>
      <c r="X51" s="1995"/>
      <c r="Y51" s="1954"/>
      <c r="Z51" s="1954"/>
      <c r="AA51" s="1954"/>
      <c r="AB51" s="1954"/>
      <c r="AC51" s="1954"/>
      <c r="AD51" s="1954"/>
      <c r="AE51" s="1954"/>
    </row>
    <row r="52" spans="1:32" ht="15.75" thickBot="1">
      <c r="C52" s="1957"/>
      <c r="D52" s="1957"/>
      <c r="E52" s="1957"/>
      <c r="F52" s="3101"/>
      <c r="G52" s="3101"/>
      <c r="H52" s="3101"/>
      <c r="I52" s="3101"/>
      <c r="J52" s="1957"/>
      <c r="K52" s="1954"/>
      <c r="L52" s="2174"/>
      <c r="M52" s="2175"/>
      <c r="N52" s="2176">
        <f>(N34-N49)</f>
        <v>-4.5900248898509233</v>
      </c>
      <c r="O52" s="2177">
        <f>(O34-O49)-(N34-N49)</f>
        <v>8.3000356157741493</v>
      </c>
      <c r="P52" s="2177">
        <f>(P34-P49)-(O34-O49)</f>
        <v>3.8147631001833631</v>
      </c>
      <c r="Q52" s="2177">
        <f>(Q34-Q49)-(P34-P49)</f>
        <v>-1.9737444726307771</v>
      </c>
      <c r="R52" s="2178">
        <f>(R34-R49)-(Q34-Q49)</f>
        <v>-1.4210854715202004E-14</v>
      </c>
      <c r="S52" s="2179"/>
      <c r="T52" s="2180"/>
      <c r="U52" s="2180"/>
      <c r="V52" s="2180"/>
      <c r="W52" s="2181"/>
      <c r="X52" s="2082"/>
    </row>
    <row r="53" spans="1:32" ht="39.950000000000003" customHeight="1" thickBot="1">
      <c r="C53" s="3074"/>
      <c r="F53" s="3101"/>
      <c r="G53" s="3101"/>
      <c r="H53" s="3101"/>
      <c r="I53" s="3101"/>
      <c r="J53" s="1957"/>
      <c r="K53" s="1954"/>
      <c r="L53" s="2182"/>
      <c r="M53" s="2182"/>
      <c r="N53" s="2183"/>
      <c r="O53" s="2182"/>
      <c r="P53" s="2182"/>
      <c r="Q53" s="2182"/>
      <c r="R53" s="2182"/>
      <c r="S53" s="2182"/>
      <c r="T53" s="2182"/>
      <c r="U53" s="2182"/>
      <c r="V53" s="2182"/>
      <c r="W53" s="2182"/>
      <c r="X53" s="2046"/>
    </row>
    <row r="54" spans="1:32" s="2010" customFormat="1" ht="18.75" thickBot="1">
      <c r="A54" s="2009"/>
      <c r="C54" s="3076"/>
      <c r="D54" s="2168"/>
      <c r="F54" s="3101"/>
      <c r="G54" s="3101"/>
      <c r="H54" s="3101"/>
      <c r="I54" s="3101"/>
      <c r="J54" s="2184"/>
      <c r="L54" s="2185" t="s">
        <v>426</v>
      </c>
      <c r="M54" s="2172"/>
      <c r="N54" s="4667" t="str">
        <f>CONCATENATE("$m, real ", CRCP_y5)</f>
        <v>$m, real 2017</v>
      </c>
      <c r="O54" s="4668"/>
      <c r="P54" s="4668"/>
      <c r="Q54" s="4668"/>
      <c r="R54" s="4668"/>
      <c r="S54" s="4668"/>
      <c r="T54" s="4668"/>
      <c r="U54" s="4668"/>
      <c r="V54" s="4668"/>
      <c r="W54" s="4669"/>
      <c r="X54" s="2186" t="s">
        <v>396</v>
      </c>
      <c r="Y54" s="2187"/>
      <c r="Z54" s="1954"/>
      <c r="AA54" s="1954"/>
      <c r="AB54" s="1954"/>
      <c r="AC54" s="1954"/>
      <c r="AD54" s="1954"/>
      <c r="AE54" s="1954"/>
      <c r="AF54" s="1954"/>
    </row>
    <row r="55" spans="1:32" s="2010" customFormat="1" ht="18.75" thickBot="1">
      <c r="A55" s="2009"/>
      <c r="C55" s="3076"/>
      <c r="D55" s="2168"/>
      <c r="F55" s="3101"/>
      <c r="G55" s="3101"/>
      <c r="H55" s="3101"/>
      <c r="I55" s="3101"/>
      <c r="J55" s="2184"/>
      <c r="L55" s="2185"/>
      <c r="M55" s="2172"/>
      <c r="N55" s="3079"/>
      <c r="O55" s="3039"/>
      <c r="P55" s="3080"/>
      <c r="Q55" s="3080"/>
      <c r="R55" s="3080"/>
      <c r="S55" s="3080"/>
      <c r="T55" s="3080"/>
      <c r="U55" s="3080"/>
      <c r="V55" s="3080"/>
      <c r="W55" s="3081"/>
      <c r="X55" s="3082"/>
      <c r="Y55" s="2187"/>
      <c r="Z55" s="1954"/>
      <c r="AA55" s="1954"/>
      <c r="AB55" s="1954"/>
      <c r="AC55" s="1954"/>
      <c r="AD55" s="1954"/>
      <c r="AE55" s="1954"/>
      <c r="AF55" s="1954"/>
    </row>
    <row r="56" spans="1:32" s="1993" customFormat="1" ht="15.75" thickBot="1">
      <c r="A56" s="1989"/>
      <c r="B56" s="1998"/>
      <c r="C56" s="3075"/>
      <c r="D56" s="1957"/>
      <c r="F56" s="3101"/>
      <c r="G56" s="3101"/>
      <c r="H56" s="3101"/>
      <c r="I56" s="3101"/>
      <c r="J56" s="1957"/>
      <c r="K56" s="1954"/>
      <c r="L56" s="4670">
        <f>CRCP_y1</f>
        <v>2013</v>
      </c>
      <c r="M56" s="4671"/>
      <c r="N56" s="2188"/>
      <c r="O56" s="2189">
        <f>$N$52</f>
        <v>-4.5900248898509233</v>
      </c>
      <c r="P56" s="2132">
        <f>$N$52</f>
        <v>-4.5900248898509233</v>
      </c>
      <c r="Q56" s="2190">
        <f>$N$52</f>
        <v>-4.5900248898509233</v>
      </c>
      <c r="R56" s="2132">
        <f>$N$52</f>
        <v>-4.5900248898509233</v>
      </c>
      <c r="S56" s="2191">
        <f>$N$52</f>
        <v>-4.5900248898509233</v>
      </c>
      <c r="T56" s="2192"/>
      <c r="U56" s="2192"/>
      <c r="V56" s="2192"/>
      <c r="W56" s="2193"/>
      <c r="X56" s="2194"/>
      <c r="Y56" s="1954"/>
      <c r="Z56" s="1954"/>
      <c r="AA56" s="1954"/>
      <c r="AB56" s="1954"/>
      <c r="AC56" s="1954"/>
      <c r="AD56" s="1954"/>
      <c r="AE56" s="1954"/>
      <c r="AF56" s="1954"/>
    </row>
    <row r="57" spans="1:32" s="1993" customFormat="1" ht="15.75" thickBot="1">
      <c r="A57" s="1989"/>
      <c r="B57" s="1998"/>
      <c r="C57" s="3075"/>
      <c r="D57" s="1957"/>
      <c r="F57" s="3101"/>
      <c r="G57" s="3101"/>
      <c r="H57" s="3101"/>
      <c r="I57" s="3101"/>
      <c r="J57" s="1957"/>
      <c r="K57" s="1954"/>
      <c r="L57" s="4672">
        <f>CRCP_y2</f>
        <v>2014</v>
      </c>
      <c r="M57" s="4673"/>
      <c r="N57" s="2195"/>
      <c r="O57" s="2196"/>
      <c r="P57" s="2197">
        <f>$O$52</f>
        <v>8.3000356157741493</v>
      </c>
      <c r="Q57" s="2198">
        <f>$O$52</f>
        <v>8.3000356157741493</v>
      </c>
      <c r="R57" s="2148">
        <f>$O$52</f>
        <v>8.3000356157741493</v>
      </c>
      <c r="S57" s="2198">
        <f>$O$52</f>
        <v>8.3000356157741493</v>
      </c>
      <c r="T57" s="2199">
        <f>$O$52</f>
        <v>8.3000356157741493</v>
      </c>
      <c r="U57" s="2200"/>
      <c r="V57" s="2200"/>
      <c r="W57" s="2201"/>
      <c r="X57" s="2194"/>
      <c r="Y57" s="1954"/>
      <c r="Z57" s="1954"/>
      <c r="AA57" s="1954"/>
      <c r="AB57" s="1954"/>
      <c r="AC57" s="1954"/>
      <c r="AD57" s="1954"/>
      <c r="AE57" s="1954"/>
      <c r="AF57" s="1954"/>
    </row>
    <row r="58" spans="1:32" s="1993" customFormat="1" ht="15.75" thickBot="1">
      <c r="A58" s="1989"/>
      <c r="B58" s="1998"/>
      <c r="C58" s="3075"/>
      <c r="D58" s="1957"/>
      <c r="F58" s="3101"/>
      <c r="G58" s="3101"/>
      <c r="H58" s="3101"/>
      <c r="I58" s="3101"/>
      <c r="J58" s="1957"/>
      <c r="K58" s="1954"/>
      <c r="L58" s="4672">
        <f>CRCP_y3</f>
        <v>2015</v>
      </c>
      <c r="M58" s="4673"/>
      <c r="N58" s="2195"/>
      <c r="O58" s="2200"/>
      <c r="P58" s="2196"/>
      <c r="Q58" s="2202">
        <f>$P$52</f>
        <v>3.8147631001833631</v>
      </c>
      <c r="R58" s="2148">
        <f>$P$52</f>
        <v>3.8147631001833631</v>
      </c>
      <c r="S58" s="2198">
        <f>$P$52</f>
        <v>3.8147631001833631</v>
      </c>
      <c r="T58" s="2148">
        <f>$P$52</f>
        <v>3.8147631001833631</v>
      </c>
      <c r="U58" s="2191">
        <f>$P$52</f>
        <v>3.8147631001833631</v>
      </c>
      <c r="V58" s="2200"/>
      <c r="W58" s="2201"/>
      <c r="X58" s="2194"/>
      <c r="Y58" s="1954"/>
      <c r="Z58" s="1954"/>
      <c r="AA58" s="1954"/>
      <c r="AB58" s="1954"/>
      <c r="AC58" s="1954"/>
      <c r="AD58" s="1954"/>
      <c r="AE58" s="1954"/>
      <c r="AF58" s="1954"/>
    </row>
    <row r="59" spans="1:32" s="1993" customFormat="1" ht="15.75" thickBot="1">
      <c r="A59" s="1989"/>
      <c r="B59" s="1998"/>
      <c r="C59" s="3075"/>
      <c r="D59" s="1957"/>
      <c r="F59" s="3075"/>
      <c r="G59" s="3075"/>
      <c r="H59" s="3075"/>
      <c r="I59" s="3075"/>
      <c r="J59" s="1957"/>
      <c r="K59" s="1954"/>
      <c r="L59" s="4672">
        <f>CRCP_y4</f>
        <v>2016</v>
      </c>
      <c r="M59" s="4673"/>
      <c r="N59" s="2195"/>
      <c r="O59" s="2200"/>
      <c r="P59" s="2200"/>
      <c r="Q59" s="2196"/>
      <c r="R59" s="2197">
        <f>$Q$52</f>
        <v>-1.9737444726307771</v>
      </c>
      <c r="S59" s="2148">
        <f>$Q$52</f>
        <v>-1.9737444726307771</v>
      </c>
      <c r="T59" s="2155">
        <f>$Q$52</f>
        <v>-1.9737444726307771</v>
      </c>
      <c r="U59" s="2198">
        <f>$Q$52</f>
        <v>-1.9737444726307771</v>
      </c>
      <c r="V59" s="2199">
        <f>$Q$52</f>
        <v>-1.9737444726307771</v>
      </c>
      <c r="W59" s="2203"/>
      <c r="X59" s="2194"/>
      <c r="Y59" s="1954"/>
      <c r="Z59" s="1954"/>
      <c r="AA59" s="1954"/>
      <c r="AB59" s="1954"/>
      <c r="AC59" s="1954"/>
      <c r="AD59" s="1954"/>
      <c r="AE59" s="1954"/>
      <c r="AF59" s="1954"/>
    </row>
    <row r="60" spans="1:32" s="1993" customFormat="1" ht="15.75" thickBot="1">
      <c r="A60" s="1989"/>
      <c r="B60" s="1998"/>
      <c r="C60" s="3077"/>
      <c r="D60" s="2204"/>
      <c r="F60" s="3077"/>
      <c r="G60" s="3078"/>
      <c r="H60" s="3078"/>
      <c r="I60" s="3078"/>
      <c r="J60" s="2205"/>
      <c r="K60" s="1954"/>
      <c r="L60" s="4672">
        <f>CRCP_y5</f>
        <v>2017</v>
      </c>
      <c r="M60" s="4673"/>
      <c r="N60" s="2206"/>
      <c r="O60" s="2207"/>
      <c r="P60" s="2207"/>
      <c r="Q60" s="2207"/>
      <c r="R60" s="2208"/>
      <c r="S60" s="2202">
        <f>+$R$52</f>
        <v>-1.4210854715202004E-14</v>
      </c>
      <c r="T60" s="2209">
        <f>+$R$52</f>
        <v>-1.4210854715202004E-14</v>
      </c>
      <c r="U60" s="2210">
        <f>+$R$52</f>
        <v>-1.4210854715202004E-14</v>
      </c>
      <c r="V60" s="2211">
        <f>+$R$52</f>
        <v>-1.4210854715202004E-14</v>
      </c>
      <c r="W60" s="2212">
        <f>+$R$52</f>
        <v>-1.4210854715202004E-14</v>
      </c>
      <c r="X60" s="2213"/>
      <c r="Y60" s="1954"/>
      <c r="Z60" s="1954"/>
      <c r="AA60" s="1954"/>
      <c r="AB60" s="1954"/>
      <c r="AC60" s="1954"/>
      <c r="AD60" s="1954"/>
      <c r="AE60" s="1954"/>
      <c r="AF60" s="1954"/>
    </row>
    <row r="61" spans="1:32" s="1993" customFormat="1" ht="15.75" customHeight="1" thickBot="1">
      <c r="A61" s="1989"/>
      <c r="B61" s="1998"/>
      <c r="C61" s="3077"/>
      <c r="D61" s="2204"/>
      <c r="F61" s="3077"/>
      <c r="G61" s="3078"/>
      <c r="H61" s="3078"/>
      <c r="I61" s="3078"/>
      <c r="J61" s="2205"/>
      <c r="K61" s="1954"/>
      <c r="L61" s="2214" t="s">
        <v>427</v>
      </c>
      <c r="M61" s="2215"/>
      <c r="N61" s="2215"/>
      <c r="O61" s="2216"/>
      <c r="P61" s="2216"/>
      <c r="Q61" s="2216"/>
      <c r="R61" s="2217"/>
      <c r="S61" s="2218">
        <f>+SUM(S56:S60)</f>
        <v>5.5510293534757977</v>
      </c>
      <c r="T61" s="2219">
        <f>+SUM(T56:T60)</f>
        <v>10.141054243326721</v>
      </c>
      <c r="U61" s="2220">
        <f>+SUM(U56:U60)</f>
        <v>1.8410186275525717</v>
      </c>
      <c r="V61" s="2221">
        <f>+SUM(V56:V60)</f>
        <v>-1.9737444726307913</v>
      </c>
      <c r="W61" s="2222">
        <f>+SUM(W56:W60)</f>
        <v>-1.4210854715202004E-14</v>
      </c>
      <c r="X61" s="2223">
        <f>+SUM(S61:W61)</f>
        <v>15.559357751724285</v>
      </c>
      <c r="Y61" s="1954"/>
      <c r="Z61" s="1954"/>
      <c r="AA61" s="1954"/>
      <c r="AB61" s="1954"/>
      <c r="AC61" s="1954"/>
      <c r="AD61" s="1954"/>
      <c r="AE61" s="1954"/>
      <c r="AF61" s="1954"/>
    </row>
    <row r="62" spans="1:32" s="1993" customFormat="1" ht="15.75" thickBot="1">
      <c r="A62" s="1989"/>
      <c r="B62" s="1998"/>
      <c r="C62" s="2204"/>
      <c r="D62" s="2204"/>
      <c r="E62" s="2204"/>
      <c r="F62" s="2204"/>
      <c r="G62" s="2205"/>
      <c r="H62" s="2205"/>
      <c r="I62" s="2205"/>
      <c r="J62" s="2205"/>
      <c r="K62" s="1954"/>
      <c r="L62" s="2224"/>
      <c r="M62" s="2224"/>
      <c r="N62" s="2224"/>
      <c r="O62" s="2224"/>
      <c r="P62" s="2224"/>
      <c r="Q62" s="2224"/>
      <c r="R62" s="2224"/>
      <c r="S62" s="2225"/>
      <c r="T62" s="2225"/>
      <c r="U62" s="2225"/>
      <c r="V62" s="2225"/>
      <c r="W62" s="2225"/>
      <c r="X62" s="2152"/>
      <c r="Y62" s="1954"/>
      <c r="Z62" s="1954"/>
      <c r="AA62" s="1954"/>
      <c r="AB62" s="1954"/>
      <c r="AC62" s="1954"/>
      <c r="AD62" s="1954"/>
      <c r="AE62" s="1954"/>
      <c r="AF62" s="1954"/>
    </row>
    <row r="63" spans="1:32" s="1993" customFormat="1" ht="15.75" thickBot="1">
      <c r="A63" s="1989"/>
      <c r="B63" s="1998"/>
      <c r="C63" s="2204"/>
      <c r="D63" s="2204"/>
      <c r="E63" s="2204"/>
      <c r="F63" s="2204"/>
      <c r="G63" s="2204"/>
      <c r="H63" s="2204"/>
      <c r="I63" s="2204"/>
      <c r="J63" s="2204"/>
      <c r="K63" s="1954"/>
      <c r="L63" s="2226" t="s">
        <v>428</v>
      </c>
      <c r="M63" s="2227"/>
      <c r="N63" s="2227"/>
      <c r="O63" s="2228"/>
      <c r="P63" s="2228"/>
      <c r="Q63" s="2228"/>
      <c r="R63" s="2229"/>
      <c r="S63" s="2230">
        <f>S61</f>
        <v>5.5510293534757977</v>
      </c>
      <c r="T63" s="2231">
        <f>T61</f>
        <v>10.141054243326721</v>
      </c>
      <c r="U63" s="2231">
        <f>U61</f>
        <v>1.8410186275525717</v>
      </c>
      <c r="V63" s="2231">
        <f>V61</f>
        <v>-1.9737444726307913</v>
      </c>
      <c r="W63" s="2231">
        <f>W61</f>
        <v>-1.4210854715202004E-14</v>
      </c>
      <c r="X63" s="2232">
        <f>+SUM(S63:W63)</f>
        <v>15.559357751724285</v>
      </c>
      <c r="Y63" s="1954"/>
      <c r="Z63" s="1954"/>
      <c r="AA63" s="1954"/>
      <c r="AB63" s="1954"/>
      <c r="AC63" s="1954"/>
      <c r="AD63" s="1954"/>
      <c r="AE63" s="1954"/>
      <c r="AF63" s="1954"/>
    </row>
    <row r="64" spans="1:32" s="1993" customFormat="1" ht="15.75" thickBot="1">
      <c r="A64" s="1989"/>
      <c r="B64" s="1998"/>
      <c r="C64" s="2233"/>
      <c r="D64" s="2233"/>
      <c r="E64" s="2233"/>
      <c r="F64" s="2233"/>
      <c r="G64" s="2233"/>
      <c r="H64" s="2233"/>
      <c r="I64" s="2233"/>
      <c r="J64" s="2233"/>
      <c r="K64" s="1954"/>
      <c r="L64" s="2234"/>
      <c r="M64" s="2234"/>
      <c r="N64" s="2234"/>
      <c r="O64" s="2234"/>
      <c r="P64" s="2234"/>
      <c r="Q64" s="2235"/>
      <c r="R64" s="2234"/>
      <c r="S64" s="2234"/>
      <c r="T64" s="2234"/>
      <c r="U64" s="2235"/>
      <c r="V64" s="2235"/>
      <c r="W64" s="2235"/>
      <c r="X64" s="2236"/>
      <c r="Y64" s="1954"/>
      <c r="Z64" s="1954"/>
      <c r="AA64" s="1954"/>
      <c r="AB64" s="1954"/>
      <c r="AC64" s="1954"/>
      <c r="AD64" s="1954"/>
      <c r="AE64" s="1954"/>
      <c r="AF64" s="1954"/>
    </row>
    <row r="65" spans="1:34" s="2241" customFormat="1" ht="33" customHeight="1" thickBot="1">
      <c r="A65" s="2237"/>
      <c r="B65" s="2238"/>
      <c r="C65" s="3151" t="s">
        <v>1400</v>
      </c>
      <c r="D65" s="3152"/>
      <c r="E65" s="3152"/>
      <c r="F65" s="3152"/>
      <c r="G65" s="3152"/>
      <c r="H65" s="3152"/>
      <c r="I65" s="3153"/>
      <c r="J65" s="1954"/>
      <c r="K65" s="1954"/>
      <c r="L65" s="2001"/>
      <c r="M65" s="2001"/>
      <c r="N65" s="2001"/>
      <c r="O65" s="2001"/>
      <c r="P65" s="2001"/>
      <c r="Q65" s="2239"/>
      <c r="R65" s="2239" t="s">
        <v>401</v>
      </c>
      <c r="S65" s="2239"/>
      <c r="T65" s="2239"/>
      <c r="U65" s="2239"/>
      <c r="V65" s="2239"/>
      <c r="W65" s="2239"/>
      <c r="X65" s="2239"/>
      <c r="Y65" s="1954"/>
      <c r="Z65" s="1954"/>
      <c r="AA65" s="1954"/>
      <c r="AB65" s="1954"/>
      <c r="AC65" s="1954"/>
      <c r="AD65" s="1954"/>
      <c r="AE65" s="1954"/>
      <c r="AF65" s="1954"/>
      <c r="AG65" s="1954"/>
      <c r="AH65" s="2240"/>
    </row>
    <row r="66" spans="1:34" s="2010" customFormat="1" ht="18" customHeight="1">
      <c r="A66" s="1989"/>
      <c r="B66" s="1989"/>
      <c r="C66" s="3154"/>
      <c r="D66" s="4674" t="s">
        <v>314</v>
      </c>
      <c r="E66" s="4675"/>
      <c r="F66" s="4675"/>
      <c r="G66" s="4675"/>
      <c r="H66" s="4676"/>
      <c r="I66" s="3155"/>
      <c r="J66" s="2242"/>
      <c r="K66" s="2243"/>
      <c r="L66" s="2243"/>
      <c r="M66" s="2242"/>
      <c r="N66" s="2242"/>
      <c r="O66" s="2242"/>
      <c r="P66" s="2244"/>
      <c r="Q66" s="2244"/>
      <c r="R66" s="2245"/>
      <c r="S66" s="2245"/>
      <c r="T66" s="2245"/>
      <c r="U66" s="2245"/>
      <c r="V66" s="2245"/>
      <c r="W66" s="2245"/>
      <c r="X66" s="1954"/>
      <c r="Y66" s="1954"/>
      <c r="Z66" s="1954"/>
      <c r="AA66" s="1954"/>
      <c r="AB66" s="1954"/>
      <c r="AC66" s="1954"/>
      <c r="AD66" s="1954"/>
    </row>
    <row r="67" spans="1:34" s="2010" customFormat="1" ht="18" customHeight="1" thickBot="1">
      <c r="A67" s="2246"/>
      <c r="B67" s="2246"/>
      <c r="C67" s="3154"/>
      <c r="D67" s="4664" t="str">
        <f>CONCATENATE("$m, real ", dms_DollarReal)</f>
        <v>$m, real December 2017</v>
      </c>
      <c r="E67" s="4665"/>
      <c r="F67" s="4665"/>
      <c r="G67" s="4665"/>
      <c r="H67" s="4666"/>
      <c r="I67" s="3156"/>
      <c r="J67" s="2247"/>
      <c r="K67" s="2242"/>
      <c r="L67" s="2242"/>
      <c r="M67" s="2247"/>
      <c r="N67" s="2247"/>
      <c r="O67" s="2247"/>
      <c r="P67" s="2244"/>
      <c r="Q67" s="2244"/>
      <c r="R67" s="2245"/>
      <c r="S67" s="2245"/>
      <c r="T67" s="2245"/>
      <c r="U67" s="2245"/>
      <c r="V67" s="2245"/>
      <c r="W67" s="2245"/>
      <c r="X67" s="1954"/>
      <c r="Y67" s="1954"/>
      <c r="Z67" s="1954"/>
      <c r="AA67" s="1954"/>
      <c r="AB67" s="1954"/>
      <c r="AC67" s="1954"/>
      <c r="AD67" s="1954"/>
    </row>
    <row r="68" spans="1:34" s="2010" customFormat="1" ht="15.75" thickBot="1">
      <c r="A68" s="1989"/>
      <c r="B68" s="1989"/>
      <c r="C68" s="3154"/>
      <c r="D68" s="3157" t="str">
        <f t="array" ref="D68:H68">FRCP</f>
        <v>2018</v>
      </c>
      <c r="E68" s="3158">
        <v>2019</v>
      </c>
      <c r="F68" s="3158">
        <v>2020</v>
      </c>
      <c r="G68" s="3158">
        <v>2021</v>
      </c>
      <c r="H68" s="3159">
        <v>2022</v>
      </c>
      <c r="I68" s="3156" t="s">
        <v>65</v>
      </c>
      <c r="J68" s="2247"/>
      <c r="K68" s="2242"/>
      <c r="L68" s="2242"/>
      <c r="M68" s="2247"/>
      <c r="N68" s="2247"/>
      <c r="O68" s="2247"/>
      <c r="P68" s="2244"/>
      <c r="Q68" s="2244"/>
      <c r="R68" s="2245"/>
      <c r="S68" s="2245"/>
      <c r="T68" s="2245"/>
      <c r="U68" s="2245"/>
      <c r="V68" s="2245"/>
      <c r="W68" s="2245"/>
      <c r="X68" s="1954"/>
      <c r="Y68" s="1954"/>
      <c r="Z68" s="1954"/>
      <c r="AA68" s="1954"/>
      <c r="AB68" s="1954"/>
      <c r="AC68" s="1954"/>
      <c r="AD68" s="1954"/>
    </row>
    <row r="69" spans="1:34">
      <c r="A69" s="1989" t="s">
        <v>429</v>
      </c>
      <c r="C69" s="3160" t="s">
        <v>743</v>
      </c>
      <c r="D69" s="3161"/>
      <c r="E69" s="3161"/>
      <c r="F69" s="3161"/>
      <c r="G69" s="3161"/>
      <c r="H69" s="3161"/>
      <c r="I69" s="3162">
        <f>+SUM(D69:H69)</f>
        <v>0</v>
      </c>
      <c r="J69" s="1954"/>
      <c r="K69" s="2248"/>
      <c r="L69" s="2248"/>
      <c r="M69" s="2234"/>
      <c r="N69" s="2234"/>
      <c r="O69" s="2234"/>
      <c r="P69" s="2248"/>
      <c r="Q69" s="2248"/>
      <c r="R69" s="2248"/>
      <c r="S69" s="2236"/>
      <c r="T69" s="2236"/>
      <c r="U69" s="2233"/>
      <c r="V69" s="2233"/>
      <c r="W69" s="2233"/>
      <c r="X69" s="1954"/>
      <c r="AG69" s="1993"/>
    </row>
    <row r="70" spans="1:34">
      <c r="C70" s="3163" t="s">
        <v>430</v>
      </c>
      <c r="D70" s="3164"/>
      <c r="E70" s="3164"/>
      <c r="F70" s="3164"/>
      <c r="G70" s="3164"/>
      <c r="H70" s="3164"/>
      <c r="I70" s="3165"/>
      <c r="J70" s="1954"/>
      <c r="K70" s="2249"/>
      <c r="L70" s="2249"/>
      <c r="M70" s="2234"/>
      <c r="N70" s="2234"/>
      <c r="O70" s="2234"/>
      <c r="P70" s="2249"/>
      <c r="Q70" s="2249"/>
      <c r="R70" s="2249"/>
      <c r="S70" s="2250"/>
      <c r="T70" s="2236"/>
      <c r="U70" s="2233"/>
      <c r="V70" s="2233"/>
      <c r="W70" s="2233"/>
      <c r="X70" s="1954"/>
      <c r="AG70" s="1993"/>
    </row>
    <row r="71" spans="1:34">
      <c r="A71" s="1989" t="s">
        <v>431</v>
      </c>
      <c r="C71" s="3166" t="s">
        <v>432</v>
      </c>
      <c r="D71" s="3167"/>
      <c r="E71" s="3167"/>
      <c r="F71" s="3167"/>
      <c r="G71" s="3167"/>
      <c r="H71" s="3167"/>
      <c r="I71" s="3168">
        <f t="shared" ref="I71:I80" si="12">+SUM(D71:H71)</f>
        <v>0</v>
      </c>
      <c r="J71" s="1954"/>
      <c r="K71" s="2234"/>
      <c r="L71" s="2234"/>
      <c r="M71" s="2234"/>
      <c r="N71" s="2234"/>
      <c r="O71" s="2234"/>
      <c r="P71" s="2234"/>
      <c r="Q71" s="2234"/>
      <c r="R71" s="2234"/>
      <c r="S71" s="2236"/>
      <c r="T71" s="2250"/>
      <c r="U71" s="2233"/>
      <c r="V71" s="2233"/>
      <c r="W71" s="2233"/>
      <c r="X71" s="1954"/>
      <c r="AG71" s="1993"/>
    </row>
    <row r="72" spans="1:34">
      <c r="A72" s="1989" t="s">
        <v>433</v>
      </c>
      <c r="C72" s="3169" t="s">
        <v>434</v>
      </c>
      <c r="D72" s="3167"/>
      <c r="E72" s="3167"/>
      <c r="F72" s="3167"/>
      <c r="G72" s="3167"/>
      <c r="H72" s="3167"/>
      <c r="I72" s="3168">
        <f t="shared" si="12"/>
        <v>0</v>
      </c>
      <c r="J72" s="1954"/>
      <c r="K72" s="2234"/>
      <c r="L72" s="2234"/>
      <c r="P72" s="2234"/>
      <c r="Q72" s="2234"/>
      <c r="R72" s="2234"/>
      <c r="S72" s="2236"/>
      <c r="T72" s="2236"/>
      <c r="U72" s="2233"/>
      <c r="V72" s="2233"/>
      <c r="W72" s="2233"/>
      <c r="X72" s="1954"/>
      <c r="AG72" s="1993"/>
    </row>
    <row r="73" spans="1:34">
      <c r="A73" s="1989" t="s">
        <v>435</v>
      </c>
      <c r="C73" s="3169" t="s">
        <v>434</v>
      </c>
      <c r="D73" s="3167"/>
      <c r="E73" s="3167"/>
      <c r="F73" s="3167"/>
      <c r="G73" s="3167"/>
      <c r="H73" s="3167"/>
      <c r="I73" s="3168">
        <f t="shared" si="12"/>
        <v>0</v>
      </c>
      <c r="J73" s="1954"/>
      <c r="K73" s="2234"/>
      <c r="L73" s="2234"/>
      <c r="P73" s="2234"/>
      <c r="Q73" s="2234"/>
      <c r="R73" s="2234"/>
      <c r="S73" s="2236"/>
      <c r="T73" s="2236"/>
      <c r="U73" s="2233"/>
      <c r="V73" s="2233"/>
      <c r="W73" s="2233"/>
      <c r="X73" s="1954"/>
      <c r="AG73" s="1993"/>
    </row>
    <row r="74" spans="1:34">
      <c r="A74" s="1989" t="s">
        <v>436</v>
      </c>
      <c r="C74" s="3169" t="s">
        <v>434</v>
      </c>
      <c r="D74" s="3167"/>
      <c r="E74" s="3167"/>
      <c r="F74" s="3167"/>
      <c r="G74" s="3167"/>
      <c r="H74" s="3167"/>
      <c r="I74" s="3168">
        <f t="shared" si="12"/>
        <v>0</v>
      </c>
      <c r="J74" s="1954"/>
      <c r="T74" s="2236"/>
      <c r="U74" s="2233"/>
      <c r="V74" s="2233"/>
      <c r="W74" s="2233"/>
      <c r="X74" s="1954"/>
      <c r="AG74" s="1993"/>
    </row>
    <row r="75" spans="1:34">
      <c r="A75" s="1989" t="s">
        <v>437</v>
      </c>
      <c r="C75" s="3169" t="s">
        <v>434</v>
      </c>
      <c r="D75" s="3167"/>
      <c r="E75" s="3167"/>
      <c r="F75" s="3167"/>
      <c r="G75" s="3167"/>
      <c r="H75" s="3167"/>
      <c r="I75" s="3168">
        <f t="shared" si="12"/>
        <v>0</v>
      </c>
      <c r="J75" s="1954"/>
      <c r="X75" s="1954"/>
      <c r="AG75" s="1993"/>
    </row>
    <row r="76" spans="1:34">
      <c r="A76" s="1989" t="s">
        <v>438</v>
      </c>
      <c r="C76" s="3169" t="s">
        <v>434</v>
      </c>
      <c r="D76" s="3167"/>
      <c r="E76" s="3167"/>
      <c r="F76" s="3167"/>
      <c r="G76" s="3167"/>
      <c r="H76" s="3167"/>
      <c r="I76" s="3168">
        <f t="shared" si="12"/>
        <v>0</v>
      </c>
      <c r="J76" s="1954"/>
      <c r="X76" s="1954"/>
      <c r="AG76" s="1993"/>
    </row>
    <row r="77" spans="1:34">
      <c r="A77" s="1989" t="s">
        <v>439</v>
      </c>
      <c r="C77" s="3169" t="s">
        <v>434</v>
      </c>
      <c r="D77" s="3167"/>
      <c r="E77" s="3167"/>
      <c r="F77" s="3167"/>
      <c r="G77" s="3167"/>
      <c r="H77" s="3167"/>
      <c r="I77" s="3168">
        <f t="shared" si="12"/>
        <v>0</v>
      </c>
      <c r="J77" s="1954"/>
      <c r="X77" s="1954"/>
      <c r="AG77" s="1993"/>
    </row>
    <row r="78" spans="1:34">
      <c r="A78" s="1989" t="s">
        <v>440</v>
      </c>
      <c r="C78" s="3169" t="s">
        <v>434</v>
      </c>
      <c r="D78" s="3167"/>
      <c r="E78" s="3167"/>
      <c r="F78" s="3167"/>
      <c r="G78" s="3167"/>
      <c r="H78" s="3167"/>
      <c r="I78" s="3168">
        <f t="shared" si="12"/>
        <v>0</v>
      </c>
      <c r="J78" s="1954"/>
      <c r="X78" s="1954"/>
      <c r="AG78" s="1993"/>
    </row>
    <row r="79" spans="1:34">
      <c r="A79" s="1989" t="s">
        <v>441</v>
      </c>
      <c r="C79" s="3169" t="s">
        <v>434</v>
      </c>
      <c r="D79" s="3167"/>
      <c r="E79" s="3167"/>
      <c r="F79" s="3167"/>
      <c r="G79" s="3167"/>
      <c r="H79" s="3167"/>
      <c r="I79" s="3168">
        <f t="shared" si="12"/>
        <v>0</v>
      </c>
      <c r="J79" s="1954"/>
      <c r="X79" s="1954"/>
      <c r="AG79" s="1993"/>
    </row>
    <row r="80" spans="1:34" ht="15.75" thickBot="1">
      <c r="A80" s="1989" t="s">
        <v>442</v>
      </c>
      <c r="C80" s="3170" t="s">
        <v>434</v>
      </c>
      <c r="D80" s="3167"/>
      <c r="E80" s="3167"/>
      <c r="F80" s="3167"/>
      <c r="G80" s="3167"/>
      <c r="H80" s="3167"/>
      <c r="I80" s="3168">
        <f t="shared" si="12"/>
        <v>0</v>
      </c>
      <c r="J80" s="1954"/>
      <c r="X80" s="1954"/>
      <c r="AG80" s="1993"/>
    </row>
    <row r="81" spans="1:33" ht="15.75" thickBot="1">
      <c r="A81" s="1989" t="s">
        <v>443</v>
      </c>
      <c r="C81" s="3171" t="s">
        <v>444</v>
      </c>
      <c r="D81" s="3172">
        <f t="shared" ref="D81:I81" si="13">+D69-SUM(D71:D80)</f>
        <v>0</v>
      </c>
      <c r="E81" s="3172">
        <f t="shared" si="13"/>
        <v>0</v>
      </c>
      <c r="F81" s="3172">
        <f t="shared" si="13"/>
        <v>0</v>
      </c>
      <c r="G81" s="3172">
        <f t="shared" si="13"/>
        <v>0</v>
      </c>
      <c r="H81" s="3172">
        <f t="shared" si="13"/>
        <v>0</v>
      </c>
      <c r="I81" s="3173">
        <f t="shared" si="13"/>
        <v>0</v>
      </c>
      <c r="J81" s="1954"/>
      <c r="X81" s="1954"/>
      <c r="AG81" s="1993"/>
    </row>
    <row r="82" spans="1:33">
      <c r="X82" s="1954"/>
      <c r="AG82" s="1993"/>
    </row>
    <row r="83" spans="1:33">
      <c r="X83" s="1954"/>
      <c r="AG83" s="1993"/>
    </row>
  </sheetData>
  <mergeCells count="30">
    <mergeCell ref="D67:H67"/>
    <mergeCell ref="D38:E38"/>
    <mergeCell ref="F38:J38"/>
    <mergeCell ref="L38:M38"/>
    <mergeCell ref="N38:R38"/>
    <mergeCell ref="N54:W54"/>
    <mergeCell ref="L56:M56"/>
    <mergeCell ref="L57:M57"/>
    <mergeCell ref="L58:M58"/>
    <mergeCell ref="L59:M59"/>
    <mergeCell ref="L60:M60"/>
    <mergeCell ref="D66:H66"/>
    <mergeCell ref="S23:W23"/>
    <mergeCell ref="D24:E24"/>
    <mergeCell ref="F24:J24"/>
    <mergeCell ref="L24:M24"/>
    <mergeCell ref="N24:R24"/>
    <mergeCell ref="D37:E37"/>
    <mergeCell ref="F37:J37"/>
    <mergeCell ref="L37:M37"/>
    <mergeCell ref="N37:R37"/>
    <mergeCell ref="C8:L8"/>
    <mergeCell ref="D12:H12"/>
    <mergeCell ref="I12:J12"/>
    <mergeCell ref="L12:P12"/>
    <mergeCell ref="Q12:R12"/>
    <mergeCell ref="D23:E23"/>
    <mergeCell ref="F23:J23"/>
    <mergeCell ref="L23:M23"/>
    <mergeCell ref="N23:R23"/>
  </mergeCells>
  <dataValidations count="5">
    <dataValidation type="custom" allowBlank="1" showInputMessage="1" showErrorMessage="1" error="Must be a number" promptTitle="Excluded costs" prompt="Enter value in $million." sqref="D71:H80">
      <formula1>ISNUMBER(D71)</formula1>
    </dataValidation>
    <dataValidation type="textLength" operator="lessThanOrEqual" allowBlank="1" showInputMessage="1" showErrorMessage="1" prompt="Enter category proposed for exclusion." sqref="C72:C80">
      <formula1>150</formula1>
    </dataValidation>
    <dataValidation type="custom" allowBlank="1" showInputMessage="1" showErrorMessage="1" error="Must be a number" promptTitle="Actual opex" prompt="Enter value._x000a_As set out in the regulatory accounts for the current regulatory control period." sqref="F40:I40">
      <formula1>ISNUMBER(F40)</formula1>
    </dataValidation>
    <dataValidation type="custom" allowBlank="1" showInputMessage="1" showErrorMessage="1" error="Must be a number" promptTitle="Opex allowance" prompt="Enter value. _x000a__x000a_As set out in the approved PTRM for the current regulatory control period." sqref="F26:K26">
      <formula1>ISNUMBER(F26)</formula1>
    </dataValidation>
    <dataValidation type="custom" allowBlank="1" showInputMessage="1" showErrorMessage="1" error="Must be a number" prompt="Enter value" sqref="F28:K33">
      <formula1>ISNUMBER(F28)</formula1>
    </dataValidation>
  </dataValidations>
  <pageMargins left="0.7" right="0.7" top="0.75" bottom="0.75" header="0.3" footer="0.3"/>
  <pageSetup paperSize="8" scale="44" fitToWidth="0" orientation="landscape" r:id="rId1"/>
  <rowBreaks count="1" manualBreakCount="1">
    <brk id="49" min="2" max="26" man="1"/>
  </rowBreaks>
  <colBreaks count="1" manualBreakCount="1">
    <brk id="33" max="1048575" man="1"/>
  </colBreaks>
  <customProperties>
    <customPr name="layoutContexts" r:id="rId2"/>
    <customPr name="SaveUndoMode" r:id="rId3"/>
  </customProperties>
  <drawing r:id="rId4"/>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tabColor rgb="FF92D050"/>
    <pageSetUpPr autoPageBreaks="0"/>
  </sheetPr>
  <dimension ref="A1:AE35"/>
  <sheetViews>
    <sheetView showGridLines="0" topLeftCell="E1" zoomScale="70" zoomScaleNormal="70" workbookViewId="0">
      <selection activeCell="O29" sqref="O29"/>
    </sheetView>
  </sheetViews>
  <sheetFormatPr defaultColWidth="9.140625" defaultRowHeight="12.75"/>
  <cols>
    <col min="1" max="1" width="16.28515625" style="112" bestFit="1" customWidth="1"/>
    <col min="2" max="2" width="55.85546875" style="112" customWidth="1"/>
    <col min="3" max="5" width="17.140625" style="112" bestFit="1" customWidth="1"/>
    <col min="6" max="6" width="17.42578125" style="112" bestFit="1" customWidth="1"/>
    <col min="7" max="7" width="17.140625" style="112" bestFit="1" customWidth="1"/>
    <col min="8" max="8" width="18.28515625" style="112" bestFit="1" customWidth="1"/>
    <col min="9" max="9" width="17.28515625" style="112" bestFit="1" customWidth="1"/>
    <col min="10" max="10" width="18.28515625" style="112" bestFit="1" customWidth="1"/>
    <col min="11" max="17" width="15.7109375" style="112" customWidth="1"/>
    <col min="18" max="20" width="8.7109375"/>
    <col min="21" max="28" width="15.7109375" style="227" customWidth="1"/>
    <col min="29" max="31" width="8.7109375" customWidth="1"/>
    <col min="32" max="16384" width="9.140625" style="112"/>
  </cols>
  <sheetData>
    <row r="1" spans="1:31" s="217" customFormat="1" ht="24.95" customHeight="1">
      <c r="B1" s="2272" t="str">
        <f>IF(dms_DataQuality="backcast",INDEX(dms_Worksheet_List,MATCH(dms_Model,dms_Model_List))&amp;" BACKCAST",INDEX(dms_Worksheet_List,MATCH(dms_Model,dms_Model_List)))</f>
        <v>REGULATORY REPORTING STATEMENT</v>
      </c>
      <c r="C1" s="518"/>
      <c r="D1" s="518"/>
      <c r="E1" s="518"/>
      <c r="F1" s="518"/>
      <c r="G1" s="518"/>
      <c r="H1" s="518"/>
      <c r="I1" s="518"/>
      <c r="J1" s="518"/>
      <c r="K1" s="518"/>
      <c r="L1" s="518"/>
      <c r="M1" s="518"/>
      <c r="N1" s="518"/>
      <c r="O1" s="518"/>
      <c r="P1" s="518"/>
      <c r="Q1" s="518"/>
      <c r="R1" s="518"/>
      <c r="S1" s="518"/>
      <c r="T1" s="518"/>
      <c r="U1" s="518"/>
      <c r="V1" s="518"/>
      <c r="W1" s="518"/>
      <c r="X1" s="518"/>
      <c r="Y1" s="518"/>
      <c r="Z1" s="518"/>
      <c r="AA1" s="518"/>
      <c r="AB1" s="518"/>
      <c r="AC1"/>
      <c r="AD1"/>
      <c r="AE1"/>
    </row>
    <row r="2" spans="1:31" s="217" customFormat="1" ht="24.95" customHeight="1">
      <c r="B2" s="2277" t="str">
        <f>INDEX(dms_TradingNameFull_List,MATCH(dms_TradingName,dms_TradingName_List))</f>
        <v>Multinet Gas (DB No.1) Pty Ltd (ACN 086 026 986), Multinet Gas (DB No.2) Pty Ltd (ACN 086 230 122)</v>
      </c>
      <c r="C2" s="220"/>
      <c r="D2" s="220"/>
      <c r="E2" s="220"/>
      <c r="F2" s="220"/>
      <c r="G2" s="220"/>
      <c r="H2" s="220"/>
      <c r="I2" s="220"/>
      <c r="J2" s="220"/>
      <c r="K2" s="220"/>
      <c r="L2" s="220"/>
      <c r="M2" s="220"/>
      <c r="N2" s="220"/>
      <c r="O2" s="220"/>
      <c r="P2" s="220"/>
      <c r="Q2" s="220"/>
      <c r="R2" s="1267"/>
      <c r="S2" s="1267"/>
      <c r="T2" s="1267"/>
      <c r="U2" s="1267"/>
      <c r="V2" s="1267"/>
      <c r="W2" s="1267"/>
      <c r="X2" s="1267"/>
      <c r="Y2" s="1267"/>
      <c r="Z2" s="1267"/>
      <c r="AA2" s="1267"/>
      <c r="AB2" s="1267"/>
      <c r="AC2"/>
      <c r="AD2"/>
      <c r="AE2"/>
    </row>
    <row r="3" spans="1:31" s="217" customFormat="1" ht="24.95" customHeight="1">
      <c r="B3" s="2277" t="str">
        <f ca="1">IF(SUM(dms_SingleYear_Model)&gt;0,CRY,CONCATENATE(FRCP_y1," to ",dms_MultiYear_FinalYear_Result))</f>
        <v>2018 to 2022</v>
      </c>
      <c r="C3" s="221"/>
      <c r="D3" s="221"/>
      <c r="E3" s="221"/>
      <c r="F3" s="221"/>
      <c r="G3" s="221"/>
      <c r="H3" s="221"/>
      <c r="I3" s="221"/>
      <c r="J3" s="221"/>
      <c r="K3" s="221"/>
      <c r="L3" s="221"/>
      <c r="M3" s="221"/>
      <c r="N3" s="221"/>
      <c r="O3" s="221"/>
      <c r="P3" s="221"/>
      <c r="Q3" s="221"/>
      <c r="R3" s="1265"/>
      <c r="S3" s="1265"/>
      <c r="T3" s="1265"/>
      <c r="U3" s="1265"/>
      <c r="V3" s="1265"/>
      <c r="W3" s="1265"/>
      <c r="X3" s="1265"/>
      <c r="Y3" s="1265"/>
      <c r="Z3" s="1265"/>
      <c r="AA3" s="1265"/>
      <c r="AB3" s="1265"/>
      <c r="AC3"/>
      <c r="AD3"/>
      <c r="AE3"/>
    </row>
    <row r="4" spans="1:31" s="159" customFormat="1" ht="24" customHeight="1">
      <c r="B4" s="10" t="s">
        <v>383</v>
      </c>
      <c r="C4" s="12"/>
      <c r="D4" s="12"/>
      <c r="E4" s="12"/>
      <c r="F4" s="12"/>
      <c r="G4" s="12"/>
      <c r="H4" s="12"/>
      <c r="I4" s="12"/>
      <c r="J4" s="12"/>
      <c r="K4" s="12"/>
      <c r="L4" s="12"/>
      <c r="M4" s="12"/>
      <c r="N4" s="12"/>
      <c r="O4" s="12"/>
      <c r="P4" s="12"/>
      <c r="Q4" s="12"/>
      <c r="R4" s="12"/>
      <c r="S4" s="12"/>
      <c r="T4" s="12"/>
      <c r="U4" s="12"/>
      <c r="V4" s="12"/>
      <c r="W4" s="12"/>
      <c r="X4" s="12"/>
      <c r="Y4" s="12"/>
      <c r="Z4" s="12"/>
      <c r="AA4" s="12"/>
      <c r="AB4" s="12"/>
      <c r="AC4"/>
      <c r="AD4"/>
      <c r="AE4"/>
    </row>
    <row r="5" spans="1:31" customFormat="1"/>
    <row r="6" spans="1:31" customFormat="1"/>
    <row r="7" spans="1:31">
      <c r="A7" s="865"/>
      <c r="B7" s="116" t="s">
        <v>61</v>
      </c>
      <c r="C7" s="113"/>
      <c r="D7" s="119"/>
      <c r="E7" s="865"/>
      <c r="F7" s="865"/>
      <c r="G7" s="865"/>
      <c r="H7" s="865"/>
      <c r="I7" s="865"/>
      <c r="J7" s="865"/>
      <c r="K7" s="865"/>
      <c r="L7" s="865"/>
      <c r="M7" s="865"/>
      <c r="N7" s="865"/>
      <c r="O7" s="865"/>
      <c r="P7" s="865"/>
      <c r="Q7" s="865"/>
      <c r="U7"/>
      <c r="V7"/>
      <c r="W7" s="865"/>
      <c r="X7" s="865"/>
      <c r="Y7" s="865"/>
      <c r="Z7" s="865"/>
      <c r="AA7" s="865"/>
      <c r="AB7" s="865"/>
    </row>
    <row r="8" spans="1:31" s="861" customFormat="1" ht="36" customHeight="1">
      <c r="A8" s="866"/>
      <c r="B8" s="4677" t="s">
        <v>271</v>
      </c>
      <c r="C8" s="4222"/>
      <c r="D8" s="4222"/>
      <c r="E8" s="866"/>
      <c r="F8" s="866"/>
      <c r="G8" s="866"/>
      <c r="H8" s="866"/>
      <c r="I8" s="866"/>
      <c r="J8" s="866"/>
      <c r="K8" s="866"/>
      <c r="L8" s="866"/>
      <c r="M8" s="866"/>
      <c r="N8" s="866"/>
      <c r="O8" s="866"/>
      <c r="P8" s="866"/>
      <c r="Q8" s="866"/>
      <c r="R8"/>
      <c r="S8"/>
      <c r="T8"/>
      <c r="U8"/>
      <c r="V8"/>
      <c r="W8" s="866"/>
      <c r="X8" s="866"/>
      <c r="Y8" s="866"/>
      <c r="Z8" s="866"/>
      <c r="AA8" s="866"/>
      <c r="AB8" s="866"/>
      <c r="AC8"/>
      <c r="AD8"/>
      <c r="AE8"/>
    </row>
    <row r="9" spans="1:31" ht="38.25" customHeight="1">
      <c r="A9" s="865"/>
      <c r="C9" s="865"/>
      <c r="D9" s="865"/>
      <c r="E9" s="865"/>
      <c r="F9" s="865"/>
      <c r="G9" s="865"/>
      <c r="H9" s="865"/>
      <c r="I9" s="865"/>
      <c r="J9" s="865"/>
      <c r="K9" s="865"/>
      <c r="L9" s="865"/>
      <c r="M9" s="865"/>
      <c r="N9" s="865"/>
      <c r="O9" s="865"/>
      <c r="P9" s="865"/>
      <c r="Q9" s="865"/>
      <c r="U9" s="865"/>
      <c r="V9" s="865"/>
      <c r="W9" s="865"/>
      <c r="X9" s="865"/>
      <c r="Y9" s="865"/>
      <c r="Z9" s="865"/>
      <c r="AA9" s="865"/>
      <c r="AB9" s="865"/>
    </row>
    <row r="10" spans="1:31" ht="20.25" customHeight="1" thickBot="1">
      <c r="A10" s="865"/>
      <c r="C10" s="865"/>
      <c r="D10" s="865"/>
      <c r="E10" s="865"/>
      <c r="F10" s="865"/>
      <c r="G10" s="865"/>
      <c r="H10" s="865"/>
      <c r="I10" s="865"/>
      <c r="J10" s="865"/>
      <c r="K10" s="865"/>
      <c r="L10" s="865"/>
      <c r="M10" s="865"/>
      <c r="N10" s="865"/>
      <c r="O10" s="865"/>
      <c r="P10" s="865"/>
      <c r="Q10" s="865"/>
      <c r="U10" s="865"/>
      <c r="V10" s="865"/>
      <c r="W10" s="865"/>
      <c r="X10" s="865"/>
      <c r="Y10" s="865"/>
      <c r="Z10" s="865"/>
      <c r="AA10" s="865"/>
      <c r="AB10" s="865"/>
    </row>
    <row r="11" spans="1:31" s="69" customFormat="1" ht="26.25" customHeight="1" thickBot="1">
      <c r="A11" s="392"/>
      <c r="B11" s="833" t="s">
        <v>542</v>
      </c>
      <c r="C11" s="863"/>
      <c r="D11" s="863"/>
      <c r="E11" s="863"/>
      <c r="F11" s="863"/>
      <c r="G11" s="863"/>
      <c r="H11" s="863"/>
      <c r="I11" s="863"/>
      <c r="J11" s="863"/>
      <c r="K11" s="863"/>
      <c r="L11" s="863"/>
      <c r="M11" s="863"/>
      <c r="N11" s="863"/>
      <c r="O11" s="863"/>
      <c r="P11" s="863"/>
      <c r="Q11" s="864"/>
      <c r="R11"/>
      <c r="S11"/>
      <c r="T11"/>
      <c r="U11" s="769" t="s">
        <v>674</v>
      </c>
      <c r="V11" s="863"/>
      <c r="W11" s="863"/>
      <c r="X11" s="863"/>
      <c r="Y11" s="863"/>
      <c r="Z11" s="863"/>
      <c r="AA11" s="863"/>
      <c r="AB11" s="864"/>
      <c r="AC11"/>
      <c r="AD11"/>
      <c r="AE11"/>
    </row>
    <row r="12" spans="1:31" s="72" customFormat="1" ht="16.5" customHeight="1">
      <c r="A12" s="732"/>
      <c r="B12" s="4576"/>
      <c r="C12" s="4565" t="s">
        <v>36</v>
      </c>
      <c r="D12" s="4137"/>
      <c r="E12" s="4137"/>
      <c r="F12" s="4137"/>
      <c r="G12" s="4137"/>
      <c r="H12" s="4187" t="s">
        <v>37</v>
      </c>
      <c r="I12" s="4188"/>
      <c r="J12" s="4188"/>
      <c r="K12" s="4188"/>
      <c r="L12" s="4188"/>
      <c r="M12" s="4105" t="s">
        <v>75</v>
      </c>
      <c r="N12" s="4105"/>
      <c r="O12" s="4105"/>
      <c r="P12" s="4105"/>
      <c r="Q12" s="4229"/>
      <c r="R12"/>
      <c r="S12"/>
      <c r="T12"/>
      <c r="U12" s="4186" t="s">
        <v>36</v>
      </c>
      <c r="V12" s="4137"/>
      <c r="W12" s="4137"/>
      <c r="X12" s="4137"/>
      <c r="Y12" s="4137"/>
      <c r="Z12" s="4187" t="s">
        <v>37</v>
      </c>
      <c r="AA12" s="4188"/>
      <c r="AB12" s="4189"/>
      <c r="AC12"/>
      <c r="AD12"/>
      <c r="AE12"/>
    </row>
    <row r="13" spans="1:31" s="69" customFormat="1" ht="15" customHeight="1">
      <c r="A13" s="348"/>
      <c r="B13" s="4577"/>
      <c r="C13" s="4125" t="s">
        <v>569</v>
      </c>
      <c r="D13" s="4126"/>
      <c r="E13" s="4126"/>
      <c r="F13" s="4126"/>
      <c r="G13" s="4126"/>
      <c r="H13" s="4126"/>
      <c r="I13" s="4126"/>
      <c r="J13" s="4127"/>
      <c r="K13" s="4128" t="str">
        <f>CONCATENATE("$0's, real ",dms_DollarReal)</f>
        <v>$0's, real December 2017</v>
      </c>
      <c r="L13" s="4129"/>
      <c r="M13" s="4129"/>
      <c r="N13" s="4129"/>
      <c r="O13" s="4129"/>
      <c r="P13" s="4129"/>
      <c r="Q13" s="4130"/>
      <c r="R13"/>
      <c r="S13"/>
      <c r="T13"/>
      <c r="U13" s="4125" t="str">
        <f>CONCATENATE("$0's, real ",dms_DollarReal)</f>
        <v>$0's, real December 2017</v>
      </c>
      <c r="V13" s="4126"/>
      <c r="W13" s="4126"/>
      <c r="X13" s="4126"/>
      <c r="Y13" s="4126"/>
      <c r="Z13" s="4126"/>
      <c r="AA13" s="4126"/>
      <c r="AB13" s="4169"/>
      <c r="AC13"/>
      <c r="AD13"/>
      <c r="AE13"/>
    </row>
    <row r="14" spans="1:31" s="72" customFormat="1" ht="16.5" customHeight="1">
      <c r="A14" s="732"/>
      <c r="B14" s="4577"/>
      <c r="C14" s="4125" t="s">
        <v>56</v>
      </c>
      <c r="D14" s="4126"/>
      <c r="E14" s="4126"/>
      <c r="F14" s="4126"/>
      <c r="G14" s="4126"/>
      <c r="H14" s="4126"/>
      <c r="I14" s="4126"/>
      <c r="J14" s="4127"/>
      <c r="K14" s="4128" t="s">
        <v>57</v>
      </c>
      <c r="L14" s="4129"/>
      <c r="M14" s="4129"/>
      <c r="N14" s="4129"/>
      <c r="O14" s="4129"/>
      <c r="P14" s="4129"/>
      <c r="Q14" s="4130"/>
      <c r="R14"/>
      <c r="S14"/>
      <c r="T14"/>
      <c r="U14" s="4125" t="s">
        <v>56</v>
      </c>
      <c r="V14" s="4126"/>
      <c r="W14" s="4126"/>
      <c r="X14" s="4126"/>
      <c r="Y14" s="4126"/>
      <c r="Z14" s="4126"/>
      <c r="AA14" s="4126"/>
      <c r="AB14" s="4169"/>
      <c r="AC14"/>
      <c r="AD14"/>
      <c r="AE14"/>
    </row>
    <row r="15" spans="1:31" s="69" customFormat="1" ht="12.75" customHeight="1" thickBot="1">
      <c r="A15" s="392"/>
      <c r="B15" s="4578"/>
      <c r="C15" s="375">
        <f t="array" ref="C15:G15">PRCP</f>
        <v>2008</v>
      </c>
      <c r="D15" s="374">
        <v>2009</v>
      </c>
      <c r="E15" s="374">
        <v>2010</v>
      </c>
      <c r="F15" s="374">
        <v>2011</v>
      </c>
      <c r="G15" s="374">
        <v>2012</v>
      </c>
      <c r="H15" s="376">
        <f>CRCP_y1</f>
        <v>2013</v>
      </c>
      <c r="I15" s="376">
        <f>CRCP_y2</f>
        <v>2014</v>
      </c>
      <c r="J15" s="376">
        <f>CRCP_y3</f>
        <v>2015</v>
      </c>
      <c r="K15" s="376">
        <f>CRCP_y4</f>
        <v>2016</v>
      </c>
      <c r="L15" s="376">
        <f>CRCP_y5</f>
        <v>2017</v>
      </c>
      <c r="M15" s="374" t="str">
        <f t="array" ref="M15:Q15">FRCP</f>
        <v>2018</v>
      </c>
      <c r="N15" s="374">
        <v>2019</v>
      </c>
      <c r="O15" s="374">
        <v>2020</v>
      </c>
      <c r="P15" s="374">
        <v>2021</v>
      </c>
      <c r="Q15" s="470">
        <v>2022</v>
      </c>
      <c r="R15"/>
      <c r="S15"/>
      <c r="T15"/>
      <c r="U15" s="1521">
        <f t="array" ref="U15:Y15">PRCP</f>
        <v>2008</v>
      </c>
      <c r="V15" s="374">
        <v>2009</v>
      </c>
      <c r="W15" s="374">
        <v>2010</v>
      </c>
      <c r="X15" s="374">
        <v>2011</v>
      </c>
      <c r="Y15" s="374">
        <v>2012</v>
      </c>
      <c r="Z15" s="376">
        <f>CRCP_y1</f>
        <v>2013</v>
      </c>
      <c r="AA15" s="376">
        <f>CRCP_y2</f>
        <v>2014</v>
      </c>
      <c r="AB15" s="568">
        <f>CRCP_y3</f>
        <v>2015</v>
      </c>
      <c r="AC15"/>
      <c r="AD15"/>
      <c r="AE15"/>
    </row>
    <row r="16" spans="1:31" ht="15.75" thickBot="1">
      <c r="A16" s="865"/>
      <c r="B16" s="771" t="s">
        <v>543</v>
      </c>
      <c r="C16" s="772"/>
      <c r="D16" s="772"/>
      <c r="E16" s="772"/>
      <c r="F16" s="772"/>
      <c r="G16" s="772"/>
      <c r="H16" s="772"/>
      <c r="I16" s="772"/>
      <c r="J16" s="772"/>
      <c r="K16" s="772"/>
      <c r="L16" s="772"/>
      <c r="M16" s="772"/>
      <c r="N16" s="772"/>
      <c r="O16" s="772"/>
      <c r="P16" s="772"/>
      <c r="Q16" s="773"/>
      <c r="U16" s="771"/>
      <c r="V16" s="772"/>
      <c r="W16" s="772"/>
      <c r="X16" s="772"/>
      <c r="Y16" s="772"/>
      <c r="Z16" s="772"/>
      <c r="AA16" s="772"/>
      <c r="AB16" s="773"/>
    </row>
    <row r="17" spans="1:31">
      <c r="A17" s="865"/>
      <c r="B17" s="1362" t="s">
        <v>656</v>
      </c>
      <c r="C17" s="3603"/>
      <c r="D17" s="3604"/>
      <c r="E17" s="3604"/>
      <c r="F17" s="3604"/>
      <c r="G17" s="3605"/>
      <c r="H17" s="3606">
        <v>2630944.09</v>
      </c>
      <c r="I17" s="3607">
        <v>2875844.5499999993</v>
      </c>
      <c r="J17" s="3607">
        <v>3555791.0800000057</v>
      </c>
      <c r="K17" s="3604">
        <v>4698516.54</v>
      </c>
      <c r="L17" s="3608">
        <v>4949622</v>
      </c>
      <c r="M17" s="3609">
        <v>4953341</v>
      </c>
      <c r="N17" s="3604">
        <v>4953341</v>
      </c>
      <c r="O17" s="3604">
        <v>4953341</v>
      </c>
      <c r="P17" s="3604">
        <v>4953341</v>
      </c>
      <c r="Q17" s="3608">
        <v>4953341</v>
      </c>
      <c r="U17" s="1920"/>
      <c r="V17" s="1909"/>
      <c r="W17" s="1909"/>
      <c r="X17" s="1909"/>
      <c r="Y17" s="1910"/>
      <c r="Z17" s="1920"/>
      <c r="AA17" s="1909"/>
      <c r="AB17" s="1911"/>
    </row>
    <row r="18" spans="1:31">
      <c r="A18" s="865"/>
      <c r="B18" s="1362" t="s">
        <v>627</v>
      </c>
      <c r="C18" s="3610"/>
      <c r="D18" s="3611"/>
      <c r="E18" s="3611"/>
      <c r="F18" s="3611"/>
      <c r="G18" s="3612"/>
      <c r="H18" s="3613">
        <v>15411898.640000001</v>
      </c>
      <c r="I18" s="3614">
        <v>8362570.3000000017</v>
      </c>
      <c r="J18" s="3614">
        <v>9922098.5300000012</v>
      </c>
      <c r="K18" s="3611">
        <v>9136540.1400000006</v>
      </c>
      <c r="L18" s="3615">
        <v>7696843.66616116</v>
      </c>
      <c r="M18" s="3616">
        <v>9181025.4295462072</v>
      </c>
      <c r="N18" s="3611">
        <v>8353668.6933915941</v>
      </c>
      <c r="O18" s="3611">
        <v>8357710.7455847682</v>
      </c>
      <c r="P18" s="3611">
        <v>8277499.8814979997</v>
      </c>
      <c r="Q18" s="3615">
        <v>7706843.1931337314</v>
      </c>
      <c r="U18" s="1912"/>
      <c r="V18" s="1913"/>
      <c r="W18" s="1913"/>
      <c r="X18" s="1913"/>
      <c r="Y18" s="1914"/>
      <c r="Z18" s="1912"/>
      <c r="AA18" s="1913"/>
      <c r="AB18" s="1915"/>
    </row>
    <row r="19" spans="1:31" ht="13.5" thickBot="1">
      <c r="A19" s="865"/>
      <c r="B19" s="1362" t="s">
        <v>628</v>
      </c>
      <c r="C19" s="3613"/>
      <c r="D19" s="3617"/>
      <c r="E19" s="3617"/>
      <c r="F19" s="3611"/>
      <c r="G19" s="3615"/>
      <c r="H19" s="3613">
        <v>43660000</v>
      </c>
      <c r="I19" s="3617">
        <v>46550747.460000016</v>
      </c>
      <c r="J19" s="3617">
        <v>52266948.909999982</v>
      </c>
      <c r="K19" s="3611">
        <v>72483456.78571935</v>
      </c>
      <c r="L19" s="3615">
        <v>75579609.513407305</v>
      </c>
      <c r="M19" s="3616">
        <v>99337580.232078299</v>
      </c>
      <c r="N19" s="3611">
        <v>85621288.344292805</v>
      </c>
      <c r="O19" s="3611">
        <v>89743767.983134896</v>
      </c>
      <c r="P19" s="3611">
        <v>90194618.024035305</v>
      </c>
      <c r="Q19" s="3615">
        <v>83475880.841685504</v>
      </c>
      <c r="U19" s="1912"/>
      <c r="V19" s="1913"/>
      <c r="W19" s="1913"/>
      <c r="X19" s="1913"/>
      <c r="Y19" s="1914"/>
      <c r="Z19" s="1912"/>
      <c r="AA19" s="1913"/>
      <c r="AB19" s="1915"/>
    </row>
    <row r="20" spans="1:31" ht="15.75" thickBot="1">
      <c r="A20" s="865"/>
      <c r="B20" s="771" t="s">
        <v>544</v>
      </c>
      <c r="C20" s="3618">
        <f>SUM('17. Gross Capex '!C21:C31)</f>
        <v>36452814.614999995</v>
      </c>
      <c r="D20" s="3619">
        <f>SUM('17. Gross Capex '!D21:D31)</f>
        <v>36319699.020000003</v>
      </c>
      <c r="E20" s="3619">
        <f>SUM('17. Gross Capex '!E21:E31)</f>
        <v>38296811.660000011</v>
      </c>
      <c r="F20" s="3619">
        <f>SUM('17. Gross Capex '!F21:F31)</f>
        <v>62266399.959999971</v>
      </c>
      <c r="G20" s="3620">
        <f>SUM('17. Gross Capex '!G21:G31)</f>
        <v>78134041.689999998</v>
      </c>
      <c r="H20" s="3621"/>
      <c r="I20" s="3621"/>
      <c r="J20" s="3621"/>
      <c r="K20" s="3621"/>
      <c r="L20" s="3622"/>
      <c r="M20" s="3621"/>
      <c r="N20" s="3621"/>
      <c r="O20" s="3621"/>
      <c r="P20" s="3621"/>
      <c r="Q20" s="3622"/>
      <c r="U20" s="771"/>
      <c r="V20" s="772"/>
      <c r="W20" s="772"/>
      <c r="X20" s="772"/>
      <c r="Y20" s="772"/>
      <c r="Z20" s="771"/>
      <c r="AA20" s="772"/>
      <c r="AB20" s="773"/>
    </row>
    <row r="21" spans="1:31">
      <c r="A21" s="865"/>
      <c r="B21" s="1440" t="s">
        <v>656</v>
      </c>
      <c r="C21" s="3610"/>
      <c r="D21" s="3611"/>
      <c r="E21" s="3611"/>
      <c r="F21" s="3611"/>
      <c r="G21" s="3612"/>
      <c r="H21" s="3610">
        <v>8456190.6699999999</v>
      </c>
      <c r="I21" s="3607">
        <v>9585921.0800000001</v>
      </c>
      <c r="J21" s="3607">
        <v>10321874.030000001</v>
      </c>
      <c r="K21" s="3611">
        <v>12251509.178809814</v>
      </c>
      <c r="L21" s="3615">
        <v>12946035.504411699</v>
      </c>
      <c r="M21" s="3616">
        <v>13328116.304548264</v>
      </c>
      <c r="N21" s="3611">
        <v>13727959.902521133</v>
      </c>
      <c r="O21" s="3611">
        <v>14139799.283077238</v>
      </c>
      <c r="P21" s="3611">
        <v>14563993.334360123</v>
      </c>
      <c r="Q21" s="3615">
        <v>15000913.156867983</v>
      </c>
      <c r="U21" s="1912"/>
      <c r="V21" s="1913"/>
      <c r="W21" s="1913"/>
      <c r="X21" s="1913"/>
      <c r="Y21" s="1914"/>
      <c r="Z21" s="1912"/>
      <c r="AA21" s="1913"/>
      <c r="AB21" s="1915"/>
    </row>
    <row r="22" spans="1:31">
      <c r="A22" s="865"/>
      <c r="B22" s="1362" t="s">
        <v>627</v>
      </c>
      <c r="C22" s="3610"/>
      <c r="D22" s="3611"/>
      <c r="E22" s="3611"/>
      <c r="F22" s="3611"/>
      <c r="G22" s="3612"/>
      <c r="H22" s="3610">
        <v>11506556.997500001</v>
      </c>
      <c r="I22" s="3614">
        <v>9543613.1300000008</v>
      </c>
      <c r="J22" s="3614">
        <v>11507482.17</v>
      </c>
      <c r="K22" s="3611">
        <v>12977145.869999999</v>
      </c>
      <c r="L22" s="3615">
        <v>12087241.924696881</v>
      </c>
      <c r="M22" s="3616">
        <v>11197337.979393765</v>
      </c>
      <c r="N22" s="3611">
        <v>11454876.752919823</v>
      </c>
      <c r="O22" s="3611">
        <v>11741248.671742817</v>
      </c>
      <c r="P22" s="3611">
        <v>12034779.888536386</v>
      </c>
      <c r="Q22" s="3615">
        <v>12335649.385749795</v>
      </c>
      <c r="U22" s="1912"/>
      <c r="V22" s="1913"/>
      <c r="W22" s="1913"/>
      <c r="X22" s="1913"/>
      <c r="Y22" s="1914"/>
      <c r="Z22" s="1912"/>
      <c r="AA22" s="1913"/>
      <c r="AB22" s="1915"/>
    </row>
    <row r="23" spans="1:31">
      <c r="A23" s="865"/>
      <c r="B23" s="807" t="s">
        <v>628</v>
      </c>
      <c r="C23" s="3623"/>
      <c r="D23" s="3624"/>
      <c r="E23" s="3624"/>
      <c r="F23" s="3624"/>
      <c r="G23" s="3625"/>
      <c r="H23" s="3623">
        <v>44580387.156986699</v>
      </c>
      <c r="I23" s="3624">
        <v>45553282.48999998</v>
      </c>
      <c r="J23" s="3624">
        <v>43208658.010000013</v>
      </c>
      <c r="K23" s="3624">
        <v>45617818.505782306</v>
      </c>
      <c r="L23" s="3626">
        <v>44863722.5708915</v>
      </c>
      <c r="M23" s="3627">
        <v>50895208.386390701</v>
      </c>
      <c r="N23" s="3624">
        <v>51075542.218541503</v>
      </c>
      <c r="O23" s="3624">
        <v>51383588.636720903</v>
      </c>
      <c r="P23" s="3624">
        <v>51927376.879206598</v>
      </c>
      <c r="Q23" s="3626">
        <v>52593223.915695503</v>
      </c>
      <c r="U23" s="1916"/>
      <c r="V23" s="1917"/>
      <c r="W23" s="1917"/>
      <c r="X23" s="1917"/>
      <c r="Y23" s="1918"/>
      <c r="Z23" s="1916"/>
      <c r="AA23" s="1917"/>
      <c r="AB23" s="1919"/>
    </row>
    <row r="24" spans="1:31" ht="13.5" thickBot="1">
      <c r="A24" s="865"/>
      <c r="B24" s="1423" t="s">
        <v>655</v>
      </c>
      <c r="C24" s="3628">
        <f>C20+'23.1 Opex incl. RPM'!C56</f>
        <v>85259466.74499999</v>
      </c>
      <c r="D24" s="3629">
        <f>D20+'23.1 Opex incl. RPM'!D56</f>
        <v>85252514.296323717</v>
      </c>
      <c r="E24" s="3629">
        <f>E20+'23.1 Opex incl. RPM'!E56</f>
        <v>89518958.708254948</v>
      </c>
      <c r="F24" s="3629">
        <f>F20+'23.1 Opex incl. RPM'!F56</f>
        <v>117659124.10622233</v>
      </c>
      <c r="G24" s="3630">
        <f>G20+'23.1 Opex incl. RPM'!G56</f>
        <v>154571372.02523077</v>
      </c>
      <c r="H24" s="3628">
        <f t="shared" ref="H24:Q24" si="0">H17+H18+H19+H21+H22+H23</f>
        <v>126245977.55448671</v>
      </c>
      <c r="I24" s="3629">
        <f t="shared" si="0"/>
        <v>122471979.00999999</v>
      </c>
      <c r="J24" s="3629">
        <f t="shared" ref="J24" si="1">J17+J18+J19+J21+J22+J23</f>
        <v>130782852.72999999</v>
      </c>
      <c r="K24" s="3629">
        <f t="shared" si="0"/>
        <v>157164987.02031147</v>
      </c>
      <c r="L24" s="3630">
        <f t="shared" si="0"/>
        <v>158123075.17956853</v>
      </c>
      <c r="M24" s="3631">
        <f t="shared" si="0"/>
        <v>188892609.33195722</v>
      </c>
      <c r="N24" s="3629">
        <f t="shared" si="0"/>
        <v>175186676.91166687</v>
      </c>
      <c r="O24" s="3629">
        <f t="shared" si="0"/>
        <v>180319456.32026061</v>
      </c>
      <c r="P24" s="3629">
        <f t="shared" si="0"/>
        <v>181951609.0076364</v>
      </c>
      <c r="Q24" s="3630">
        <f t="shared" si="0"/>
        <v>176065851.49313253</v>
      </c>
      <c r="U24" s="1420">
        <f>U17+U18+U19+U21+U22+U23</f>
        <v>0</v>
      </c>
      <c r="V24" s="1421">
        <f t="shared" ref="V24:AB24" si="2">V17+V18+V19+V21+V22+V23</f>
        <v>0</v>
      </c>
      <c r="W24" s="1421">
        <f t="shared" si="2"/>
        <v>0</v>
      </c>
      <c r="X24" s="1421">
        <f t="shared" si="2"/>
        <v>0</v>
      </c>
      <c r="Y24" s="1424">
        <f t="shared" si="2"/>
        <v>0</v>
      </c>
      <c r="Z24" s="1420">
        <f t="shared" si="2"/>
        <v>0</v>
      </c>
      <c r="AA24" s="1421">
        <f t="shared" si="2"/>
        <v>0</v>
      </c>
      <c r="AB24" s="1422">
        <f t="shared" si="2"/>
        <v>0</v>
      </c>
    </row>
    <row r="25" spans="1:31" s="69" customFormat="1" ht="33" customHeight="1" thickBot="1">
      <c r="A25" s="348"/>
      <c r="B25" s="1471" t="s">
        <v>127</v>
      </c>
      <c r="C25" s="1255"/>
      <c r="D25" s="1256"/>
      <c r="E25" s="1256"/>
      <c r="F25" s="1256"/>
      <c r="G25" s="1256"/>
      <c r="H25" s="1256"/>
      <c r="I25" s="1256"/>
      <c r="J25" s="1256"/>
      <c r="K25" s="1256"/>
      <c r="L25" s="1256"/>
      <c r="M25" s="1256"/>
      <c r="N25" s="1256"/>
      <c r="O25" s="1256"/>
      <c r="P25" s="1256"/>
      <c r="Q25" s="1291"/>
      <c r="R25"/>
      <c r="S25"/>
      <c r="T25"/>
      <c r="U25" s="1790"/>
      <c r="V25" s="1771"/>
      <c r="W25" s="1771"/>
      <c r="X25" s="1771"/>
      <c r="Y25" s="1771"/>
      <c r="Z25" s="1771"/>
      <c r="AA25" s="1771"/>
      <c r="AB25" s="1774"/>
      <c r="AC25"/>
      <c r="AD25"/>
      <c r="AE25"/>
    </row>
    <row r="26" spans="1:31">
      <c r="A26" s="865"/>
      <c r="L26" s="112" t="s">
        <v>24</v>
      </c>
    </row>
    <row r="27" spans="1:31">
      <c r="A27" s="865"/>
      <c r="H27" s="227"/>
    </row>
    <row r="28" spans="1:31">
      <c r="A28" s="865"/>
      <c r="G28" s="112" t="s">
        <v>1683</v>
      </c>
      <c r="H28" s="3633">
        <f>SUM('17. Gross Capex '!H21:H31)-SUM(H17:H19)</f>
        <v>279.1600000038743</v>
      </c>
      <c r="I28" s="3633">
        <f>SUM('17. Gross Capex '!I21:I31)-SUM(I17:I19)</f>
        <v>309.5799999833107</v>
      </c>
      <c r="J28" s="3633">
        <f>SUM('17. Gross Capex '!J21:J31)-SUM(J17:J19)</f>
        <v>-443.04999999701977</v>
      </c>
      <c r="K28" s="3633">
        <f>SUM('17. Gross Capex '!K21:K31)-SUM(K17:K19)</f>
        <v>0</v>
      </c>
      <c r="L28" s="3633">
        <f>SUM('17. Gross Capex '!L21:L31)-SUM(L17:L19)</f>
        <v>-0.49692404270172119</v>
      </c>
      <c r="M28" s="3633">
        <f>SUM('17. Gross Capex '!M21:M31)-SUM(M17:M19)</f>
        <v>-0.49995927512645721</v>
      </c>
      <c r="N28" s="3633">
        <f>SUM('17. Gross Capex '!N21:N31)-SUM(N17:N19)</f>
        <v>-0.4999898374080658</v>
      </c>
      <c r="O28" s="3633">
        <f>SUM('17. Gross Capex '!O21:O31)-SUM(O17:O19)</f>
        <v>-0.4999898374080658</v>
      </c>
      <c r="P28" s="3633">
        <f>SUM('17. Gross Capex '!P21:P31)-SUM(P17:P19)</f>
        <v>-0.49998979270458221</v>
      </c>
      <c r="Q28" s="3633">
        <f>SUM('17. Gross Capex '!Q21:Q31)-SUM(Q17:Q19)</f>
        <v>-0.49998980760574341</v>
      </c>
    </row>
    <row r="29" spans="1:31">
      <c r="G29" s="227" t="s">
        <v>1683</v>
      </c>
      <c r="H29" s="3633">
        <f>SUM(H21:H23)-'23.1 Opex incl. RPM'!H56</f>
        <v>-687.3952504247427</v>
      </c>
      <c r="I29" s="3633">
        <f>SUM(I21:I23)-'23.1 Opex incl. RPM'!I56</f>
        <v>44.610000006854534</v>
      </c>
      <c r="J29" s="3633">
        <f>SUM(J21:J23)-'23.1 Opex incl. RPM'!J56</f>
        <v>-106.13000001013279</v>
      </c>
      <c r="K29" s="3633">
        <f>SUM(K21:K23)-'23.1 Opex incl. RPM'!K56</f>
        <v>0</v>
      </c>
      <c r="L29" s="3633">
        <f>SUM(L21:L23)-'23.1 Opex incl. RPM'!L56</f>
        <v>0.43298576772212982</v>
      </c>
      <c r="M29" s="3633">
        <f>SUM(M21:M23)-'23.1 Opex incl. RPM'!M56</f>
        <v>0.29726693034172058</v>
      </c>
      <c r="N29" s="3633">
        <f>SUM(N21:N23)-'23.1 Opex incl. RPM'!N56</f>
        <v>-0.23255676031112671</v>
      </c>
      <c r="O29" s="3633">
        <f>SUM(O21:O23)-'23.1 Opex incl. RPM'!O56</f>
        <v>0.47530238330364227</v>
      </c>
      <c r="P29" s="3633">
        <f>SUM(P21:P23)-'23.1 Opex incl. RPM'!P56</f>
        <v>-0.31578563153743744</v>
      </c>
      <c r="Q29" s="3633">
        <f>SUM(Q21:Q23)-'23.1 Opex incl. RPM'!Q56</f>
        <v>-0.14867854118347168</v>
      </c>
    </row>
    <row r="30" spans="1:31">
      <c r="H30" s="3632" t="s">
        <v>1684</v>
      </c>
      <c r="I30" s="3632"/>
      <c r="J30" s="3632"/>
    </row>
    <row r="31" spans="1:31">
      <c r="H31" s="227"/>
    </row>
    <row r="32" spans="1:31">
      <c r="H32" s="227"/>
    </row>
    <row r="33" spans="8:8">
      <c r="H33" s="227"/>
    </row>
    <row r="34" spans="8:8">
      <c r="H34" s="227"/>
    </row>
    <row r="35" spans="8:8">
      <c r="H35" s="227"/>
    </row>
  </sheetData>
  <mergeCells count="13">
    <mergeCell ref="U12:Y12"/>
    <mergeCell ref="Z12:AB12"/>
    <mergeCell ref="U13:AB13"/>
    <mergeCell ref="U14:AB14"/>
    <mergeCell ref="B8:D8"/>
    <mergeCell ref="B12:B15"/>
    <mergeCell ref="C12:G12"/>
    <mergeCell ref="H12:L12"/>
    <mergeCell ref="M12:Q12"/>
    <mergeCell ref="C13:J13"/>
    <mergeCell ref="K13:Q13"/>
    <mergeCell ref="C14:J14"/>
    <mergeCell ref="K14:Q14"/>
  </mergeCells>
  <pageMargins left="0.7" right="0.7" top="0.75" bottom="0.75" header="0.3" footer="0.3"/>
  <pageSetup paperSize="9" orientation="portrait" r:id="rId1"/>
  <customProperties>
    <customPr name="layoutContexts" r:id="rId2"/>
    <customPr name="SaveUndoMode" r:id="rId3"/>
  </customProperties>
  <drawing r:id="rId4"/>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92D050"/>
    <pageSetUpPr autoPageBreaks="0"/>
  </sheetPr>
  <dimension ref="A1:AE51"/>
  <sheetViews>
    <sheetView showGridLines="0" topLeftCell="A10" zoomScale="70" zoomScaleNormal="70" workbookViewId="0">
      <selection activeCell="L54" sqref="L54"/>
    </sheetView>
  </sheetViews>
  <sheetFormatPr defaultColWidth="9.140625" defaultRowHeight="12.75"/>
  <cols>
    <col min="1" max="1" width="16.28515625" style="94" bestFit="1" customWidth="1"/>
    <col min="2" max="2" width="40" style="94" bestFit="1" customWidth="1"/>
    <col min="3" max="17" width="12.7109375" style="94" customWidth="1"/>
    <col min="18" max="20" width="8.7109375"/>
    <col min="21" max="28" width="12.7109375" style="1266" customWidth="1"/>
    <col min="29" max="31" width="8.7109375" customWidth="1"/>
    <col min="32" max="16384" width="9.140625" style="94"/>
  </cols>
  <sheetData>
    <row r="1" spans="1:31" s="217" customFormat="1" ht="24.95" customHeight="1">
      <c r="B1" s="2272" t="str">
        <f>IF(dms_DataQuality="backcast",INDEX(dms_Worksheet_List,MATCH(dms_Model,dms_Model_List))&amp;" BACKCAST",INDEX(dms_Worksheet_List,MATCH(dms_Model,dms_Model_List)))</f>
        <v>REGULATORY REPORTING STATEMENT</v>
      </c>
      <c r="C1" s="518"/>
      <c r="D1" s="518"/>
      <c r="E1" s="518"/>
      <c r="F1" s="518"/>
      <c r="G1" s="518"/>
      <c r="H1" s="518"/>
      <c r="I1" s="518"/>
      <c r="J1" s="518"/>
      <c r="K1" s="518"/>
      <c r="L1" s="518"/>
      <c r="M1" s="518"/>
      <c r="N1" s="518"/>
      <c r="O1" s="518"/>
      <c r="P1" s="518"/>
      <c r="Q1" s="518"/>
      <c r="R1" s="518"/>
      <c r="S1" s="518"/>
      <c r="T1" s="518"/>
      <c r="U1" s="518"/>
      <c r="V1" s="518"/>
      <c r="W1" s="518"/>
      <c r="X1" s="518"/>
      <c r="Y1" s="518"/>
      <c r="Z1" s="518"/>
      <c r="AA1" s="518"/>
      <c r="AB1" s="518"/>
      <c r="AC1"/>
      <c r="AD1"/>
      <c r="AE1"/>
    </row>
    <row r="2" spans="1:31" s="217" customFormat="1" ht="24.95" customHeight="1">
      <c r="B2" s="2277" t="str">
        <f>INDEX(dms_TradingNameFull_List,MATCH(dms_TradingName,dms_TradingName_List))</f>
        <v>Multinet Gas (DB No.1) Pty Ltd (ACN 086 026 986), Multinet Gas (DB No.2) Pty Ltd (ACN 086 230 122)</v>
      </c>
      <c r="C2" s="220"/>
      <c r="D2" s="220"/>
      <c r="E2" s="220"/>
      <c r="F2" s="220"/>
      <c r="G2" s="220"/>
      <c r="H2" s="220"/>
      <c r="I2" s="220"/>
      <c r="J2" s="220"/>
      <c r="K2" s="220"/>
      <c r="L2" s="220"/>
      <c r="M2" s="220"/>
      <c r="N2" s="220"/>
      <c r="O2" s="220"/>
      <c r="P2" s="220"/>
      <c r="Q2" s="220"/>
      <c r="R2" s="1267"/>
      <c r="S2" s="1267"/>
      <c r="T2" s="1267"/>
      <c r="U2" s="1267"/>
      <c r="V2" s="1267"/>
      <c r="W2" s="1267"/>
      <c r="X2" s="1267"/>
      <c r="Y2" s="1267"/>
      <c r="Z2" s="1267"/>
      <c r="AA2" s="1267"/>
      <c r="AB2" s="1267"/>
      <c r="AC2"/>
      <c r="AD2"/>
      <c r="AE2"/>
    </row>
    <row r="3" spans="1:31" s="217" customFormat="1" ht="24.95" customHeight="1">
      <c r="B3" s="2277" t="str">
        <f ca="1">IF(SUM(dms_SingleYear_Model)&gt;0,CRY,CONCATENATE(FRCP_y1," to ",dms_MultiYear_FinalYear_Result))</f>
        <v>2018 to 2022</v>
      </c>
      <c r="C3" s="221"/>
      <c r="D3" s="221"/>
      <c r="E3" s="221"/>
      <c r="F3" s="221"/>
      <c r="G3" s="221"/>
      <c r="H3" s="221"/>
      <c r="I3" s="221"/>
      <c r="J3" s="221"/>
      <c r="K3" s="221"/>
      <c r="L3" s="221"/>
      <c r="M3" s="221"/>
      <c r="N3" s="221"/>
      <c r="O3" s="221"/>
      <c r="P3" s="221"/>
      <c r="Q3" s="221"/>
      <c r="R3" s="1265"/>
      <c r="S3" s="1265"/>
      <c r="T3" s="1265"/>
      <c r="U3" s="1265"/>
      <c r="V3" s="1265"/>
      <c r="W3" s="1265"/>
      <c r="X3" s="1265"/>
      <c r="Y3" s="1265"/>
      <c r="Z3" s="1265"/>
      <c r="AA3" s="1265"/>
      <c r="AB3" s="1265"/>
      <c r="AC3"/>
      <c r="AD3"/>
      <c r="AE3"/>
    </row>
    <row r="4" spans="1:31" s="159" customFormat="1" ht="24" customHeight="1">
      <c r="B4" s="10" t="s">
        <v>384</v>
      </c>
      <c r="C4" s="12"/>
      <c r="D4" s="12"/>
      <c r="E4" s="12"/>
      <c r="F4" s="12"/>
      <c r="G4" s="12"/>
      <c r="H4" s="12"/>
      <c r="I4" s="12"/>
      <c r="J4" s="12"/>
      <c r="K4" s="12"/>
      <c r="L4" s="12"/>
      <c r="M4" s="12"/>
      <c r="N4" s="12"/>
      <c r="O4" s="12"/>
      <c r="P4" s="12"/>
      <c r="Q4" s="12"/>
      <c r="R4" s="12"/>
      <c r="S4" s="12"/>
      <c r="T4" s="12"/>
      <c r="U4" s="12"/>
      <c r="V4" s="12"/>
      <c r="W4" s="12"/>
      <c r="X4" s="12"/>
      <c r="Y4" s="12"/>
      <c r="Z4" s="12"/>
      <c r="AA4" s="12"/>
      <c r="AB4" s="12"/>
      <c r="AC4"/>
      <c r="AD4"/>
      <c r="AE4"/>
    </row>
    <row r="5" spans="1:31" customFormat="1" ht="12.75" customHeight="1"/>
    <row r="6" spans="1:31" customFormat="1"/>
    <row r="7" spans="1:31">
      <c r="A7" s="725"/>
      <c r="B7" s="84" t="s">
        <v>61</v>
      </c>
      <c r="C7" s="84"/>
      <c r="D7" s="84"/>
      <c r="E7" s="84"/>
      <c r="F7" s="84"/>
      <c r="G7" s="84"/>
      <c r="H7" s="84"/>
      <c r="I7" s="299"/>
      <c r="J7" s="299"/>
      <c r="K7" s="299"/>
      <c r="L7" s="299"/>
      <c r="M7" s="725"/>
      <c r="N7" s="725"/>
      <c r="O7" s="725"/>
      <c r="P7" s="725"/>
      <c r="Q7" s="725"/>
      <c r="U7"/>
      <c r="V7"/>
      <c r="W7"/>
      <c r="X7"/>
      <c r="Y7"/>
      <c r="Z7"/>
      <c r="AA7"/>
      <c r="AB7"/>
    </row>
    <row r="8" spans="1:31">
      <c r="A8" s="725"/>
      <c r="B8" s="111" t="s">
        <v>7</v>
      </c>
      <c r="C8" s="111"/>
      <c r="D8" s="111"/>
      <c r="E8" s="111"/>
      <c r="F8" s="111"/>
      <c r="G8" s="111"/>
      <c r="H8" s="84"/>
      <c r="I8" s="299"/>
      <c r="J8" s="299"/>
      <c r="K8" s="299"/>
      <c r="L8" s="299"/>
      <c r="M8" s="725"/>
      <c r="N8" s="725"/>
      <c r="O8" s="725"/>
      <c r="P8" s="725"/>
      <c r="Q8" s="725"/>
      <c r="U8"/>
      <c r="V8"/>
      <c r="W8"/>
      <c r="X8"/>
      <c r="Y8"/>
      <c r="Z8"/>
      <c r="AA8"/>
      <c r="AB8"/>
    </row>
    <row r="9" spans="1:31">
      <c r="A9" s="725"/>
      <c r="B9" s="111" t="s">
        <v>256</v>
      </c>
      <c r="C9" s="120"/>
      <c r="D9" s="120"/>
      <c r="E9" s="120"/>
      <c r="F9" s="120"/>
      <c r="G9" s="120"/>
      <c r="H9" s="84"/>
      <c r="I9" s="299"/>
      <c r="J9" s="299"/>
      <c r="K9" s="299"/>
      <c r="L9" s="299"/>
      <c r="M9" s="725"/>
      <c r="N9" s="725"/>
      <c r="O9" s="725"/>
      <c r="P9" s="725"/>
      <c r="Q9" s="725"/>
      <c r="U9"/>
      <c r="V9"/>
      <c r="W9"/>
      <c r="X9"/>
      <c r="Y9"/>
      <c r="Z9"/>
      <c r="AA9"/>
      <c r="AB9"/>
    </row>
    <row r="10" spans="1:31" s="69" customFormat="1">
      <c r="A10" s="392"/>
      <c r="B10" s="85" t="str">
        <f>CONCATENATE("Ancillary reference services listed are those used in ", dms_TradingName,"'s past access arrangements")</f>
        <v>Ancillary reference services listed are those used in Multinet Gas's past access arrangements</v>
      </c>
      <c r="C10" s="102"/>
      <c r="D10" s="102"/>
      <c r="E10" s="102"/>
      <c r="F10" s="102"/>
      <c r="G10" s="102"/>
      <c r="H10" s="84"/>
      <c r="I10" s="511"/>
      <c r="J10" s="511"/>
      <c r="K10" s="511"/>
      <c r="L10" s="511"/>
      <c r="M10" s="392"/>
      <c r="N10" s="392"/>
      <c r="O10" s="392"/>
      <c r="P10" s="392"/>
      <c r="Q10" s="392"/>
      <c r="R10"/>
      <c r="S10"/>
      <c r="T10"/>
      <c r="U10"/>
      <c r="V10"/>
      <c r="W10"/>
      <c r="X10"/>
      <c r="Y10"/>
      <c r="Z10"/>
      <c r="AA10"/>
      <c r="AB10"/>
      <c r="AC10"/>
      <c r="AD10"/>
      <c r="AE10"/>
    </row>
    <row r="11" spans="1:31" ht="36.75" customHeight="1" thickBot="1">
      <c r="A11" s="725"/>
      <c r="B11" s="725"/>
      <c r="C11" s="725"/>
      <c r="D11" s="299"/>
      <c r="E11" s="867"/>
      <c r="F11" s="867"/>
      <c r="G11" s="349"/>
      <c r="H11" s="299"/>
      <c r="I11" s="299"/>
      <c r="J11" s="299"/>
      <c r="K11" s="725"/>
      <c r="L11" s="725"/>
      <c r="M11" s="725"/>
      <c r="N11" s="725"/>
      <c r="O11" s="725"/>
      <c r="P11" s="725"/>
      <c r="Q11" s="725"/>
      <c r="U11"/>
      <c r="V11"/>
      <c r="W11"/>
      <c r="X11"/>
      <c r="Y11"/>
      <c r="Z11"/>
      <c r="AA11"/>
      <c r="AB11"/>
    </row>
    <row r="12" spans="1:31" s="1266" customFormat="1" ht="16.5" thickBot="1">
      <c r="A12" s="1268"/>
      <c r="B12" s="833" t="s">
        <v>545</v>
      </c>
      <c r="C12" s="863"/>
      <c r="D12" s="863"/>
      <c r="E12" s="863"/>
      <c r="F12" s="863"/>
      <c r="G12" s="863"/>
      <c r="H12" s="863"/>
      <c r="I12" s="863"/>
      <c r="J12" s="863"/>
      <c r="K12" s="863"/>
      <c r="L12" s="863"/>
      <c r="M12" s="863"/>
      <c r="N12" s="863"/>
      <c r="O12" s="863"/>
      <c r="P12" s="863"/>
      <c r="Q12" s="863"/>
      <c r="T12"/>
      <c r="U12"/>
      <c r="V12"/>
      <c r="W12"/>
      <c r="X12"/>
      <c r="Y12"/>
      <c r="Z12"/>
      <c r="AA12"/>
      <c r="AB12"/>
      <c r="AC12"/>
    </row>
    <row r="13" spans="1:31" s="69" customFormat="1" ht="16.5" thickBot="1">
      <c r="A13" s="392"/>
      <c r="B13" s="1367" t="s">
        <v>546</v>
      </c>
      <c r="C13" s="1368"/>
      <c r="D13" s="1368"/>
      <c r="E13" s="1368"/>
      <c r="F13" s="1368"/>
      <c r="G13" s="1368"/>
      <c r="H13" s="1368"/>
      <c r="I13" s="1368"/>
      <c r="J13" s="1368"/>
      <c r="K13" s="1368"/>
      <c r="L13" s="1368"/>
      <c r="M13" s="1368"/>
      <c r="N13" s="1368"/>
      <c r="O13" s="1368"/>
      <c r="P13" s="1368"/>
      <c r="Q13" s="1369"/>
      <c r="R13"/>
      <c r="S13"/>
      <c r="T13"/>
      <c r="U13"/>
      <c r="V13"/>
      <c r="W13"/>
      <c r="X13"/>
      <c r="Y13"/>
      <c r="Z13"/>
      <c r="AA13"/>
      <c r="AB13"/>
      <c r="AC13"/>
      <c r="AD13"/>
      <c r="AE13"/>
    </row>
    <row r="14" spans="1:31" s="72" customFormat="1" ht="16.5" customHeight="1">
      <c r="A14" s="732"/>
      <c r="B14" s="4678"/>
      <c r="C14" s="4684" t="s">
        <v>36</v>
      </c>
      <c r="D14" s="4685"/>
      <c r="E14" s="4685"/>
      <c r="F14" s="4685"/>
      <c r="G14" s="4685"/>
      <c r="H14" s="4686" t="s">
        <v>37</v>
      </c>
      <c r="I14" s="4687"/>
      <c r="J14" s="4687"/>
      <c r="K14" s="4687"/>
      <c r="L14" s="4687"/>
      <c r="M14" s="4688" t="s">
        <v>75</v>
      </c>
      <c r="N14" s="4688"/>
      <c r="O14" s="4688"/>
      <c r="P14" s="4688"/>
      <c r="Q14" s="4689"/>
      <c r="R14"/>
      <c r="S14"/>
      <c r="T14"/>
      <c r="U14"/>
      <c r="V14"/>
      <c r="W14"/>
      <c r="X14"/>
      <c r="Y14"/>
      <c r="Z14"/>
      <c r="AA14"/>
      <c r="AB14"/>
      <c r="AC14"/>
      <c r="AD14"/>
      <c r="AE14"/>
    </row>
    <row r="15" spans="1:31" s="72" customFormat="1" ht="16.5" customHeight="1">
      <c r="A15" s="732"/>
      <c r="B15" s="4679"/>
      <c r="C15" s="4690" t="s">
        <v>357</v>
      </c>
      <c r="D15" s="4691"/>
      <c r="E15" s="4691"/>
      <c r="F15" s="4691"/>
      <c r="G15" s="4691"/>
      <c r="H15" s="4691"/>
      <c r="I15" s="4691"/>
      <c r="J15" s="4691"/>
      <c r="K15" s="4691"/>
      <c r="L15" s="4691"/>
      <c r="M15" s="4691"/>
      <c r="N15" s="4691"/>
      <c r="O15" s="4691"/>
      <c r="P15" s="4691"/>
      <c r="Q15" s="4692"/>
      <c r="R15" s="1266"/>
      <c r="S15" s="1266"/>
      <c r="T15" s="1266"/>
      <c r="U15" s="1266"/>
      <c r="V15" s="1266"/>
      <c r="W15" s="1266"/>
      <c r="X15" s="1266"/>
      <c r="Y15" s="1266"/>
      <c r="Z15" s="1266"/>
      <c r="AA15" s="1266"/>
      <c r="AB15" s="1266"/>
      <c r="AC15" s="1266"/>
      <c r="AD15" s="1266"/>
      <c r="AE15" s="1266"/>
    </row>
    <row r="16" spans="1:31" s="72" customFormat="1" ht="16.5" customHeight="1">
      <c r="A16" s="732"/>
      <c r="B16" s="4679"/>
      <c r="C16" s="4125" t="s">
        <v>56</v>
      </c>
      <c r="D16" s="4126"/>
      <c r="E16" s="4126"/>
      <c r="F16" s="4126"/>
      <c r="G16" s="4126"/>
      <c r="H16" s="4126"/>
      <c r="I16" s="4126"/>
      <c r="J16" s="4127"/>
      <c r="K16" s="4128" t="s">
        <v>57</v>
      </c>
      <c r="L16" s="4129"/>
      <c r="M16" s="4129"/>
      <c r="N16" s="4129"/>
      <c r="O16" s="4129"/>
      <c r="P16" s="4129"/>
      <c r="Q16" s="4475"/>
      <c r="R16"/>
      <c r="S16"/>
      <c r="T16"/>
      <c r="U16"/>
      <c r="V16"/>
      <c r="W16"/>
      <c r="X16"/>
      <c r="Y16"/>
      <c r="Z16"/>
      <c r="AA16"/>
      <c r="AB16"/>
      <c r="AC16"/>
      <c r="AD16"/>
      <c r="AE16"/>
    </row>
    <row r="17" spans="1:31" s="69" customFormat="1" ht="12.75" customHeight="1" thickBot="1">
      <c r="A17" s="392"/>
      <c r="B17" s="4680"/>
      <c r="C17" s="375">
        <f t="array" ref="C17:G17">PRCP</f>
        <v>2008</v>
      </c>
      <c r="D17" s="374">
        <v>2009</v>
      </c>
      <c r="E17" s="374">
        <v>2010</v>
      </c>
      <c r="F17" s="374">
        <v>2011</v>
      </c>
      <c r="G17" s="374">
        <v>2012</v>
      </c>
      <c r="H17" s="376">
        <f>CRCP_y1</f>
        <v>2013</v>
      </c>
      <c r="I17" s="376">
        <f>CRCP_y2</f>
        <v>2014</v>
      </c>
      <c r="J17" s="376">
        <f>CRCP_y3</f>
        <v>2015</v>
      </c>
      <c r="K17" s="376">
        <f>CRCP_y4</f>
        <v>2016</v>
      </c>
      <c r="L17" s="376">
        <f>CRCP_y5</f>
        <v>2017</v>
      </c>
      <c r="M17" s="374" t="str">
        <f t="array" ref="M17:Q17">FRCP</f>
        <v>2018</v>
      </c>
      <c r="N17" s="374">
        <v>2019</v>
      </c>
      <c r="O17" s="374">
        <v>2020</v>
      </c>
      <c r="P17" s="374">
        <v>2021</v>
      </c>
      <c r="Q17" s="713">
        <v>2022</v>
      </c>
      <c r="R17"/>
      <c r="S17"/>
      <c r="T17"/>
      <c r="U17"/>
      <c r="V17"/>
      <c r="W17"/>
      <c r="X17"/>
      <c r="Y17"/>
      <c r="Z17"/>
      <c r="AA17"/>
      <c r="AB17"/>
      <c r="AC17"/>
      <c r="AD17"/>
      <c r="AE17"/>
    </row>
    <row r="18" spans="1:31" ht="12.75" customHeight="1">
      <c r="A18" s="725"/>
      <c r="B18" s="1440" t="s">
        <v>1412</v>
      </c>
      <c r="C18" s="3007">
        <v>86</v>
      </c>
      <c r="D18" s="3008">
        <v>113</v>
      </c>
      <c r="E18" s="3008">
        <v>137</v>
      </c>
      <c r="F18" s="3008">
        <v>159</v>
      </c>
      <c r="G18" s="3009">
        <v>225.00000000000003</v>
      </c>
      <c r="H18" s="3007">
        <v>278.18931457647409</v>
      </c>
      <c r="I18" s="3008">
        <v>166.90152351512475</v>
      </c>
      <c r="J18" s="3008">
        <v>118.88705848500108</v>
      </c>
      <c r="K18" s="3008">
        <v>119.86669029057407</v>
      </c>
      <c r="L18" s="3009">
        <v>120</v>
      </c>
      <c r="M18" s="3007">
        <v>120</v>
      </c>
      <c r="N18" s="3008">
        <v>120</v>
      </c>
      <c r="O18" s="3008">
        <v>120</v>
      </c>
      <c r="P18" s="3008">
        <v>120</v>
      </c>
      <c r="Q18" s="3009">
        <v>120</v>
      </c>
      <c r="U18"/>
      <c r="V18"/>
      <c r="W18"/>
      <c r="X18"/>
      <c r="Y18"/>
      <c r="Z18"/>
      <c r="AA18"/>
      <c r="AB18"/>
    </row>
    <row r="19" spans="1:31" ht="12.75" customHeight="1">
      <c r="A19" s="725"/>
      <c r="B19" s="1440" t="s">
        <v>1413</v>
      </c>
      <c r="C19" s="3010">
        <v>3185</v>
      </c>
      <c r="D19" s="3011">
        <v>3759</v>
      </c>
      <c r="E19" s="3011">
        <v>4816</v>
      </c>
      <c r="F19" s="3011">
        <v>5753.9999999999991</v>
      </c>
      <c r="G19" s="3012">
        <v>4740</v>
      </c>
      <c r="H19" s="3010">
        <v>5472.9831722593826</v>
      </c>
      <c r="I19" s="3011">
        <v>4182.2977284787785</v>
      </c>
      <c r="J19" s="3011">
        <v>7574.3016521286445</v>
      </c>
      <c r="K19" s="3011">
        <v>9340.2867198062268</v>
      </c>
      <c r="L19" s="3012">
        <v>7704</v>
      </c>
      <c r="M19" s="3010">
        <v>7764</v>
      </c>
      <c r="N19" s="3011">
        <v>7836</v>
      </c>
      <c r="O19" s="3011">
        <v>7896</v>
      </c>
      <c r="P19" s="3011">
        <v>7968</v>
      </c>
      <c r="Q19" s="3012">
        <v>8040</v>
      </c>
      <c r="U19"/>
      <c r="V19"/>
      <c r="W19"/>
      <c r="X19"/>
      <c r="Y19"/>
      <c r="Z19"/>
      <c r="AA19"/>
      <c r="AB19"/>
    </row>
    <row r="20" spans="1:31">
      <c r="A20" s="725"/>
      <c r="B20" s="1440" t="s">
        <v>1414</v>
      </c>
      <c r="C20" s="3010">
        <v>2862</v>
      </c>
      <c r="D20" s="3011">
        <v>2470</v>
      </c>
      <c r="E20" s="3011">
        <v>2963</v>
      </c>
      <c r="F20" s="3011">
        <v>2906.0271472739614</v>
      </c>
      <c r="G20" s="3012">
        <v>2618</v>
      </c>
      <c r="H20" s="3010">
        <v>3148.0187833595674</v>
      </c>
      <c r="I20" s="3011">
        <v>3856.9925863851872</v>
      </c>
      <c r="J20" s="3011">
        <v>4496.5045556128589</v>
      </c>
      <c r="K20" s="3011">
        <v>4627.9092215636374</v>
      </c>
      <c r="L20" s="3012">
        <v>4554</v>
      </c>
      <c r="M20" s="3010">
        <v>4590</v>
      </c>
      <c r="N20" s="3011">
        <v>4614</v>
      </c>
      <c r="O20" s="3011">
        <v>4638</v>
      </c>
      <c r="P20" s="3011">
        <v>4674</v>
      </c>
      <c r="Q20" s="3012">
        <v>4698</v>
      </c>
      <c r="U20"/>
      <c r="V20"/>
      <c r="W20"/>
      <c r="X20"/>
      <c r="Y20"/>
      <c r="Z20"/>
      <c r="AA20"/>
      <c r="AB20"/>
    </row>
    <row r="21" spans="1:31">
      <c r="A21" s="725"/>
      <c r="B21" s="1440" t="s">
        <v>1415</v>
      </c>
      <c r="C21" s="3010">
        <v>2042</v>
      </c>
      <c r="D21" s="3011">
        <v>2661</v>
      </c>
      <c r="E21" s="3011">
        <v>2949.0124347729543</v>
      </c>
      <c r="F21" s="3011">
        <v>3460</v>
      </c>
      <c r="G21" s="3012">
        <v>3932</v>
      </c>
      <c r="H21" s="3010">
        <v>5882.2172311842924</v>
      </c>
      <c r="I21" s="3011">
        <v>5515.9219309393529</v>
      </c>
      <c r="J21" s="3011">
        <v>7978.585546864766</v>
      </c>
      <c r="K21" s="3011">
        <v>9500.8914556969921</v>
      </c>
      <c r="L21" s="3012">
        <v>8136</v>
      </c>
      <c r="M21" s="3010">
        <v>8220</v>
      </c>
      <c r="N21" s="3011">
        <v>8292</v>
      </c>
      <c r="O21" s="3011">
        <v>8376</v>
      </c>
      <c r="P21" s="3011">
        <v>8460</v>
      </c>
      <c r="Q21" s="3012">
        <v>8544</v>
      </c>
      <c r="U21"/>
      <c r="V21"/>
      <c r="W21"/>
      <c r="X21"/>
      <c r="Y21"/>
      <c r="Z21"/>
      <c r="AA21"/>
      <c r="AB21"/>
    </row>
    <row r="22" spans="1:31">
      <c r="A22" s="725"/>
      <c r="B22" s="1440" t="s">
        <v>81</v>
      </c>
      <c r="C22" s="3010">
        <v>139127.65730337077</v>
      </c>
      <c r="D22" s="3011">
        <v>147019.94243641233</v>
      </c>
      <c r="E22" s="3011">
        <v>145192</v>
      </c>
      <c r="F22" s="3011">
        <v>145594.02702702704</v>
      </c>
      <c r="G22" s="3012">
        <v>149243.83208955225</v>
      </c>
      <c r="H22" s="3010">
        <v>192607.49084858567</v>
      </c>
      <c r="I22" s="3011">
        <v>185389.6759410802</v>
      </c>
      <c r="J22" s="3011">
        <v>202306.82079999999</v>
      </c>
      <c r="K22" s="3011">
        <v>213296.89589904633</v>
      </c>
      <c r="L22" s="3012">
        <v>213296.89589904633</v>
      </c>
      <c r="M22" s="3010">
        <v>213296.89589904633</v>
      </c>
      <c r="N22" s="3011">
        <v>213296.89589904633</v>
      </c>
      <c r="O22" s="3011">
        <v>213296.89589904633</v>
      </c>
      <c r="P22" s="3011">
        <v>213296.89589904633</v>
      </c>
      <c r="Q22" s="3012">
        <v>213296.89589904633</v>
      </c>
      <c r="U22"/>
      <c r="V22"/>
      <c r="W22"/>
      <c r="X22"/>
      <c r="Y22"/>
      <c r="Z22"/>
      <c r="AA22"/>
      <c r="AB22"/>
    </row>
    <row r="23" spans="1:31" s="883" customFormat="1" ht="13.5" thickBot="1">
      <c r="A23" s="882"/>
      <c r="B23" s="1295" t="s">
        <v>657</v>
      </c>
      <c r="C23" s="1243">
        <f t="shared" ref="C23:Q23" si="0">SUM(C18:C22)</f>
        <v>147302.65730337077</v>
      </c>
      <c r="D23" s="1244">
        <f t="shared" si="0"/>
        <v>156022.94243641233</v>
      </c>
      <c r="E23" s="1244">
        <f t="shared" si="0"/>
        <v>156057.01243477294</v>
      </c>
      <c r="F23" s="1244">
        <f t="shared" si="0"/>
        <v>157873.05417430101</v>
      </c>
      <c r="G23" s="1245">
        <f t="shared" si="0"/>
        <v>160758.83208955225</v>
      </c>
      <c r="H23" s="1243">
        <f t="shared" si="0"/>
        <v>207388.89934996539</v>
      </c>
      <c r="I23" s="1244">
        <f t="shared" si="0"/>
        <v>199111.78971039865</v>
      </c>
      <c r="J23" s="1244">
        <f t="shared" si="0"/>
        <v>222475.09961309127</v>
      </c>
      <c r="K23" s="1244">
        <f t="shared" si="0"/>
        <v>236885.84998640377</v>
      </c>
      <c r="L23" s="1245">
        <f t="shared" si="0"/>
        <v>233810.89589904633</v>
      </c>
      <c r="M23" s="1243">
        <f t="shared" si="0"/>
        <v>233990.89589904633</v>
      </c>
      <c r="N23" s="1244">
        <f t="shared" si="0"/>
        <v>234158.89589904633</v>
      </c>
      <c r="O23" s="1244">
        <f t="shared" si="0"/>
        <v>234326.89589904633</v>
      </c>
      <c r="P23" s="1244">
        <f t="shared" si="0"/>
        <v>234518.89589904633</v>
      </c>
      <c r="Q23" s="1245">
        <f t="shared" si="0"/>
        <v>234698.89589904633</v>
      </c>
      <c r="T23"/>
      <c r="U23"/>
      <c r="V23"/>
      <c r="W23"/>
      <c r="X23"/>
      <c r="Y23"/>
      <c r="Z23"/>
      <c r="AA23"/>
      <c r="AB23"/>
      <c r="AC23"/>
    </row>
    <row r="24" spans="1:31" s="69" customFormat="1" ht="28.5" customHeight="1" thickBot="1">
      <c r="A24" s="348"/>
      <c r="B24" s="1472" t="s">
        <v>127</v>
      </c>
      <c r="C24" s="1255"/>
      <c r="D24" s="1256"/>
      <c r="E24" s="1256"/>
      <c r="F24" s="1256"/>
      <c r="G24" s="1256"/>
      <c r="H24" s="1256"/>
      <c r="I24" s="1256"/>
      <c r="J24" s="1256"/>
      <c r="K24" s="1256"/>
      <c r="L24" s="1256"/>
      <c r="M24" s="1256"/>
      <c r="N24" s="1256"/>
      <c r="O24" s="1256"/>
      <c r="P24" s="1256"/>
      <c r="Q24" s="1291"/>
      <c r="R24"/>
      <c r="S24"/>
      <c r="T24"/>
      <c r="U24"/>
      <c r="V24"/>
      <c r="W24"/>
      <c r="X24"/>
      <c r="Y24"/>
      <c r="Z24"/>
      <c r="AA24"/>
      <c r="AB24"/>
      <c r="AC24"/>
      <c r="AD24"/>
      <c r="AE24"/>
    </row>
    <row r="25" spans="1:31" s="95" customFormat="1" ht="36.75" customHeight="1" thickBot="1">
      <c r="A25" s="725"/>
      <c r="B25" s="97"/>
      <c r="C25" s="121"/>
      <c r="D25" s="121"/>
      <c r="E25" s="121"/>
      <c r="F25" s="121"/>
      <c r="G25" s="121"/>
      <c r="H25" s="121"/>
      <c r="I25" s="121"/>
      <c r="J25" s="121"/>
      <c r="K25" s="121"/>
      <c r="L25" s="121"/>
      <c r="R25"/>
      <c r="S25"/>
      <c r="T25"/>
      <c r="U25" s="1266"/>
      <c r="V25" s="1266"/>
      <c r="W25" s="1266"/>
      <c r="X25" s="1266"/>
      <c r="Y25" s="1266"/>
      <c r="Z25" s="1266"/>
      <c r="AA25" s="1266"/>
      <c r="AB25" s="1266"/>
      <c r="AC25"/>
      <c r="AD25"/>
      <c r="AE25"/>
    </row>
    <row r="26" spans="1:31" s="69" customFormat="1" ht="16.5" thickBot="1">
      <c r="A26" s="392"/>
      <c r="B26" s="1367" t="s">
        <v>547</v>
      </c>
      <c r="C26" s="1368"/>
      <c r="D26" s="1368"/>
      <c r="E26" s="1368"/>
      <c r="F26" s="1368"/>
      <c r="G26" s="1368"/>
      <c r="H26" s="1368"/>
      <c r="I26" s="1368"/>
      <c r="J26" s="1368"/>
      <c r="K26" s="1368"/>
      <c r="L26" s="1368"/>
      <c r="M26" s="1368"/>
      <c r="N26" s="1368"/>
      <c r="O26" s="1368"/>
      <c r="P26" s="1368"/>
      <c r="Q26" s="1369"/>
      <c r="R26"/>
      <c r="S26"/>
      <c r="T26"/>
      <c r="U26" s="1266"/>
      <c r="V26" s="1266"/>
      <c r="W26" s="1266"/>
      <c r="X26" s="1266"/>
      <c r="Y26" s="1266"/>
      <c r="Z26" s="1266"/>
      <c r="AA26" s="1266"/>
      <c r="AB26" s="1266"/>
      <c r="AC26"/>
      <c r="AD26"/>
      <c r="AE26"/>
    </row>
    <row r="27" spans="1:31" s="95" customFormat="1" ht="12.75" customHeight="1">
      <c r="A27" s="725"/>
      <c r="B27" s="4678"/>
      <c r="C27" s="4684" t="s">
        <v>36</v>
      </c>
      <c r="D27" s="4685"/>
      <c r="E27" s="4685"/>
      <c r="F27" s="4685"/>
      <c r="G27" s="4685"/>
      <c r="H27" s="4686" t="s">
        <v>37</v>
      </c>
      <c r="I27" s="4687"/>
      <c r="J27" s="4687"/>
      <c r="K27" s="4687"/>
      <c r="L27" s="4687"/>
      <c r="M27" s="4688" t="s">
        <v>75</v>
      </c>
      <c r="N27" s="4688"/>
      <c r="O27" s="4688"/>
      <c r="P27" s="4688"/>
      <c r="Q27" s="4689"/>
      <c r="R27"/>
      <c r="S27"/>
      <c r="T27"/>
      <c r="U27" s="1266"/>
      <c r="V27" s="1266"/>
      <c r="W27" s="1266"/>
      <c r="X27" s="1266"/>
      <c r="Y27" s="1266"/>
      <c r="Z27" s="1266"/>
      <c r="AA27" s="1266"/>
      <c r="AB27" s="1266"/>
      <c r="AC27"/>
      <c r="AD27"/>
      <c r="AE27"/>
    </row>
    <row r="28" spans="1:31" s="95" customFormat="1" ht="12.75" customHeight="1">
      <c r="A28" s="725"/>
      <c r="B28" s="4679"/>
      <c r="C28" s="4125" t="s">
        <v>569</v>
      </c>
      <c r="D28" s="4126"/>
      <c r="E28" s="4126"/>
      <c r="F28" s="4126"/>
      <c r="G28" s="4126"/>
      <c r="H28" s="4126"/>
      <c r="I28" s="4126"/>
      <c r="J28" s="4126"/>
      <c r="K28" s="4127"/>
      <c r="L28" s="4128" t="str">
        <f>CONCATENATE("$0's, real ",dms_DollarReal)</f>
        <v>$0's, real December 2017</v>
      </c>
      <c r="M28" s="4129"/>
      <c r="N28" s="4129"/>
      <c r="O28" s="4129"/>
      <c r="P28" s="4129"/>
      <c r="Q28" s="4475"/>
      <c r="R28"/>
      <c r="S28"/>
      <c r="T28"/>
      <c r="U28" s="1266"/>
      <c r="V28" s="1266"/>
      <c r="W28" s="1266"/>
      <c r="X28" s="1266"/>
      <c r="Y28" s="1266"/>
      <c r="Z28" s="1266"/>
      <c r="AA28" s="1266"/>
      <c r="AB28" s="1266"/>
      <c r="AC28"/>
      <c r="AD28"/>
      <c r="AE28"/>
    </row>
    <row r="29" spans="1:31" ht="12.75" customHeight="1">
      <c r="A29" s="725"/>
      <c r="B29" s="4679"/>
      <c r="C29" s="4125" t="s">
        <v>56</v>
      </c>
      <c r="D29" s="4126"/>
      <c r="E29" s="4126"/>
      <c r="F29" s="4126"/>
      <c r="G29" s="4126"/>
      <c r="H29" s="4126"/>
      <c r="I29" s="4126"/>
      <c r="J29" s="4127"/>
      <c r="K29" s="4128" t="s">
        <v>57</v>
      </c>
      <c r="L29" s="4129"/>
      <c r="M29" s="4129"/>
      <c r="N29" s="4129"/>
      <c r="O29" s="4129"/>
      <c r="P29" s="4129"/>
      <c r="Q29" s="4475"/>
    </row>
    <row r="30" spans="1:31" ht="12.75" customHeight="1" thickBot="1">
      <c r="A30" s="725"/>
      <c r="B30" s="4680"/>
      <c r="C30" s="375">
        <f t="array" ref="C30:G30">PRCP</f>
        <v>2008</v>
      </c>
      <c r="D30" s="374">
        <v>2009</v>
      </c>
      <c r="E30" s="374">
        <v>2010</v>
      </c>
      <c r="F30" s="374">
        <v>2011</v>
      </c>
      <c r="G30" s="374">
        <v>2012</v>
      </c>
      <c r="H30" s="376">
        <f>CRCP_y1</f>
        <v>2013</v>
      </c>
      <c r="I30" s="376">
        <f>CRCP_y2</f>
        <v>2014</v>
      </c>
      <c r="J30" s="376">
        <f>CRCP_y3</f>
        <v>2015</v>
      </c>
      <c r="K30" s="376">
        <f>CRCP_y4</f>
        <v>2016</v>
      </c>
      <c r="L30" s="376">
        <f>CRCP_y5</f>
        <v>2017</v>
      </c>
      <c r="M30" s="374" t="str">
        <f t="array" ref="M30:Q30">FRCP</f>
        <v>2018</v>
      </c>
      <c r="N30" s="374">
        <v>2019</v>
      </c>
      <c r="O30" s="374">
        <v>2020</v>
      </c>
      <c r="P30" s="374">
        <v>2021</v>
      </c>
      <c r="Q30" s="713">
        <v>2022</v>
      </c>
    </row>
    <row r="31" spans="1:31" ht="12.75" customHeight="1">
      <c r="A31" s="725"/>
      <c r="B31" s="1440" t="s">
        <v>1412</v>
      </c>
      <c r="C31" s="3007">
        <v>10515.039999999999</v>
      </c>
      <c r="D31" s="3008">
        <v>14547.62</v>
      </c>
      <c r="E31" s="3008">
        <v>17859.32</v>
      </c>
      <c r="F31" s="3008">
        <v>21304.409999999996</v>
      </c>
      <c r="G31" s="3009">
        <v>31207.500000000004</v>
      </c>
      <c r="H31" s="3007">
        <v>37657.919999999998</v>
      </c>
      <c r="I31" s="3008">
        <v>22676.91</v>
      </c>
      <c r="J31" s="3008">
        <v>16526.489999999998</v>
      </c>
      <c r="K31" s="3008">
        <v>16913.190000000002</v>
      </c>
      <c r="L31" s="3009">
        <v>17151.600000000002</v>
      </c>
      <c r="M31" s="3007">
        <v>17151.600000000002</v>
      </c>
      <c r="N31" s="3008">
        <v>17151.600000000002</v>
      </c>
      <c r="O31" s="3008">
        <v>17151.600000000002</v>
      </c>
      <c r="P31" s="3008">
        <v>17151.600000000002</v>
      </c>
      <c r="Q31" s="3009">
        <v>17151.600000000002</v>
      </c>
    </row>
    <row r="32" spans="1:31" ht="12.75" customHeight="1">
      <c r="A32" s="725"/>
      <c r="B32" s="1440" t="s">
        <v>1413</v>
      </c>
      <c r="C32" s="3010">
        <v>193233.95</v>
      </c>
      <c r="D32" s="3011">
        <v>239410.71</v>
      </c>
      <c r="E32" s="3011">
        <v>310583.83999999997</v>
      </c>
      <c r="F32" s="3011">
        <v>381432.66000000003</v>
      </c>
      <c r="G32" s="3012">
        <v>325310.64</v>
      </c>
      <c r="H32" s="3010">
        <v>299465.72000000003</v>
      </c>
      <c r="I32" s="3011">
        <v>198734.28</v>
      </c>
      <c r="J32" s="3011">
        <v>368520.89</v>
      </c>
      <c r="K32" s="3011">
        <v>461532.62999999931</v>
      </c>
      <c r="L32" s="3012">
        <v>385662.24</v>
      </c>
      <c r="M32" s="3010">
        <v>388665.84</v>
      </c>
      <c r="N32" s="3011">
        <v>392270.16000000003</v>
      </c>
      <c r="O32" s="3011">
        <v>395273.76</v>
      </c>
      <c r="P32" s="3011">
        <v>398878.08</v>
      </c>
      <c r="Q32" s="3012">
        <v>402482.4</v>
      </c>
    </row>
    <row r="33" spans="1:31" ht="12.75" customHeight="1">
      <c r="A33" s="725"/>
      <c r="B33" s="1440" t="s">
        <v>1414</v>
      </c>
      <c r="C33" s="3010">
        <v>347332.32</v>
      </c>
      <c r="D33" s="3011">
        <v>314702.69999999995</v>
      </c>
      <c r="E33" s="3011">
        <v>382256.63</v>
      </c>
      <c r="F33" s="3011">
        <v>385368.26000000007</v>
      </c>
      <c r="G33" s="3012">
        <v>359372.86000000004</v>
      </c>
      <c r="H33" s="3010">
        <v>284473.03999999992</v>
      </c>
      <c r="I33" s="3011">
        <v>219253.21999999994</v>
      </c>
      <c r="J33" s="3011">
        <v>261561.66999999995</v>
      </c>
      <c r="K33" s="3011">
        <v>273185.79000000015</v>
      </c>
      <c r="L33" s="3012">
        <v>272374.74</v>
      </c>
      <c r="M33" s="3010">
        <v>274527.90000000002</v>
      </c>
      <c r="N33" s="3011">
        <v>275963.34000000003</v>
      </c>
      <c r="O33" s="3011">
        <v>277398.78000000003</v>
      </c>
      <c r="P33" s="3011">
        <v>279551.94</v>
      </c>
      <c r="Q33" s="3012">
        <v>280987.38</v>
      </c>
    </row>
    <row r="34" spans="1:31" ht="12.75" customHeight="1">
      <c r="A34" s="725"/>
      <c r="B34" s="1440" t="s">
        <v>1415</v>
      </c>
      <c r="C34" s="3010">
        <v>172998.24000000002</v>
      </c>
      <c r="D34" s="3011">
        <v>236695.94999999998</v>
      </c>
      <c r="E34" s="3011">
        <v>265617.55</v>
      </c>
      <c r="F34" s="3011">
        <v>320388.49999999994</v>
      </c>
      <c r="G34" s="3012">
        <v>377027.14</v>
      </c>
      <c r="H34" s="3010">
        <v>364785.44999999995</v>
      </c>
      <c r="I34" s="3011">
        <v>222655.44000000003</v>
      </c>
      <c r="J34" s="3011">
        <v>328678.04999999993</v>
      </c>
      <c r="K34" s="3011">
        <v>396225.14999999927</v>
      </c>
      <c r="L34" s="3012">
        <v>343420.56</v>
      </c>
      <c r="M34" s="3010">
        <v>346966.2</v>
      </c>
      <c r="N34" s="3011">
        <v>350005.32</v>
      </c>
      <c r="O34" s="3011">
        <v>353550.96</v>
      </c>
      <c r="P34" s="3011">
        <v>357096.60000000003</v>
      </c>
      <c r="Q34" s="3012">
        <v>360642.24</v>
      </c>
    </row>
    <row r="35" spans="1:31" ht="12.75" customHeight="1">
      <c r="A35" s="725"/>
      <c r="B35" s="1440" t="s">
        <v>81</v>
      </c>
      <c r="C35" s="3010">
        <v>982502.84</v>
      </c>
      <c r="D35" s="3011">
        <v>1098238.97</v>
      </c>
      <c r="E35" s="3011">
        <v>1097651.52</v>
      </c>
      <c r="F35" s="3011">
        <v>1131265.5900000001</v>
      </c>
      <c r="G35" s="3012">
        <v>1200223.9300000002</v>
      </c>
      <c r="H35" s="3010">
        <v>1343429.99</v>
      </c>
      <c r="I35" s="3011">
        <v>1132730.9200000002</v>
      </c>
      <c r="J35" s="3011">
        <v>1264417.6300000001</v>
      </c>
      <c r="K35" s="3011">
        <v>1352302.3199999537</v>
      </c>
      <c r="L35" s="3012">
        <v>1369366.0716718775</v>
      </c>
      <c r="M35" s="3010">
        <v>1369366.0716718775</v>
      </c>
      <c r="N35" s="3011">
        <v>1369366.0716718775</v>
      </c>
      <c r="O35" s="3011">
        <v>1369366.0716718775</v>
      </c>
      <c r="P35" s="3011">
        <v>1369366.0716718775</v>
      </c>
      <c r="Q35" s="3012">
        <v>1369366.0716718775</v>
      </c>
    </row>
    <row r="36" spans="1:31" s="883" customFormat="1" ht="12.75" customHeight="1" thickBot="1">
      <c r="A36" s="882"/>
      <c r="B36" s="1295" t="s">
        <v>218</v>
      </c>
      <c r="C36" s="1243">
        <f t="shared" ref="C36:Q36" si="1">SUM(C31:C35)</f>
        <v>1706582.3900000001</v>
      </c>
      <c r="D36" s="1244">
        <f t="shared" si="1"/>
        <v>1903595.9499999997</v>
      </c>
      <c r="E36" s="1244">
        <f t="shared" si="1"/>
        <v>2073968.86</v>
      </c>
      <c r="F36" s="1244">
        <f t="shared" si="1"/>
        <v>2239759.42</v>
      </c>
      <c r="G36" s="1245">
        <f t="shared" si="1"/>
        <v>2293142.0700000003</v>
      </c>
      <c r="H36" s="1243">
        <f t="shared" si="1"/>
        <v>2329812.12</v>
      </c>
      <c r="I36" s="1244">
        <f t="shared" si="1"/>
        <v>1796050.77</v>
      </c>
      <c r="J36" s="1244">
        <f t="shared" si="1"/>
        <v>2239704.73</v>
      </c>
      <c r="K36" s="1244">
        <f t="shared" si="1"/>
        <v>2500159.0799999526</v>
      </c>
      <c r="L36" s="1245">
        <f t="shared" si="1"/>
        <v>2387975.2116718777</v>
      </c>
      <c r="M36" s="1243">
        <f t="shared" si="1"/>
        <v>2396677.6116718776</v>
      </c>
      <c r="N36" s="1244">
        <f t="shared" si="1"/>
        <v>2404756.4916718779</v>
      </c>
      <c r="O36" s="1244">
        <f t="shared" si="1"/>
        <v>2412741.1716718776</v>
      </c>
      <c r="P36" s="1244">
        <f t="shared" si="1"/>
        <v>2422044.2916718777</v>
      </c>
      <c r="Q36" s="1245">
        <f t="shared" si="1"/>
        <v>2430629.6916718776</v>
      </c>
      <c r="U36" s="1266"/>
      <c r="V36" s="1266"/>
      <c r="W36" s="1266"/>
      <c r="X36" s="1266"/>
      <c r="Y36" s="1266"/>
      <c r="Z36" s="1266"/>
      <c r="AA36" s="1266"/>
      <c r="AB36" s="1266"/>
    </row>
    <row r="37" spans="1:31" s="1266" customFormat="1" ht="28.5" customHeight="1" thickBot="1">
      <c r="A37" s="974"/>
      <c r="B37" s="1472" t="s">
        <v>127</v>
      </c>
      <c r="C37" s="1255"/>
      <c r="D37" s="1256"/>
      <c r="E37" s="1256"/>
      <c r="F37" s="1256"/>
      <c r="G37" s="1256"/>
      <c r="H37" s="1256"/>
      <c r="I37" s="1256"/>
      <c r="J37" s="1256"/>
      <c r="K37" s="1256"/>
      <c r="L37" s="1256"/>
      <c r="M37" s="1256"/>
      <c r="N37" s="1256"/>
      <c r="O37" s="1256"/>
      <c r="P37" s="1256"/>
      <c r="Q37" s="1291"/>
    </row>
    <row r="38" spans="1:31" s="95" customFormat="1" ht="43.5" customHeight="1" thickBot="1">
      <c r="A38" s="725"/>
      <c r="B38" s="122"/>
      <c r="C38" s="123"/>
      <c r="D38" s="123"/>
      <c r="E38" s="123"/>
      <c r="F38" s="123"/>
      <c r="G38" s="123"/>
      <c r="R38"/>
      <c r="S38"/>
      <c r="T38"/>
      <c r="U38" s="1266"/>
      <c r="V38" s="1266"/>
      <c r="W38" s="1266"/>
      <c r="X38" s="1266"/>
      <c r="Y38" s="1266"/>
      <c r="Z38" s="1266"/>
      <c r="AA38" s="1266"/>
      <c r="AB38" s="1266"/>
      <c r="AC38"/>
      <c r="AD38"/>
      <c r="AE38"/>
    </row>
    <row r="39" spans="1:31" s="69" customFormat="1" ht="16.5" thickBot="1">
      <c r="A39" s="392"/>
      <c r="B39" s="1367" t="s">
        <v>395</v>
      </c>
      <c r="C39" s="1368"/>
      <c r="D39" s="1368"/>
      <c r="E39" s="1368"/>
      <c r="F39" s="1368"/>
      <c r="G39" s="1368"/>
      <c r="H39" s="1368"/>
      <c r="I39" s="1368"/>
      <c r="J39" s="1368"/>
      <c r="K39" s="1368"/>
      <c r="L39" s="1368"/>
      <c r="M39" s="1368"/>
      <c r="N39" s="1368"/>
      <c r="O39" s="1368"/>
      <c r="P39" s="1368"/>
      <c r="Q39" s="1369"/>
      <c r="R39"/>
      <c r="S39"/>
      <c r="T39"/>
      <c r="U39" s="1266"/>
      <c r="V39" s="1266"/>
      <c r="W39" s="1266"/>
      <c r="X39" s="1266"/>
      <c r="Y39" s="1266"/>
      <c r="Z39" s="1266"/>
      <c r="AA39" s="1266"/>
      <c r="AB39" s="1266"/>
      <c r="AC39"/>
      <c r="AD39"/>
      <c r="AE39"/>
    </row>
    <row r="40" spans="1:31" ht="12.75" customHeight="1">
      <c r="A40" s="725"/>
      <c r="B40" s="4681"/>
      <c r="C40" s="4684" t="s">
        <v>36</v>
      </c>
      <c r="D40" s="4685"/>
      <c r="E40" s="4685"/>
      <c r="F40" s="4685"/>
      <c r="G40" s="4685"/>
      <c r="H40" s="4686" t="s">
        <v>37</v>
      </c>
      <c r="I40" s="4687"/>
      <c r="J40" s="4687"/>
      <c r="K40" s="4687"/>
      <c r="L40" s="4687"/>
      <c r="M40" s="4688" t="s">
        <v>75</v>
      </c>
      <c r="N40" s="4688"/>
      <c r="O40" s="4688"/>
      <c r="P40" s="4688"/>
      <c r="Q40" s="4689"/>
    </row>
    <row r="41" spans="1:31" ht="12.75" customHeight="1">
      <c r="A41" s="725"/>
      <c r="B41" s="4682"/>
      <c r="C41" s="4125" t="s">
        <v>569</v>
      </c>
      <c r="D41" s="4126"/>
      <c r="E41" s="4126"/>
      <c r="F41" s="4126"/>
      <c r="G41" s="4126"/>
      <c r="H41" s="4126"/>
      <c r="I41" s="4126"/>
      <c r="J41" s="4126"/>
      <c r="K41" s="4127"/>
      <c r="L41" s="4128" t="str">
        <f>CONCATENATE("$0's, real ",dms_DollarReal)</f>
        <v>$0's, real December 2017</v>
      </c>
      <c r="M41" s="4129"/>
      <c r="N41" s="4129"/>
      <c r="O41" s="4129"/>
      <c r="P41" s="4129"/>
      <c r="Q41" s="4475"/>
    </row>
    <row r="42" spans="1:31" ht="12.75" customHeight="1">
      <c r="A42" s="725"/>
      <c r="B42" s="4682"/>
      <c r="C42" s="4125" t="s">
        <v>56</v>
      </c>
      <c r="D42" s="4126"/>
      <c r="E42" s="4126"/>
      <c r="F42" s="4126"/>
      <c r="G42" s="4126"/>
      <c r="H42" s="4126"/>
      <c r="I42" s="4126"/>
      <c r="J42" s="4127"/>
      <c r="K42" s="4128" t="s">
        <v>57</v>
      </c>
      <c r="L42" s="4129"/>
      <c r="M42" s="4129"/>
      <c r="N42" s="4129"/>
      <c r="O42" s="4129"/>
      <c r="P42" s="4129"/>
      <c r="Q42" s="4475"/>
    </row>
    <row r="43" spans="1:31" ht="12.75" customHeight="1" thickBot="1">
      <c r="A43" s="725"/>
      <c r="B43" s="4683"/>
      <c r="C43" s="375">
        <f t="array" ref="C43:G43">PRCP</f>
        <v>2008</v>
      </c>
      <c r="D43" s="374">
        <v>2009</v>
      </c>
      <c r="E43" s="374">
        <v>2010</v>
      </c>
      <c r="F43" s="374">
        <v>2011</v>
      </c>
      <c r="G43" s="374">
        <v>2012</v>
      </c>
      <c r="H43" s="376">
        <f>CRCP_y1</f>
        <v>2013</v>
      </c>
      <c r="I43" s="376">
        <f>CRCP_y2</f>
        <v>2014</v>
      </c>
      <c r="J43" s="376">
        <f>CRCP_y3</f>
        <v>2015</v>
      </c>
      <c r="K43" s="376">
        <f>CRCP_y4</f>
        <v>2016</v>
      </c>
      <c r="L43" s="376">
        <f>CRCP_y5</f>
        <v>2017</v>
      </c>
      <c r="M43" s="374" t="str">
        <f t="array" ref="M43:Q43">FRCP</f>
        <v>2018</v>
      </c>
      <c r="N43" s="374">
        <v>2019</v>
      </c>
      <c r="O43" s="374">
        <v>2020</v>
      </c>
      <c r="P43" s="374">
        <v>2021</v>
      </c>
      <c r="Q43" s="713">
        <v>2022</v>
      </c>
    </row>
    <row r="44" spans="1:31" ht="12.75" customHeight="1">
      <c r="A44" s="725"/>
      <c r="B44" s="736" t="s">
        <v>1412</v>
      </c>
      <c r="C44" s="3055">
        <f t="shared" ref="C44:Q44" si="2">C31/C18</f>
        <v>122.26790697674417</v>
      </c>
      <c r="D44" s="3056">
        <f t="shared" si="2"/>
        <v>128.74</v>
      </c>
      <c r="E44" s="3056">
        <f t="shared" si="2"/>
        <v>130.35999999999999</v>
      </c>
      <c r="F44" s="3056">
        <f>F31/F18</f>
        <v>133.98999999999998</v>
      </c>
      <c r="G44" s="3057">
        <f t="shared" si="2"/>
        <v>138.69999999999999</v>
      </c>
      <c r="H44" s="3055">
        <f t="shared" si="2"/>
        <v>135.36795997118665</v>
      </c>
      <c r="I44" s="3056">
        <f t="shared" si="2"/>
        <v>135.87</v>
      </c>
      <c r="J44" s="3056">
        <f t="shared" si="2"/>
        <v>139.01</v>
      </c>
      <c r="K44" s="3056">
        <f t="shared" si="2"/>
        <v>141.10000000000002</v>
      </c>
      <c r="L44" s="3057">
        <f t="shared" si="2"/>
        <v>142.93</v>
      </c>
      <c r="M44" s="3055">
        <f t="shared" si="2"/>
        <v>142.93</v>
      </c>
      <c r="N44" s="3056">
        <f t="shared" si="2"/>
        <v>142.93</v>
      </c>
      <c r="O44" s="3056">
        <f t="shared" si="2"/>
        <v>142.93</v>
      </c>
      <c r="P44" s="3056">
        <f t="shared" si="2"/>
        <v>142.93</v>
      </c>
      <c r="Q44" s="3057">
        <f t="shared" si="2"/>
        <v>142.93</v>
      </c>
    </row>
    <row r="45" spans="1:31" ht="12.75" customHeight="1">
      <c r="A45" s="725"/>
      <c r="B45" s="1440" t="s">
        <v>1413</v>
      </c>
      <c r="C45" s="3058">
        <f t="shared" ref="C45:Q45" si="3">C32/C19</f>
        <v>60.67</v>
      </c>
      <c r="D45" s="3054">
        <f t="shared" si="3"/>
        <v>63.69</v>
      </c>
      <c r="E45" s="3054">
        <f t="shared" si="3"/>
        <v>64.489999999999995</v>
      </c>
      <c r="F45" s="3054">
        <f>F32/F19</f>
        <v>66.29000000000002</v>
      </c>
      <c r="G45" s="3059">
        <f t="shared" si="3"/>
        <v>68.630936708860759</v>
      </c>
      <c r="H45" s="3058">
        <f t="shared" si="3"/>
        <v>54.717091314639141</v>
      </c>
      <c r="I45" s="3054">
        <f t="shared" si="3"/>
        <v>47.517965697837909</v>
      </c>
      <c r="J45" s="3054">
        <f t="shared" si="3"/>
        <v>48.654107919828185</v>
      </c>
      <c r="K45" s="3054">
        <f t="shared" si="3"/>
        <v>49.413111593385246</v>
      </c>
      <c r="L45" s="3059">
        <f t="shared" si="3"/>
        <v>50.06</v>
      </c>
      <c r="M45" s="3058">
        <f t="shared" si="3"/>
        <v>50.06</v>
      </c>
      <c r="N45" s="3054">
        <f t="shared" si="3"/>
        <v>50.06</v>
      </c>
      <c r="O45" s="3054">
        <f t="shared" si="3"/>
        <v>50.06</v>
      </c>
      <c r="P45" s="3054">
        <f t="shared" si="3"/>
        <v>50.06</v>
      </c>
      <c r="Q45" s="3059">
        <f t="shared" si="3"/>
        <v>50.06</v>
      </c>
    </row>
    <row r="46" spans="1:31" ht="12.75" customHeight="1">
      <c r="A46" s="725"/>
      <c r="B46" s="1440" t="s">
        <v>1414</v>
      </c>
      <c r="C46" s="3058">
        <f t="shared" ref="C46:Q46" si="4">C33/C20</f>
        <v>121.36</v>
      </c>
      <c r="D46" s="3054">
        <f t="shared" si="4"/>
        <v>127.40999999999998</v>
      </c>
      <c r="E46" s="3054">
        <f t="shared" si="4"/>
        <v>129.01</v>
      </c>
      <c r="F46" s="3054">
        <f t="shared" si="4"/>
        <v>132.61000000000001</v>
      </c>
      <c r="G46" s="3059">
        <f t="shared" si="4"/>
        <v>137.27000000000001</v>
      </c>
      <c r="H46" s="3058">
        <f t="shared" si="4"/>
        <v>90.365737810627081</v>
      </c>
      <c r="I46" s="3054">
        <f t="shared" si="4"/>
        <v>56.845642061626648</v>
      </c>
      <c r="J46" s="3054">
        <f t="shared" si="4"/>
        <v>58.169999999999987</v>
      </c>
      <c r="K46" s="3054">
        <f t="shared" si="4"/>
        <v>59.030066693421126</v>
      </c>
      <c r="L46" s="3059">
        <f t="shared" si="4"/>
        <v>59.809999999999995</v>
      </c>
      <c r="M46" s="3058">
        <f t="shared" si="4"/>
        <v>59.81</v>
      </c>
      <c r="N46" s="3054">
        <f t="shared" si="4"/>
        <v>59.81</v>
      </c>
      <c r="O46" s="3054">
        <f t="shared" si="4"/>
        <v>59.810000000000009</v>
      </c>
      <c r="P46" s="3054">
        <f t="shared" si="4"/>
        <v>59.81</v>
      </c>
      <c r="Q46" s="3059">
        <f t="shared" si="4"/>
        <v>59.81</v>
      </c>
    </row>
    <row r="47" spans="1:31" ht="12.75" customHeight="1">
      <c r="A47" s="725"/>
      <c r="B47" s="1440" t="s">
        <v>1415</v>
      </c>
      <c r="C47" s="3058">
        <f t="shared" ref="C47:Q47" si="5">C34/C21</f>
        <v>84.720000000000013</v>
      </c>
      <c r="D47" s="3054">
        <f t="shared" si="5"/>
        <v>88.949999999999989</v>
      </c>
      <c r="E47" s="3054">
        <f t="shared" si="5"/>
        <v>90.07</v>
      </c>
      <c r="F47" s="3054">
        <f t="shared" si="5"/>
        <v>92.597832369942182</v>
      </c>
      <c r="G47" s="3059">
        <f t="shared" si="5"/>
        <v>95.886861648016279</v>
      </c>
      <c r="H47" s="3058">
        <f t="shared" si="5"/>
        <v>62.01495722839126</v>
      </c>
      <c r="I47" s="3054">
        <f t="shared" si="5"/>
        <v>40.365952018121142</v>
      </c>
      <c r="J47" s="3054">
        <f t="shared" si="5"/>
        <v>41.195027372885157</v>
      </c>
      <c r="K47" s="3054">
        <f t="shared" si="5"/>
        <v>41.703997129912679</v>
      </c>
      <c r="L47" s="3059">
        <f t="shared" si="5"/>
        <v>42.21</v>
      </c>
      <c r="M47" s="3058">
        <f t="shared" si="5"/>
        <v>42.21</v>
      </c>
      <c r="N47" s="3054">
        <f t="shared" si="5"/>
        <v>42.21</v>
      </c>
      <c r="O47" s="3054">
        <f t="shared" si="5"/>
        <v>42.21</v>
      </c>
      <c r="P47" s="3054">
        <f t="shared" si="5"/>
        <v>42.21</v>
      </c>
      <c r="Q47" s="3059">
        <f t="shared" si="5"/>
        <v>42.21</v>
      </c>
    </row>
    <row r="48" spans="1:31" ht="12.75" customHeight="1" thickBot="1">
      <c r="A48" s="725"/>
      <c r="B48" s="737" t="s">
        <v>81</v>
      </c>
      <c r="C48" s="3060">
        <f t="shared" ref="C48:Q48" si="6">C35/C22</f>
        <v>7.0618801397455577</v>
      </c>
      <c r="D48" s="3061">
        <f t="shared" si="6"/>
        <v>7.4699999999999989</v>
      </c>
      <c r="E48" s="3061">
        <f t="shared" si="6"/>
        <v>7.5600000000000005</v>
      </c>
      <c r="F48" s="3061">
        <f t="shared" si="6"/>
        <v>7.77</v>
      </c>
      <c r="G48" s="3062">
        <f t="shared" si="6"/>
        <v>8.0420337188864064</v>
      </c>
      <c r="H48" s="3060">
        <f t="shared" si="6"/>
        <v>6.9749623136729877</v>
      </c>
      <c r="I48" s="3061">
        <f t="shared" si="6"/>
        <v>6.11</v>
      </c>
      <c r="J48" s="3061">
        <f t="shared" si="6"/>
        <v>6.2500000000000009</v>
      </c>
      <c r="K48" s="3061">
        <f t="shared" si="6"/>
        <v>6.34</v>
      </c>
      <c r="L48" s="3062">
        <f t="shared" si="6"/>
        <v>6.4200000000000008</v>
      </c>
      <c r="M48" s="3060">
        <f t="shared" si="6"/>
        <v>6.4200000000000008</v>
      </c>
      <c r="N48" s="3061">
        <f t="shared" si="6"/>
        <v>6.4200000000000008</v>
      </c>
      <c r="O48" s="3061">
        <f t="shared" si="6"/>
        <v>6.4200000000000008</v>
      </c>
      <c r="P48" s="3061">
        <f t="shared" si="6"/>
        <v>6.4200000000000008</v>
      </c>
      <c r="Q48" s="3062">
        <f t="shared" si="6"/>
        <v>6.4200000000000008</v>
      </c>
    </row>
    <row r="51" spans="3:3">
      <c r="C51" s="425"/>
    </row>
  </sheetData>
  <mergeCells count="23">
    <mergeCell ref="C42:J42"/>
    <mergeCell ref="K42:Q42"/>
    <mergeCell ref="B14:B17"/>
    <mergeCell ref="B40:B43"/>
    <mergeCell ref="C40:G40"/>
    <mergeCell ref="H40:L40"/>
    <mergeCell ref="M40:Q40"/>
    <mergeCell ref="B27:B30"/>
    <mergeCell ref="C27:G27"/>
    <mergeCell ref="H27:L27"/>
    <mergeCell ref="M27:Q27"/>
    <mergeCell ref="C14:G14"/>
    <mergeCell ref="H14:L14"/>
    <mergeCell ref="M14:Q14"/>
    <mergeCell ref="C15:Q15"/>
    <mergeCell ref="C41:K41"/>
    <mergeCell ref="L41:Q41"/>
    <mergeCell ref="C29:J29"/>
    <mergeCell ref="K29:Q29"/>
    <mergeCell ref="C16:J16"/>
    <mergeCell ref="K16:Q16"/>
    <mergeCell ref="C28:K28"/>
    <mergeCell ref="L28:Q28"/>
  </mergeCells>
  <pageMargins left="0.75" right="0.75" top="1" bottom="1" header="0.5" footer="0.5"/>
  <pageSetup paperSize="9" orientation="portrait" r:id="rId1"/>
  <headerFooter alignWithMargins="0"/>
  <customProperties>
    <customPr name="layoutContexts" r:id="rId2"/>
    <customPr name="SaveUndoMode" r:id="rId3"/>
  </customProperties>
  <drawing r:id="rId4"/>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theme="6" tint="0.59999389629810485"/>
    <pageSetUpPr autoPageBreaks="0" fitToPage="1"/>
  </sheetPr>
  <dimension ref="A1:AF72"/>
  <sheetViews>
    <sheetView showGridLines="0" topLeftCell="B13" zoomScale="85" zoomScaleNormal="85" workbookViewId="0">
      <selection activeCell="I20" sqref="I20:I35"/>
    </sheetView>
  </sheetViews>
  <sheetFormatPr defaultColWidth="9.140625" defaultRowHeight="12.75"/>
  <cols>
    <col min="1" max="1" width="20.7109375" style="1266" customWidth="1"/>
    <col min="2" max="2" width="45.7109375" style="1266" customWidth="1"/>
    <col min="3" max="3" width="23.140625" style="1266" bestFit="1" customWidth="1"/>
    <col min="4" max="4" width="20.140625" style="1266" bestFit="1" customWidth="1"/>
    <col min="5" max="5" width="18.7109375" style="1266" customWidth="1"/>
    <col min="6" max="14" width="15.140625" style="1266" customWidth="1"/>
    <col min="15" max="15" width="15.140625" style="13" customWidth="1"/>
    <col min="16" max="16" width="15.28515625" style="1266" bestFit="1" customWidth="1"/>
    <col min="17" max="16384" width="9.140625" style="1266"/>
  </cols>
  <sheetData>
    <row r="1" spans="1:32" s="1274" customFormat="1" ht="25.5" customHeight="1">
      <c r="B1" s="2272" t="str">
        <f>IF(dms_DataQuality="backcast",INDEX(dms_Worksheet_List,MATCH(dms_Model,dms_Model_List))&amp;" BACKCAST",INDEX(dms_Worksheet_List,MATCH(dms_Model,dms_Model_List)))</f>
        <v>REGULATORY REPORTING STATEMENT</v>
      </c>
      <c r="C1" s="518"/>
      <c r="D1" s="518"/>
      <c r="E1" s="518"/>
      <c r="F1" s="518"/>
      <c r="G1" s="518"/>
      <c r="H1" s="518"/>
      <c r="I1" s="518"/>
      <c r="J1" s="518"/>
      <c r="K1" s="518"/>
      <c r="L1" s="1266"/>
      <c r="M1" s="1266"/>
      <c r="N1" s="1266"/>
      <c r="O1" s="13"/>
      <c r="P1" s="1266"/>
      <c r="Q1" s="1266"/>
      <c r="R1" s="1266"/>
      <c r="S1" s="1266"/>
      <c r="T1" s="1266"/>
      <c r="U1" s="1266"/>
      <c r="V1" s="1266"/>
      <c r="W1" s="1266"/>
      <c r="X1" s="1266"/>
      <c r="Y1" s="1266"/>
      <c r="Z1" s="1266"/>
      <c r="AA1" s="1266"/>
      <c r="AB1" s="1266"/>
      <c r="AC1" s="1266"/>
      <c r="AD1" s="1266"/>
      <c r="AE1" s="1266"/>
      <c r="AF1" s="1266"/>
    </row>
    <row r="2" spans="1:32" s="1274" customFormat="1" ht="25.5" customHeight="1">
      <c r="B2" s="2277" t="str">
        <f>INDEX(dms_TradingNameFull_List,MATCH(dms_TradingName,dms_TradingName_List))</f>
        <v>Multinet Gas (DB No.1) Pty Ltd (ACN 086 026 986), Multinet Gas (DB No.2) Pty Ltd (ACN 086 230 122)</v>
      </c>
      <c r="C2" s="1267"/>
      <c r="D2" s="1267"/>
      <c r="E2" s="1267"/>
      <c r="F2" s="1267"/>
      <c r="G2" s="1267"/>
      <c r="H2" s="1267"/>
      <c r="I2" s="1267"/>
      <c r="J2" s="1267"/>
      <c r="K2" s="1267"/>
      <c r="L2" s="1266"/>
      <c r="M2" s="1266"/>
      <c r="N2" s="1266"/>
      <c r="O2" s="13"/>
      <c r="P2" s="1266"/>
      <c r="Q2" s="1266"/>
      <c r="R2" s="1266"/>
      <c r="S2" s="1266"/>
      <c r="T2" s="1266"/>
      <c r="U2" s="1266"/>
      <c r="V2" s="1266"/>
      <c r="W2" s="1266"/>
      <c r="X2" s="1266"/>
      <c r="Y2" s="1266"/>
      <c r="Z2" s="1266"/>
      <c r="AA2" s="1266"/>
      <c r="AB2" s="1266"/>
      <c r="AC2" s="1266"/>
      <c r="AD2" s="1266"/>
      <c r="AE2" s="1266"/>
      <c r="AF2" s="1266"/>
    </row>
    <row r="3" spans="1:32" s="1274" customFormat="1" ht="25.5" customHeight="1">
      <c r="B3" s="2277" t="str">
        <f ca="1">IF(SUM(dms_SingleYear_Model)&gt;0,CRY,CONCATENATE(FRCP_y1," to ",dms_MultiYear_FinalYear_Result))</f>
        <v>2018 to 2022</v>
      </c>
      <c r="C3" s="1265"/>
      <c r="D3" s="1265"/>
      <c r="E3" s="1265"/>
      <c r="F3" s="1265"/>
      <c r="G3" s="1265"/>
      <c r="H3" s="1265"/>
      <c r="I3" s="1265"/>
      <c r="J3" s="1265"/>
      <c r="K3" s="1265"/>
      <c r="L3" s="1266"/>
      <c r="M3" s="1266"/>
      <c r="N3" s="1266"/>
      <c r="O3" s="13"/>
      <c r="P3" s="1266"/>
      <c r="Q3" s="1266"/>
      <c r="R3" s="1266"/>
      <c r="S3" s="1266"/>
      <c r="T3" s="1266"/>
      <c r="U3" s="1266"/>
      <c r="V3" s="1266"/>
      <c r="W3" s="1266"/>
      <c r="X3" s="1266"/>
      <c r="Y3" s="1266"/>
      <c r="Z3" s="1266"/>
      <c r="AA3" s="1266"/>
      <c r="AB3" s="1266"/>
      <c r="AC3" s="1266"/>
      <c r="AD3" s="1266"/>
      <c r="AE3" s="1266"/>
      <c r="AF3" s="1266"/>
    </row>
    <row r="4" spans="1:32" s="1274" customFormat="1" ht="24" customHeight="1">
      <c r="B4" s="10" t="s">
        <v>385</v>
      </c>
      <c r="C4" s="12"/>
      <c r="D4" s="12"/>
      <c r="E4" s="12"/>
      <c r="F4" s="12"/>
      <c r="G4" s="12"/>
      <c r="H4" s="12"/>
      <c r="I4" s="12"/>
      <c r="J4" s="12"/>
      <c r="K4" s="12"/>
      <c r="L4" s="1266"/>
      <c r="M4" s="1266"/>
      <c r="N4" s="1266"/>
      <c r="O4" s="13"/>
      <c r="P4" s="1266"/>
      <c r="Q4" s="1266"/>
      <c r="R4" s="1266"/>
      <c r="S4" s="1266"/>
      <c r="T4" s="1266"/>
      <c r="U4" s="1266"/>
      <c r="V4" s="1266"/>
      <c r="W4" s="1266"/>
      <c r="X4" s="1266"/>
      <c r="Y4" s="1266"/>
      <c r="Z4" s="1266"/>
      <c r="AA4" s="1266"/>
      <c r="AB4" s="1266"/>
      <c r="AC4" s="1266"/>
      <c r="AD4" s="1266"/>
      <c r="AE4" s="1266"/>
      <c r="AF4" s="1266"/>
    </row>
    <row r="5" spans="1:32">
      <c r="A5" s="1268"/>
      <c r="B5" s="1268"/>
      <c r="C5" s="1268"/>
      <c r="D5" s="1268"/>
      <c r="E5" s="1268"/>
      <c r="F5" s="1268"/>
      <c r="G5" s="1268"/>
      <c r="H5" s="1268"/>
      <c r="I5" s="1268"/>
    </row>
    <row r="6" spans="1:32">
      <c r="A6" s="1268"/>
      <c r="B6" s="1268"/>
      <c r="C6" s="1268"/>
      <c r="D6" s="1268"/>
      <c r="E6" s="1268"/>
      <c r="F6" s="1268"/>
      <c r="G6" s="1268"/>
      <c r="H6" s="1268"/>
      <c r="I6" s="1268"/>
      <c r="J6" s="1268"/>
    </row>
    <row r="7" spans="1:32" s="1962" customFormat="1" ht="27" customHeight="1">
      <c r="A7" s="726"/>
      <c r="B7" s="1426" t="s">
        <v>61</v>
      </c>
      <c r="C7" s="1364"/>
      <c r="D7" s="1364"/>
      <c r="E7" s="1364"/>
      <c r="F7" s="1364"/>
      <c r="G7" s="726"/>
      <c r="H7" s="726"/>
      <c r="I7" s="726"/>
      <c r="J7" s="726"/>
      <c r="O7" s="1425"/>
    </row>
    <row r="8" spans="1:32" s="1962" customFormat="1" ht="18" customHeight="1">
      <c r="A8" s="726"/>
      <c r="B8" s="4163" t="s">
        <v>130</v>
      </c>
      <c r="C8" s="4163"/>
      <c r="D8" s="4163"/>
      <c r="E8" s="1364"/>
      <c r="F8" s="1364"/>
      <c r="G8" s="726"/>
      <c r="H8" s="726"/>
      <c r="I8" s="726"/>
      <c r="J8" s="726"/>
      <c r="O8" s="1425"/>
    </row>
    <row r="9" spans="1:32" s="2864" customFormat="1" ht="27" customHeight="1">
      <c r="A9" s="726"/>
      <c r="B9" s="4163" t="s">
        <v>244</v>
      </c>
      <c r="C9" s="4163"/>
      <c r="D9" s="4163"/>
      <c r="E9" s="4163"/>
      <c r="F9" s="4163"/>
      <c r="G9" s="726"/>
      <c r="H9" s="726"/>
      <c r="I9" s="726"/>
      <c r="J9" s="726"/>
      <c r="O9" s="1425"/>
    </row>
    <row r="10" spans="1:32" s="2864" customFormat="1" ht="30" customHeight="1">
      <c r="A10" s="726"/>
      <c r="B10" s="4163" t="s">
        <v>1395</v>
      </c>
      <c r="C10" s="4163"/>
      <c r="D10" s="4163"/>
      <c r="E10" s="4163"/>
      <c r="F10" s="4163"/>
      <c r="G10" s="726"/>
      <c r="H10" s="726"/>
      <c r="I10" s="726"/>
      <c r="J10" s="726"/>
      <c r="O10" s="1425"/>
    </row>
    <row r="11" spans="1:32" s="1962" customFormat="1" ht="21.75" customHeight="1">
      <c r="A11" s="726"/>
      <c r="B11" s="4693" t="str">
        <f>CONCATENATE(dms_TradingName, " may add to and/or change the line items if necessary.")</f>
        <v>Multinet Gas may add to and/or change the line items if necessary.</v>
      </c>
      <c r="C11" s="4693"/>
      <c r="D11" s="4693"/>
      <c r="E11" s="4693"/>
      <c r="F11" s="4693"/>
      <c r="G11" s="726"/>
      <c r="H11" s="726"/>
      <c r="I11" s="726"/>
      <c r="J11" s="726"/>
      <c r="O11" s="1425"/>
    </row>
    <row r="12" spans="1:32" ht="28.5" customHeight="1" thickBot="1">
      <c r="A12" s="1268"/>
      <c r="G12" s="1268"/>
      <c r="H12" s="1268"/>
      <c r="I12" s="1268"/>
      <c r="J12" s="1268"/>
    </row>
    <row r="13" spans="1:32" ht="16.5" thickBot="1">
      <c r="A13" s="1268"/>
      <c r="B13" s="833" t="s">
        <v>548</v>
      </c>
      <c r="C13" s="833"/>
      <c r="D13" s="863"/>
      <c r="E13" s="863"/>
      <c r="F13" s="863"/>
      <c r="G13" s="863"/>
      <c r="H13" s="863"/>
      <c r="I13" s="863"/>
      <c r="J13" s="863"/>
      <c r="K13" s="863"/>
      <c r="L13" s="863"/>
      <c r="M13" s="863"/>
      <c r="N13" s="863"/>
      <c r="O13" s="863"/>
      <c r="P13" s="864"/>
      <c r="U13" s="13"/>
    </row>
    <row r="14" spans="1:32" ht="25.5" customHeight="1">
      <c r="A14" s="1268"/>
      <c r="B14" s="4694"/>
      <c r="C14" s="4695"/>
      <c r="D14" s="4700" t="s">
        <v>3</v>
      </c>
      <c r="E14" s="4703" t="s">
        <v>4</v>
      </c>
      <c r="F14" s="4715" t="s">
        <v>37</v>
      </c>
      <c r="G14" s="4716"/>
      <c r="H14" s="4716"/>
      <c r="I14" s="4716"/>
      <c r="J14" s="4717"/>
      <c r="K14" s="4718" t="s">
        <v>75</v>
      </c>
      <c r="L14" s="4583"/>
      <c r="M14" s="4583"/>
      <c r="N14" s="4583"/>
      <c r="O14" s="4719"/>
      <c r="P14" s="4707" t="s">
        <v>65</v>
      </c>
      <c r="U14" s="13"/>
    </row>
    <row r="15" spans="1:32" ht="12.75" customHeight="1">
      <c r="A15" s="1268"/>
      <c r="B15" s="4696"/>
      <c r="C15" s="4697"/>
      <c r="D15" s="4701"/>
      <c r="E15" s="4704"/>
      <c r="F15" s="4585" t="s">
        <v>569</v>
      </c>
      <c r="G15" s="4586"/>
      <c r="H15" s="4586"/>
      <c r="I15" s="4586"/>
      <c r="J15" s="4720" t="str">
        <f>CONCATENATE("$0's, real ",dms_DollarReal)</f>
        <v>$0's, real December 2017</v>
      </c>
      <c r="K15" s="4720"/>
      <c r="L15" s="4720"/>
      <c r="M15" s="4720"/>
      <c r="N15" s="4720"/>
      <c r="O15" s="4592"/>
      <c r="P15" s="4708"/>
      <c r="U15" s="13"/>
    </row>
    <row r="16" spans="1:32" ht="12.75" customHeight="1">
      <c r="A16" s="1268"/>
      <c r="B16" s="4696"/>
      <c r="C16" s="4697"/>
      <c r="D16" s="4701"/>
      <c r="E16" s="4705"/>
      <c r="F16" s="4585" t="s">
        <v>56</v>
      </c>
      <c r="G16" s="4586"/>
      <c r="H16" s="4586"/>
      <c r="I16" s="4720" t="s">
        <v>57</v>
      </c>
      <c r="J16" s="4720"/>
      <c r="K16" s="4720"/>
      <c r="L16" s="4720"/>
      <c r="M16" s="4720"/>
      <c r="N16" s="4720"/>
      <c r="O16" s="4592"/>
      <c r="P16" s="4708"/>
      <c r="U16" s="13"/>
    </row>
    <row r="17" spans="1:21" ht="15.75" customHeight="1" thickBot="1">
      <c r="A17" s="1268"/>
      <c r="B17" s="4698"/>
      <c r="C17" s="4699"/>
      <c r="D17" s="4702"/>
      <c r="E17" s="4706"/>
      <c r="F17" s="1521">
        <f>CRCP_y1</f>
        <v>2013</v>
      </c>
      <c r="G17" s="374">
        <f>CRCP_y2</f>
        <v>2014</v>
      </c>
      <c r="H17" s="374">
        <f>CRCP_y3</f>
        <v>2015</v>
      </c>
      <c r="I17" s="376">
        <f>CRCP_y4</f>
        <v>2016</v>
      </c>
      <c r="J17" s="871">
        <f>CRCP_y5</f>
        <v>2017</v>
      </c>
      <c r="K17" s="374" t="str">
        <f t="array" ref="K17:O17">FRCP</f>
        <v>2018</v>
      </c>
      <c r="L17" s="374">
        <v>2019</v>
      </c>
      <c r="M17" s="374">
        <v>2020</v>
      </c>
      <c r="N17" s="374">
        <v>2021</v>
      </c>
      <c r="O17" s="713">
        <v>2022</v>
      </c>
      <c r="P17" s="4709"/>
      <c r="U17" s="13"/>
    </row>
    <row r="18" spans="1:21" ht="13.5" thickBot="1">
      <c r="O18" s="1266"/>
      <c r="U18" s="13"/>
    </row>
    <row r="19" spans="1:21" ht="20.25" customHeight="1" thickBot="1">
      <c r="A19" s="1268"/>
      <c r="B19" s="771" t="s">
        <v>549</v>
      </c>
      <c r="C19" s="772"/>
      <c r="D19" s="772"/>
      <c r="E19" s="772"/>
      <c r="F19" s="772"/>
      <c r="G19" s="772"/>
      <c r="H19" s="772"/>
      <c r="I19" s="772"/>
      <c r="J19" s="772"/>
      <c r="K19" s="772"/>
      <c r="L19" s="772"/>
      <c r="M19" s="772"/>
      <c r="N19" s="772"/>
      <c r="O19" s="772"/>
      <c r="P19" s="773"/>
      <c r="U19" s="13"/>
    </row>
    <row r="20" spans="1:21" ht="13.5" thickBot="1">
      <c r="A20" s="1268"/>
      <c r="B20" s="4710" t="s">
        <v>1697</v>
      </c>
      <c r="C20" s="1578" t="s">
        <v>1706</v>
      </c>
      <c r="D20" s="1579"/>
      <c r="E20" s="1580"/>
      <c r="F20" s="1972"/>
      <c r="G20" s="1581"/>
      <c r="H20" s="1581"/>
      <c r="I20" s="3945">
        <v>41849253.154459454</v>
      </c>
      <c r="J20" s="3943">
        <f>('[16]Forecast revenues'!F149+'[16]Forecast revenues'!F163+'[16]Forecast revenues'!F177)</f>
        <v>44321608.021260284</v>
      </c>
      <c r="K20" s="3944">
        <f>('[16]Forecast revenues'!G149+'[16]Forecast revenues'!G163+'[16]Forecast revenues'!G177)/'[16]X factors'!G11</f>
        <v>48667292.668275014</v>
      </c>
      <c r="L20" s="3945">
        <f>('[16]Forecast revenues'!H149+'[16]Forecast revenues'!H163+'[16]Forecast revenues'!H177)/'[16]X factors'!H11</f>
        <v>49973584.100503445</v>
      </c>
      <c r="M20" s="3945">
        <f>('[16]Forecast revenues'!I149+'[16]Forecast revenues'!I163+'[16]Forecast revenues'!I177)/'[16]X factors'!I11</f>
        <v>51991595.525247015</v>
      </c>
      <c r="N20" s="3945">
        <f>('[16]Forecast revenues'!J149+'[16]Forecast revenues'!J163+'[16]Forecast revenues'!J177)/'[16]X factors'!J11</f>
        <v>54088255.888315052</v>
      </c>
      <c r="O20" s="3943">
        <f>('[16]Forecast revenues'!K149+'[16]Forecast revenues'!K163+'[16]Forecast revenues'!K177)/'[16]X factors'!K11</f>
        <v>56255009.022863798</v>
      </c>
      <c r="P20" s="3964">
        <f t="shared" ref="P20:P68" si="0">SUM(K20:O20)</f>
        <v>260975737.20520434</v>
      </c>
      <c r="U20" s="13"/>
    </row>
    <row r="21" spans="1:21">
      <c r="A21" s="1268"/>
      <c r="B21" s="4711"/>
      <c r="C21" s="1578" t="s">
        <v>1699</v>
      </c>
      <c r="D21" s="1575"/>
      <c r="E21" s="1576"/>
      <c r="F21" s="1976"/>
      <c r="G21" s="1577"/>
      <c r="H21" s="1577"/>
      <c r="I21" s="3948">
        <v>70871860.730904147</v>
      </c>
      <c r="J21" s="3946">
        <f>'[16]Forecast revenues'!Q150+'[16]Forecast revenues'!Q164+'[16]Forecast revenues'!Q178+'[16]Forecast revenues'!AB150+'[16]Forecast revenues'!AB164+'[16]Forecast revenues'!AB178+'[16]Forecast revenues'!AM150+'[16]Forecast revenues'!AM164+'[16]Forecast revenues'!AM178</f>
        <v>69604581.355452999</v>
      </c>
      <c r="K21" s="3947">
        <f>('[16]Forecast revenues'!R150+'[16]Forecast revenues'!R164+'[16]Forecast revenues'!R178+'[16]Forecast revenues'!AC150+'[16]Forecast revenues'!AC164+'[16]Forecast revenues'!AC178+'[16]Forecast revenues'!AN150+'[16]Forecast revenues'!AN164+'[16]Forecast revenues'!AN178)/'[16]X factors'!G11</f>
        <v>75436559.244422674</v>
      </c>
      <c r="L21" s="3948">
        <f>('[16]Forecast revenues'!S150+'[16]Forecast revenues'!S164+'[16]Forecast revenues'!S178+'[16]Forecast revenues'!AD150+'[16]Forecast revenues'!AD164+'[16]Forecast revenues'!AD178+'[16]Forecast revenues'!AO150+'[16]Forecast revenues'!AO164+'[16]Forecast revenues'!AO178)/'[16]X factors'!H11</f>
        <v>76173899.667745516</v>
      </c>
      <c r="M21" s="3948">
        <f>('[16]Forecast revenues'!T150+'[16]Forecast revenues'!T164+'[16]Forecast revenues'!T178+'[16]Forecast revenues'!AE150+'[16]Forecast revenues'!AE164+'[16]Forecast revenues'!AE178+'[16]Forecast revenues'!AP150+'[16]Forecast revenues'!AP164+'[16]Forecast revenues'!AP178)/'[16]X factors'!I11</f>
        <v>77982796.593974218</v>
      </c>
      <c r="N21" s="3948">
        <f>('[16]Forecast revenues'!U150+'[16]Forecast revenues'!U164+'[16]Forecast revenues'!U178+'[16]Forecast revenues'!AF150+'[16]Forecast revenues'!AF164+'[16]Forecast revenues'!AF178+'[16]Forecast revenues'!AQ150+'[16]Forecast revenues'!AQ164+'[16]Forecast revenues'!AQ178)/'[16]X factors'!J11</f>
        <v>79661220.384864956</v>
      </c>
      <c r="O21" s="3946">
        <f>('[16]Forecast revenues'!V150+'[16]Forecast revenues'!V164+'[16]Forecast revenues'!V178+'[16]Forecast revenues'!AG150+'[16]Forecast revenues'!AG164+'[16]Forecast revenues'!AG178+'[16]Forecast revenues'!AR150+'[16]Forecast revenues'!AR164+'[16]Forecast revenues'!AR178)/'[16]X factors'!K11</f>
        <v>81449158.109014913</v>
      </c>
      <c r="P21" s="3967"/>
      <c r="U21" s="13"/>
    </row>
    <row r="22" spans="1:21">
      <c r="A22" s="1268"/>
      <c r="B22" s="4711"/>
      <c r="C22" s="1570" t="s">
        <v>1700</v>
      </c>
      <c r="D22" s="1566"/>
      <c r="E22" s="1567"/>
      <c r="F22" s="1973"/>
      <c r="G22" s="872"/>
      <c r="H22" s="872"/>
      <c r="I22" s="3951">
        <v>33510128.666825484</v>
      </c>
      <c r="J22" s="3949">
        <f>'[16]Forecast revenues'!Q151+'[16]Forecast revenues'!Q165+'[16]Forecast revenues'!Q179+'[16]Forecast revenues'!AB151+'[16]Forecast revenues'!AB165+'[16]Forecast revenues'!AB179+'[16]Forecast revenues'!AM151+'[16]Forecast revenues'!AM165+'[16]Forecast revenues'!AM179</f>
        <v>34585016.584544934</v>
      </c>
      <c r="K22" s="3950">
        <f>('[16]Forecast revenues'!R151+'[16]Forecast revenues'!R165+'[16]Forecast revenues'!R179+'[16]Forecast revenues'!AC151+'[16]Forecast revenues'!AC165+'[16]Forecast revenues'!AC179+'[16]Forecast revenues'!AN151+'[16]Forecast revenues'!AN165+'[16]Forecast revenues'!AN179)/'[16]X factors'!G11</f>
        <v>37564513.419737585</v>
      </c>
      <c r="L22" s="3951">
        <f>('[16]Forecast revenues'!S151+'[16]Forecast revenues'!S165+'[16]Forecast revenues'!S179+'[16]Forecast revenues'!AD151+'[16]Forecast revenues'!AD165+'[16]Forecast revenues'!AD179+'[16]Forecast revenues'!AO151+'[16]Forecast revenues'!AO165+'[16]Forecast revenues'!AO179)/'[16]X factors'!H11</f>
        <v>38016349.838551641</v>
      </c>
      <c r="M22" s="3951">
        <f>('[16]Forecast revenues'!T151+'[16]Forecast revenues'!T165+'[16]Forecast revenues'!T179+'[16]Forecast revenues'!AE151+'[16]Forecast revenues'!AE165+'[16]Forecast revenues'!AE179+'[16]Forecast revenues'!AP151+'[16]Forecast revenues'!AP165+'[16]Forecast revenues'!AP179)/'[16]X factors'!I11</f>
        <v>39011602.426805049</v>
      </c>
      <c r="N22" s="3951">
        <f>('[16]Forecast revenues'!U151+'[16]Forecast revenues'!U165+'[16]Forecast revenues'!U179+'[16]Forecast revenues'!AF151+'[16]Forecast revenues'!AF165+'[16]Forecast revenues'!AF179+'[16]Forecast revenues'!AQ151+'[16]Forecast revenues'!AQ165+'[16]Forecast revenues'!AQ179)/'[16]X factors'!J11</f>
        <v>39947030.035426386</v>
      </c>
      <c r="O22" s="3949">
        <f>('[16]Forecast revenues'!V151+'[16]Forecast revenues'!V165+'[16]Forecast revenues'!V179+'[16]Forecast revenues'!AG151+'[16]Forecast revenues'!AG165+'[16]Forecast revenues'!AG179+'[16]Forecast revenues'!AR151+'[16]Forecast revenues'!AR165+'[16]Forecast revenues'!AR179)/'[16]X factors'!K11</f>
        <v>40943336.323474675</v>
      </c>
      <c r="P22" s="3965">
        <f t="shared" si="0"/>
        <v>195482832.04399532</v>
      </c>
      <c r="U22" s="13"/>
    </row>
    <row r="23" spans="1:21">
      <c r="A23" s="1268"/>
      <c r="B23" s="4711"/>
      <c r="C23" s="3938" t="s">
        <v>1701</v>
      </c>
      <c r="D23" s="3939"/>
      <c r="E23" s="3940"/>
      <c r="F23" s="3941"/>
      <c r="G23" s="3942"/>
      <c r="H23" s="3942"/>
      <c r="I23" s="3954">
        <v>12750502.386039296</v>
      </c>
      <c r="J23" s="3952">
        <f>'[16]Forecast revenues'!Q152+'[16]Forecast revenues'!Q166+'[16]Forecast revenues'!Q180+'[16]Forecast revenues'!AB152+'[16]Forecast revenues'!AB166+'[16]Forecast revenues'!AB180+'[16]Forecast revenues'!AM152+'[16]Forecast revenues'!AM166+'[16]Forecast revenues'!AM180</f>
        <v>13341699.107102223</v>
      </c>
      <c r="K23" s="3953">
        <f>('[16]Forecast revenues'!R152+'[16]Forecast revenues'!R166+'[16]Forecast revenues'!R180+'[16]Forecast revenues'!AC152+'[16]Forecast revenues'!AC166+'[16]Forecast revenues'!AC180+'[16]Forecast revenues'!AN152+'[16]Forecast revenues'!AN166+'[16]Forecast revenues'!AN180)/'[16]X factors'!G11</f>
        <v>14444137.440717334</v>
      </c>
      <c r="L23" s="3954">
        <f>('[16]Forecast revenues'!S152+'[16]Forecast revenues'!S166+'[16]Forecast revenues'!S180+'[16]Forecast revenues'!AD152+'[16]Forecast revenues'!AD166+'[16]Forecast revenues'!AD180+'[16]Forecast revenues'!AO152+'[16]Forecast revenues'!AO166+'[16]Forecast revenues'!AO180)/'[16]X factors'!H11</f>
        <v>14570042.913567817</v>
      </c>
      <c r="M23" s="3954">
        <f>('[16]Forecast revenues'!T152+'[16]Forecast revenues'!T166+'[16]Forecast revenues'!T180+'[16]Forecast revenues'!AE152+'[16]Forecast revenues'!AE166+'[16]Forecast revenues'!AE180+'[16]Forecast revenues'!AP152+'[16]Forecast revenues'!AP166+'[16]Forecast revenues'!AP180)/'[16]X factors'!I11</f>
        <v>14902792.55698164</v>
      </c>
      <c r="N23" s="3954">
        <f>('[16]Forecast revenues'!U152+'[16]Forecast revenues'!U166+'[16]Forecast revenues'!U180+'[16]Forecast revenues'!AF152+'[16]Forecast revenues'!AF166+'[16]Forecast revenues'!AF180+'[16]Forecast revenues'!AQ152+'[16]Forecast revenues'!AQ166+'[16]Forecast revenues'!AQ180)/'[16]X factors'!J11</f>
        <v>15207631.750257911</v>
      </c>
      <c r="O23" s="3952">
        <f>('[16]Forecast revenues'!V152+'[16]Forecast revenues'!V166+'[16]Forecast revenues'!V180+'[16]Forecast revenues'!AG152+'[16]Forecast revenues'!AG166+'[16]Forecast revenues'!AG180+'[16]Forecast revenues'!AR152+'[16]Forecast revenues'!AR166+'[16]Forecast revenues'!AR180)/'[16]X factors'!K11</f>
        <v>15532630.183009641</v>
      </c>
      <c r="P23" s="3973"/>
      <c r="U23" s="13"/>
    </row>
    <row r="24" spans="1:21">
      <c r="A24" s="1268"/>
      <c r="B24" s="4711"/>
      <c r="C24" s="3938" t="s">
        <v>1702</v>
      </c>
      <c r="D24" s="3939"/>
      <c r="E24" s="3940"/>
      <c r="F24" s="3941"/>
      <c r="G24" s="3942"/>
      <c r="H24" s="3942"/>
      <c r="I24" s="3954">
        <v>9360555.8749544788</v>
      </c>
      <c r="J24" s="3952">
        <f>'[16]Forecast revenues'!Q153+'[16]Forecast revenues'!Q167+'[16]Forecast revenues'!Q181+'[16]Forecast revenues'!AB153+'[16]Forecast revenues'!AB167+'[16]Forecast revenues'!AB181+'[16]Forecast revenues'!AM153+'[16]Forecast revenues'!AM167+'[16]Forecast revenues'!AM181</f>
        <v>9685420.9533526432</v>
      </c>
      <c r="K24" s="3953">
        <f>('[16]Forecast revenues'!R153+'[16]Forecast revenues'!R167+'[16]Forecast revenues'!R181+'[16]Forecast revenues'!AC153+'[16]Forecast revenues'!AC167+'[16]Forecast revenues'!AC181+'[16]Forecast revenues'!AN153+'[16]Forecast revenues'!AN167+'[16]Forecast revenues'!AN181)/'[16]X factors'!G11</f>
        <v>10509422.71564842</v>
      </c>
      <c r="L24" s="3954">
        <f>('[16]Forecast revenues'!S153+'[16]Forecast revenues'!S167+'[16]Forecast revenues'!S181+'[16]Forecast revenues'!AD153+'[16]Forecast revenues'!AD167+'[16]Forecast revenues'!AD181+'[16]Forecast revenues'!AO153+'[16]Forecast revenues'!AO167+'[16]Forecast revenues'!AO181)/'[16]X factors'!H11</f>
        <v>10626884.215632606</v>
      </c>
      <c r="M24" s="3954">
        <f>('[16]Forecast revenues'!T153+'[16]Forecast revenues'!T167+'[16]Forecast revenues'!T181+'[16]Forecast revenues'!AE153+'[16]Forecast revenues'!AE167+'[16]Forecast revenues'!AE181+'[16]Forecast revenues'!AP153+'[16]Forecast revenues'!AP167+'[16]Forecast revenues'!AP181)/'[16]X factors'!I11</f>
        <v>10896953.390536839</v>
      </c>
      <c r="N24" s="3954">
        <f>('[16]Forecast revenues'!U153+'[16]Forecast revenues'!U167+'[16]Forecast revenues'!U181+'[16]Forecast revenues'!AF153+'[16]Forecast revenues'!AF167+'[16]Forecast revenues'!AF181+'[16]Forecast revenues'!AQ153+'[16]Forecast revenues'!AQ167+'[16]Forecast revenues'!AQ181)/'[16]X factors'!J11</f>
        <v>11146190.067381108</v>
      </c>
      <c r="O24" s="3952">
        <f>('[16]Forecast revenues'!V153+'[16]Forecast revenues'!V167+'[16]Forecast revenues'!V181+'[16]Forecast revenues'!AG153+'[16]Forecast revenues'!AG167+'[16]Forecast revenues'!AG181+'[16]Forecast revenues'!AR153+'[16]Forecast revenues'!AR167+'[16]Forecast revenues'!AR181)/'[16]X factors'!K11</f>
        <v>11413236.115792999</v>
      </c>
      <c r="P24" s="3973"/>
      <c r="U24" s="13"/>
    </row>
    <row r="25" spans="1:21">
      <c r="A25" s="1268"/>
      <c r="B25" s="4712"/>
      <c r="C25" s="1582" t="s">
        <v>1703</v>
      </c>
      <c r="D25" s="1583"/>
      <c r="E25" s="1584"/>
      <c r="F25" s="1974"/>
      <c r="G25" s="1585"/>
      <c r="H25" s="1585"/>
      <c r="I25" s="3957">
        <v>11288374.742322633</v>
      </c>
      <c r="J25" s="3955">
        <f>'[16]Forecast revenues'!Q154+'[16]Forecast revenues'!Q168+'[16]Forecast revenues'!Q182+'[16]Forecast revenues'!AB154+'[16]Forecast revenues'!AB168+'[16]Forecast revenues'!AB182+'[16]Forecast revenues'!AM154+'[16]Forecast revenues'!AM168+'[16]Forecast revenues'!AM182</f>
        <v>12239823.159412038</v>
      </c>
      <c r="K25" s="3956">
        <f>('[16]Forecast revenues'!R154+'[16]Forecast revenues'!R168+'[16]Forecast revenues'!R182+'[16]Forecast revenues'!AC154+'[16]Forecast revenues'!AC168+'[16]Forecast revenues'!AC182+'[16]Forecast revenues'!AN154+'[16]Forecast revenues'!AN168+'[16]Forecast revenues'!AN182)/'[16]X factors'!G11</f>
        <v>13301301.212911909</v>
      </c>
      <c r="L25" s="3957">
        <f>('[16]Forecast revenues'!S154+'[16]Forecast revenues'!S168+'[16]Forecast revenues'!S182+'[16]Forecast revenues'!AD154+'[16]Forecast revenues'!AD168+'[16]Forecast revenues'!AD182+'[16]Forecast revenues'!AO154+'[16]Forecast revenues'!AO168+'[16]Forecast revenues'!AO182)/'[16]X factors'!H11</f>
        <v>13472597.177481743</v>
      </c>
      <c r="M25" s="3957">
        <f>('[16]Forecast revenues'!T154+'[16]Forecast revenues'!T168+'[16]Forecast revenues'!T182+'[16]Forecast revenues'!AE154+'[16]Forecast revenues'!AE168+'[16]Forecast revenues'!AE182+'[16]Forecast revenues'!AP154+'[16]Forecast revenues'!AP168+'[16]Forecast revenues'!AP182)/'[16]X factors'!I11</f>
        <v>13834512.082154155</v>
      </c>
      <c r="N25" s="3957">
        <f>('[16]Forecast revenues'!U154+'[16]Forecast revenues'!U168+'[16]Forecast revenues'!U182+'[16]Forecast revenues'!AF154+'[16]Forecast revenues'!AF168+'[16]Forecast revenues'!AF182+'[16]Forecast revenues'!AQ154+'[16]Forecast revenues'!AQ168+'[16]Forecast revenues'!AQ182)/'[16]X factors'!J11</f>
        <v>14165875.644220714</v>
      </c>
      <c r="O25" s="3955">
        <f>('[16]Forecast revenues'!V154+'[16]Forecast revenues'!V168+'[16]Forecast revenues'!V182+'[16]Forecast revenues'!AG154+'[16]Forecast revenues'!AG168+'[16]Forecast revenues'!AG182+'[16]Forecast revenues'!AR154+'[16]Forecast revenues'!AR168+'[16]Forecast revenues'!AR182)/'[16]X factors'!K11</f>
        <v>14526837.493312299</v>
      </c>
      <c r="P25" s="3966">
        <f t="shared" si="0"/>
        <v>69301123.610080823</v>
      </c>
      <c r="U25" s="13"/>
    </row>
    <row r="26" spans="1:21">
      <c r="A26" s="1268"/>
      <c r="B26" s="4713" t="s">
        <v>1698</v>
      </c>
      <c r="C26" s="1586" t="s">
        <v>1706</v>
      </c>
      <c r="D26" s="1587"/>
      <c r="E26" s="1588"/>
      <c r="F26" s="1975"/>
      <c r="G26" s="1589"/>
      <c r="H26" s="1589"/>
      <c r="I26" s="3960">
        <v>1621110.6056340307</v>
      </c>
      <c r="J26" s="3958">
        <f>'[16]Forecast revenues'!F156+'[16]Forecast revenues'!F170+'[16]Forecast revenues'!F184</f>
        <v>1676509.779729279</v>
      </c>
      <c r="K26" s="3959">
        <f>('[16]Forecast revenues'!G156+'[16]Forecast revenues'!G170+'[16]Forecast revenues'!G184)/'[16]X factors'!G11</f>
        <v>1820090.6419534597</v>
      </c>
      <c r="L26" s="3960">
        <f>('[16]Forecast revenues'!H156+'[16]Forecast revenues'!H170+'[16]Forecast revenues'!H184)/'[16]X factors'!H11</f>
        <v>1842404.5343373208</v>
      </c>
      <c r="M26" s="3960">
        <f>('[16]Forecast revenues'!I156+'[16]Forecast revenues'!I170+'[16]Forecast revenues'!I184)/'[16]X factors'!I11</f>
        <v>1894225.4780599945</v>
      </c>
      <c r="N26" s="3960">
        <f>('[16]Forecast revenues'!J156+'[16]Forecast revenues'!J170+'[16]Forecast revenues'!J184)/'[16]X factors'!J11</f>
        <v>1919513.3613648934</v>
      </c>
      <c r="O26" s="3958">
        <f>('[16]Forecast revenues'!K156+'[16]Forecast revenues'!K170+'[16]Forecast revenues'!K184)/'[16]X factors'!K11</f>
        <v>1976206.7589841473</v>
      </c>
      <c r="P26" s="3967">
        <f t="shared" ref="P26:P31" si="1">SUM(K26:O26)</f>
        <v>9452440.7746998146</v>
      </c>
      <c r="U26" s="13"/>
    </row>
    <row r="27" spans="1:21">
      <c r="A27" s="1268"/>
      <c r="B27" s="4711"/>
      <c r="C27" s="1586" t="s">
        <v>1699</v>
      </c>
      <c r="D27" s="1575"/>
      <c r="E27" s="1576"/>
      <c r="F27" s="1976"/>
      <c r="G27" s="1577"/>
      <c r="H27" s="1577"/>
      <c r="I27" s="3948">
        <v>2468801.8906310163</v>
      </c>
      <c r="J27" s="3946">
        <f>'[16]Forecast revenues'!Q157+'[16]Forecast revenues'!Q171+'[16]Forecast revenues'!Q185+'[16]Forecast revenues'!AB157+'[16]Forecast revenues'!AB171+'[16]Forecast revenues'!AB185+'[16]Forecast revenues'!AM157+'[16]Forecast revenues'!AM171+'[16]Forecast revenues'!AM185</f>
        <v>2364781.6865637982</v>
      </c>
      <c r="K27" s="3947">
        <f>('[16]Forecast revenues'!R157+'[16]Forecast revenues'!R171+'[16]Forecast revenues'!R185+'[16]Forecast revenues'!AC157+'[16]Forecast revenues'!AC171+'[16]Forecast revenues'!AC185+'[16]Forecast revenues'!AN157+'[16]Forecast revenues'!AN171+'[16]Forecast revenues'!AN185)/'[16]X factors'!G11</f>
        <v>2541870.1663121851</v>
      </c>
      <c r="L27" s="3948">
        <f>('[16]Forecast revenues'!S157+'[16]Forecast revenues'!S171+'[16]Forecast revenues'!S185+'[16]Forecast revenues'!AD157+'[16]Forecast revenues'!AD171+'[16]Forecast revenues'!AD185+'[16]Forecast revenues'!AO157+'[16]Forecast revenues'!AO171+'[16]Forecast revenues'!AO185)/'[16]X factors'!H11</f>
        <v>2532102.5533429459</v>
      </c>
      <c r="M27" s="3948">
        <f>('[16]Forecast revenues'!T157+'[16]Forecast revenues'!T171+'[16]Forecast revenues'!T185+'[16]Forecast revenues'!AE157+'[16]Forecast revenues'!AE171+'[16]Forecast revenues'!AE185+'[16]Forecast revenues'!AP157+'[16]Forecast revenues'!AP171+'[16]Forecast revenues'!AP185)/'[16]X factors'!I11</f>
        <v>2552712.7671550643</v>
      </c>
      <c r="N27" s="3948">
        <f>('[16]Forecast revenues'!U157+'[16]Forecast revenues'!U171+'[16]Forecast revenues'!U185+'[16]Forecast revenues'!AF157+'[16]Forecast revenues'!AF171+'[16]Forecast revenues'!AF185+'[16]Forecast revenues'!AQ157+'[16]Forecast revenues'!AQ171+'[16]Forecast revenues'!AQ185)/'[16]X factors'!J11</f>
        <v>2561858.9534448301</v>
      </c>
      <c r="O27" s="3946">
        <f>('[16]Forecast revenues'!V157+'[16]Forecast revenues'!V171+'[16]Forecast revenues'!V185+'[16]Forecast revenues'!AG157+'[16]Forecast revenues'!AG171+'[16]Forecast revenues'!AG185+'[16]Forecast revenues'!AR157+'[16]Forecast revenues'!AR171+'[16]Forecast revenues'!AR185)/'[16]X factors'!K11</f>
        <v>2584225.1706729061</v>
      </c>
      <c r="P27" s="3967"/>
      <c r="U27" s="13"/>
    </row>
    <row r="28" spans="1:21">
      <c r="A28" s="1268"/>
      <c r="B28" s="4711"/>
      <c r="C28" s="1570" t="s">
        <v>1700</v>
      </c>
      <c r="D28" s="1566"/>
      <c r="E28" s="1567"/>
      <c r="F28" s="1973"/>
      <c r="G28" s="872"/>
      <c r="H28" s="872"/>
      <c r="I28" s="3951">
        <v>2475549.7559676962</v>
      </c>
      <c r="J28" s="3949">
        <f>'[16]Forecast revenues'!Q158+'[16]Forecast revenues'!Q172+'[16]Forecast revenues'!Q186+'[16]Forecast revenues'!AB158+'[16]Forecast revenues'!AB172+'[16]Forecast revenues'!AB186+'[16]Forecast revenues'!AM158+'[16]Forecast revenues'!AM172+'[16]Forecast revenues'!AM186</f>
        <v>2307507.2523446586</v>
      </c>
      <c r="K28" s="3950">
        <f>('[16]Forecast revenues'!R158+'[16]Forecast revenues'!R172+'[16]Forecast revenues'!R186+'[16]Forecast revenues'!AC158+'[16]Forecast revenues'!AC172+'[16]Forecast revenues'!AC186+'[16]Forecast revenues'!AN158+'[16]Forecast revenues'!AN172+'[16]Forecast revenues'!AN186)/'[16]X factors'!G11</f>
        <v>2481952.575169656</v>
      </c>
      <c r="L28" s="3951">
        <f>('[16]Forecast revenues'!S158+'[16]Forecast revenues'!S172+'[16]Forecast revenues'!S186+'[16]Forecast revenues'!AD158+'[16]Forecast revenues'!AD172+'[16]Forecast revenues'!AD186+'[16]Forecast revenues'!AO158+'[16]Forecast revenues'!AO172+'[16]Forecast revenues'!AO186)/'[16]X factors'!H11</f>
        <v>2474626.7001737719</v>
      </c>
      <c r="M28" s="3951">
        <f>('[16]Forecast revenues'!T158+'[16]Forecast revenues'!T172+'[16]Forecast revenues'!T186+'[16]Forecast revenues'!AE158+'[16]Forecast revenues'!AE172+'[16]Forecast revenues'!AE186+'[16]Forecast revenues'!AP158+'[16]Forecast revenues'!AP172+'[16]Forecast revenues'!AP186)/'[16]X factors'!I11</f>
        <v>2496492.8437000355</v>
      </c>
      <c r="N28" s="3951">
        <f>('[16]Forecast revenues'!U158+'[16]Forecast revenues'!U172+'[16]Forecast revenues'!U186+'[16]Forecast revenues'!AF158+'[16]Forecast revenues'!AF172+'[16]Forecast revenues'!AF186+'[16]Forecast revenues'!AQ158+'[16]Forecast revenues'!AQ172+'[16]Forecast revenues'!AQ186)/'[16]X factors'!J11</f>
        <v>2506954.8747672886</v>
      </c>
      <c r="O28" s="3949">
        <f>('[16]Forecast revenues'!V158+'[16]Forecast revenues'!V172+'[16]Forecast revenues'!V186+'[16]Forecast revenues'!AG158+'[16]Forecast revenues'!AG172+'[16]Forecast revenues'!AG186+'[16]Forecast revenues'!AR158+'[16]Forecast revenues'!AR172+'[16]Forecast revenues'!AR186)/'[16]X factors'!K11</f>
        <v>2529993.0621551001</v>
      </c>
      <c r="P28" s="3965">
        <f t="shared" si="1"/>
        <v>12490020.05596585</v>
      </c>
      <c r="U28" s="13"/>
    </row>
    <row r="29" spans="1:21">
      <c r="A29" s="1268"/>
      <c r="B29" s="4711"/>
      <c r="C29" s="3938" t="s">
        <v>1701</v>
      </c>
      <c r="D29" s="3939"/>
      <c r="E29" s="3940"/>
      <c r="F29" s="3941"/>
      <c r="G29" s="3942"/>
      <c r="H29" s="3942"/>
      <c r="I29" s="3954">
        <v>581099.66126802028</v>
      </c>
      <c r="J29" s="3952">
        <f>'[16]Forecast revenues'!Q159+'[16]Forecast revenues'!Q173+'[16]Forecast revenues'!Q187+'[16]Forecast revenues'!AB159+'[16]Forecast revenues'!AB173+'[16]Forecast revenues'!AB187+'[16]Forecast revenues'!AM159+'[16]Forecast revenues'!AM173+'[16]Forecast revenues'!AM187</f>
        <v>547248.29343276366</v>
      </c>
      <c r="K29" s="3953">
        <f>('[16]Forecast revenues'!R159+'[16]Forecast revenues'!R173+'[16]Forecast revenues'!R187+'[16]Forecast revenues'!AC159+'[16]Forecast revenues'!AC173+'[16]Forecast revenues'!AC187+'[16]Forecast revenues'!AN159+'[16]Forecast revenues'!AN173+'[16]Forecast revenues'!AN187)/'[16]X factors'!G11</f>
        <v>589350.11030282232</v>
      </c>
      <c r="L29" s="3954">
        <f>('[16]Forecast revenues'!S159+'[16]Forecast revenues'!S173+'[16]Forecast revenues'!S187+'[16]Forecast revenues'!AD159+'[16]Forecast revenues'!AD173+'[16]Forecast revenues'!AD187+'[16]Forecast revenues'!AO159+'[16]Forecast revenues'!AO173+'[16]Forecast revenues'!AO187)/'[16]X factors'!H11</f>
        <v>588243.87043759483</v>
      </c>
      <c r="M29" s="3954">
        <f>('[16]Forecast revenues'!T159+'[16]Forecast revenues'!T173+'[16]Forecast revenues'!T187+'[16]Forecast revenues'!AE159+'[16]Forecast revenues'!AE173+'[16]Forecast revenues'!AE187+'[16]Forecast revenues'!AP159+'[16]Forecast revenues'!AP173+'[16]Forecast revenues'!AP187)/'[16]X factors'!I11</f>
        <v>593929.7206657494</v>
      </c>
      <c r="N29" s="3954">
        <f>('[16]Forecast revenues'!U159+'[16]Forecast revenues'!U173+'[16]Forecast revenues'!U187+'[16]Forecast revenues'!AF159+'[16]Forecast revenues'!AF173+'[16]Forecast revenues'!AF187+'[16]Forecast revenues'!AQ159+'[16]Forecast revenues'!AQ173+'[16]Forecast revenues'!AQ187)/'[16]X factors'!J11</f>
        <v>597012.75836420024</v>
      </c>
      <c r="O29" s="3952">
        <f>('[16]Forecast revenues'!V159+'[16]Forecast revenues'!V173+'[16]Forecast revenues'!V187+'[16]Forecast revenues'!AG159+'[16]Forecast revenues'!AG173+'[16]Forecast revenues'!AG187+'[16]Forecast revenues'!AR159+'[16]Forecast revenues'!AR173+'[16]Forecast revenues'!AR187)/'[16]X factors'!K11</f>
        <v>602922.717108718</v>
      </c>
      <c r="P29" s="3973"/>
      <c r="U29" s="13"/>
    </row>
    <row r="30" spans="1:21">
      <c r="A30" s="1268"/>
      <c r="B30" s="4711"/>
      <c r="C30" s="3938" t="s">
        <v>1702</v>
      </c>
      <c r="D30" s="3939"/>
      <c r="E30" s="3940"/>
      <c r="F30" s="3941"/>
      <c r="G30" s="3942"/>
      <c r="H30" s="3942"/>
      <c r="I30" s="3954">
        <v>1122263.433692825</v>
      </c>
      <c r="J30" s="3952">
        <f>'[16]Forecast revenues'!Q160+'[16]Forecast revenues'!Q174+'[16]Forecast revenues'!Q188+'[16]Forecast revenues'!AB160+'[16]Forecast revenues'!AB174+'[16]Forecast revenues'!AB188+'[16]Forecast revenues'!AM160+'[16]Forecast revenues'!AM174+'[16]Forecast revenues'!AM188</f>
        <v>1069108.7503696512</v>
      </c>
      <c r="K30" s="3953">
        <f>('[16]Forecast revenues'!R160+'[16]Forecast revenues'!R174+'[16]Forecast revenues'!R188+'[16]Forecast revenues'!AC160+'[16]Forecast revenues'!AC174+'[16]Forecast revenues'!AC188+'[16]Forecast revenues'!AN160+'[16]Forecast revenues'!AN174+'[16]Forecast revenues'!AN188)/'[16]X factors'!G11</f>
        <v>1153404.6310692064</v>
      </c>
      <c r="L30" s="3954">
        <f>('[16]Forecast revenues'!S160+'[16]Forecast revenues'!S174+'[16]Forecast revenues'!S188+'[16]Forecast revenues'!AD160+'[16]Forecast revenues'!AD174+'[16]Forecast revenues'!AD188+'[16]Forecast revenues'!AO160+'[16]Forecast revenues'!AO174+'[16]Forecast revenues'!AO188)/'[16]X factors'!H11</f>
        <v>1153984.7708667628</v>
      </c>
      <c r="M30" s="3954">
        <f>('[16]Forecast revenues'!T160+'[16]Forecast revenues'!T174+'[16]Forecast revenues'!T188+'[16]Forecast revenues'!AE160+'[16]Forecast revenues'!AE174+'[16]Forecast revenues'!AE188+'[16]Forecast revenues'!AP160+'[16]Forecast revenues'!AP174+'[16]Forecast revenues'!AP188)/'[16]X factors'!I11</f>
        <v>1166980.400978762</v>
      </c>
      <c r="N30" s="3954">
        <f>('[16]Forecast revenues'!U160+'[16]Forecast revenues'!U174+'[16]Forecast revenues'!U188+'[16]Forecast revenues'!AF160+'[16]Forecast revenues'!AF174+'[16]Forecast revenues'!AF188+'[16]Forecast revenues'!AQ160+'[16]Forecast revenues'!AQ174+'[16]Forecast revenues'!AQ188)/'[16]X factors'!J11</f>
        <v>1175397.5400407712</v>
      </c>
      <c r="O30" s="3952">
        <f>('[16]Forecast revenues'!V160+'[16]Forecast revenues'!V174+'[16]Forecast revenues'!V188+'[16]Forecast revenues'!AG160+'[16]Forecast revenues'!AG174+'[16]Forecast revenues'!AG188+'[16]Forecast revenues'!AR160+'[16]Forecast revenues'!AR174+'[16]Forecast revenues'!AR188)/'[16]X factors'!K11</f>
        <v>1188447.3192231099</v>
      </c>
      <c r="P30" s="3973"/>
      <c r="U30" s="13"/>
    </row>
    <row r="31" spans="1:21">
      <c r="A31" s="1268"/>
      <c r="B31" s="4712"/>
      <c r="C31" s="1582" t="s">
        <v>1703</v>
      </c>
      <c r="D31" s="1583"/>
      <c r="E31" s="1584"/>
      <c r="F31" s="1974"/>
      <c r="G31" s="1585"/>
      <c r="H31" s="1585"/>
      <c r="I31" s="3957">
        <v>548765.5806921355</v>
      </c>
      <c r="J31" s="3955">
        <f>'[16]Forecast revenues'!Q161+'[16]Forecast revenues'!Q175+'[16]Forecast revenues'!Q189+'[16]Forecast revenues'!AB161+'[16]Forecast revenues'!AB175+'[16]Forecast revenues'!AB189+'[16]Forecast revenues'!AM161+'[16]Forecast revenues'!AM175+'[16]Forecast revenues'!AM189</f>
        <v>432577.80215595447</v>
      </c>
      <c r="K31" s="3956">
        <f>('[16]Forecast revenues'!R161+'[16]Forecast revenues'!R175+'[16]Forecast revenues'!R189+'[16]Forecast revenues'!AC161+'[16]Forecast revenues'!AC175+'[16]Forecast revenues'!AC189+'[16]Forecast revenues'!AN161+'[16]Forecast revenues'!AN175+'[16]Forecast revenues'!AN189)/'[16]X factors'!G11</f>
        <v>471774.34184701846</v>
      </c>
      <c r="L31" s="3957">
        <f>('[16]Forecast revenues'!S161+'[16]Forecast revenues'!S175+'[16]Forecast revenues'!S189+'[16]Forecast revenues'!AD161+'[16]Forecast revenues'!AD175+'[16]Forecast revenues'!AD189+'[16]Forecast revenues'!AO161+'[16]Forecast revenues'!AO175+'[16]Forecast revenues'!AO189)/'[16]X factors'!H11</f>
        <v>476889.83146203327</v>
      </c>
      <c r="M31" s="3957">
        <f>('[16]Forecast revenues'!T161+'[16]Forecast revenues'!T175+'[16]Forecast revenues'!T189+'[16]Forecast revenues'!AE161+'[16]Forecast revenues'!AE175+'[16]Forecast revenues'!AE189+'[16]Forecast revenues'!AP161+'[16]Forecast revenues'!AP175+'[16]Forecast revenues'!AP189)/'[16]X factors'!I11</f>
        <v>486470.6710156583</v>
      </c>
      <c r="N31" s="3957">
        <f>('[16]Forecast revenues'!U161+'[16]Forecast revenues'!U175+'[16]Forecast revenues'!U189+'[16]Forecast revenues'!AF161+'[16]Forecast revenues'!AF175+'[16]Forecast revenues'!AF189+'[16]Forecast revenues'!AQ161+'[16]Forecast revenues'!AQ175+'[16]Forecast revenues'!AQ189)/'[16]X factors'!J11</f>
        <v>493467.8365015462</v>
      </c>
      <c r="O31" s="3955">
        <f>('[16]Forecast revenues'!V161+'[16]Forecast revenues'!V175+'[16]Forecast revenues'!V189+'[16]Forecast revenues'!AG161+'[16]Forecast revenues'!AG175+'[16]Forecast revenues'!AG189+'[16]Forecast revenues'!AR161+'[16]Forecast revenues'!AR175+'[16]Forecast revenues'!AR189)/'[16]X factors'!K11</f>
        <v>501529.4113682016</v>
      </c>
      <c r="P31" s="3966">
        <f t="shared" si="1"/>
        <v>2430132.0921944575</v>
      </c>
      <c r="U31" s="13"/>
    </row>
    <row r="32" spans="1:21">
      <c r="A32" s="1268"/>
      <c r="B32" s="3875" t="s">
        <v>1621</v>
      </c>
      <c r="C32" s="3938" t="s">
        <v>1704</v>
      </c>
      <c r="D32" s="3939"/>
      <c r="E32" s="3940"/>
      <c r="F32" s="3941"/>
      <c r="G32" s="3942"/>
      <c r="H32" s="3942"/>
      <c r="I32" s="3954">
        <v>32896.350000000006</v>
      </c>
      <c r="J32" s="3952">
        <f>'[16]Forecast revenues'!Q192+'[16]Forecast revenues'!AB192+'[16]Forecast revenues'!AM192+'[16]Forecast revenues'!AX192</f>
        <v>10023.754794151593</v>
      </c>
      <c r="K32" s="3953">
        <f>('[16]Forecast revenues'!R192+'[16]Forecast revenues'!AC192+'[16]Forecast revenues'!AN192+'[16]Forecast revenues'!AY192)/'[16]X factors'!G11</f>
        <v>10865.43931961427</v>
      </c>
      <c r="L32" s="3954">
        <f>('[16]Forecast revenues'!S192+'[16]Forecast revenues'!AD192+'[16]Forecast revenues'!AO192+'[16]Forecast revenues'!AZ192)/'[16]X factors'!H11</f>
        <v>10937.759156246382</v>
      </c>
      <c r="M32" s="3954">
        <f>('[16]Forecast revenues'!T192+'[16]Forecast revenues'!AE192+'[16]Forecast revenues'!AP192+'[16]Forecast revenues'!BA192)/'[16]X factors'!I11</f>
        <v>11226.970066254968</v>
      </c>
      <c r="N32" s="3954">
        <f>('[16]Forecast revenues'!U192+'[16]Forecast revenues'!AF192+'[16]Forecast revenues'!AQ192+'[16]Forecast revenues'!BB192)/'[16]X factors'!J11</f>
        <v>11501.515907967032</v>
      </c>
      <c r="O32" s="3952">
        <f>('[16]Forecast revenues'!V192+'[16]Forecast revenues'!AG192+'[16]Forecast revenues'!AR192+'[16]Forecast revenues'!BC192)/'[16]X factors'!K11</f>
        <v>11773.067656406725</v>
      </c>
      <c r="P32" s="3973"/>
      <c r="U32" s="13"/>
    </row>
    <row r="33" spans="1:21">
      <c r="A33" s="1268"/>
      <c r="B33" s="3876"/>
      <c r="C33" s="1582" t="s">
        <v>1705</v>
      </c>
      <c r="D33" s="1583"/>
      <c r="E33" s="1584"/>
      <c r="F33" s="1974"/>
      <c r="G33" s="1585"/>
      <c r="H33" s="1585"/>
      <c r="I33" s="3957">
        <v>0</v>
      </c>
      <c r="J33" s="3955">
        <f>'[16]Forecast revenues'!Q193+'[16]Forecast revenues'!AB193+'[16]Forecast revenues'!AM193+'[16]Forecast revenues'!AX193</f>
        <v>5723.8724460308567</v>
      </c>
      <c r="K33" s="3956">
        <f>('[16]Forecast revenues'!R193+'[16]Forecast revenues'!AC193+'[16]Forecast revenues'!AN193+'[16]Forecast revenues'!AY193)/'[16]X factors'!G11</f>
        <v>6274.142727819275</v>
      </c>
      <c r="L33" s="3957">
        <f>('[16]Forecast revenues'!S193+'[16]Forecast revenues'!AD193+'[16]Forecast revenues'!AO193+'[16]Forecast revenues'!AZ193)/'[16]X factors'!H11</f>
        <v>6213.7442889807971</v>
      </c>
      <c r="M33" s="3957">
        <f>('[16]Forecast revenues'!T193+'[16]Forecast revenues'!AE193+'[16]Forecast revenues'!AP193+'[16]Forecast revenues'!BA193)/'[16]X factors'!I11</f>
        <v>6424.0760359882806</v>
      </c>
      <c r="N33" s="3957">
        <f>('[16]Forecast revenues'!U193+'[16]Forecast revenues'!AF193+'[16]Forecast revenues'!AQ193+'[16]Forecast revenues'!BB193)/'[16]X factors'!J11</f>
        <v>6585.7452678849122</v>
      </c>
      <c r="O33" s="3955">
        <f>('[16]Forecast revenues'!V193+'[16]Forecast revenues'!AG193+'[16]Forecast revenues'!AR193+'[16]Forecast revenues'!BC193)/'[16]X factors'!K11</f>
        <v>6721.7909196719602</v>
      </c>
      <c r="P33" s="3966">
        <f t="shared" ref="P33" si="2">SUM(K33:O33)</f>
        <v>32219.499240345223</v>
      </c>
      <c r="U33" s="13"/>
    </row>
    <row r="34" spans="1:21">
      <c r="A34" s="1268"/>
      <c r="B34" s="4711" t="s">
        <v>1622</v>
      </c>
      <c r="C34" s="1574" t="s">
        <v>1665</v>
      </c>
      <c r="D34" s="1575"/>
      <c r="E34" s="1576"/>
      <c r="F34" s="1976"/>
      <c r="G34" s="1577"/>
      <c r="H34" s="1577"/>
      <c r="I34" s="3948">
        <v>1691202.4987873628</v>
      </c>
      <c r="J34" s="3946">
        <f>'[16]Forecast revenues'!Q196+'[16]Forecast revenues'!Q200</f>
        <v>1701202.7469598886</v>
      </c>
      <c r="K34" s="3947">
        <f>('[16]Forecast revenues'!R196+'[16]Forecast revenues'!R200)/'[16]X factors'!G11</f>
        <v>1840868.9983680199</v>
      </c>
      <c r="L34" s="3948">
        <f>('[16]Forecast revenues'!S196+'[16]Forecast revenues'!S200)/'[16]X factors'!H11</f>
        <v>1867052.0063223501</v>
      </c>
      <c r="M34" s="3948">
        <f>('[16]Forecast revenues'!T196+'[16]Forecast revenues'!T200)/'[16]X factors'!I11</f>
        <v>1920562.0544154414</v>
      </c>
      <c r="N34" s="3948">
        <f>('[16]Forecast revenues'!U196+'[16]Forecast revenues'!U200)/'[16]X factors'!J11</f>
        <v>1980969.2116942946</v>
      </c>
      <c r="O34" s="3946">
        <f>('[16]Forecast revenues'!V196+'[16]Forecast revenues'!V200)/'[16]X factors'!K11</f>
        <v>2040512.714839254</v>
      </c>
      <c r="P34" s="3967">
        <f t="shared" si="0"/>
        <v>9649964.9856393598</v>
      </c>
      <c r="U34" s="13"/>
    </row>
    <row r="35" spans="1:21">
      <c r="A35" s="1268"/>
      <c r="B35" s="4711"/>
      <c r="C35" s="1570" t="s">
        <v>1666</v>
      </c>
      <c r="D35" s="1566"/>
      <c r="E35" s="1567"/>
      <c r="F35" s="1973"/>
      <c r="G35" s="872"/>
      <c r="H35" s="872"/>
      <c r="I35" s="3951">
        <v>53174.631212636952</v>
      </c>
      <c r="J35" s="3946">
        <f>'[16]Forecast revenues'!Q197+'[16]Forecast revenues'!Q201</f>
        <v>54530.629682402963</v>
      </c>
      <c r="K35" s="3950">
        <f>('[16]Forecast revenues'!R197+'[16]Forecast revenues'!R201)/'[16]X factors'!G11</f>
        <v>59096.517473232409</v>
      </c>
      <c r="L35" s="3951">
        <f>('[16]Forecast revenues'!S197+'[16]Forecast revenues'!S201)/'[16]X factors'!H11</f>
        <v>60004.255921287469</v>
      </c>
      <c r="M35" s="3951">
        <f>('[16]Forecast revenues'!T197+'[16]Forecast revenues'!T201)/'[16]X factors'!I11</f>
        <v>61783.712758229594</v>
      </c>
      <c r="N35" s="3951">
        <f>('[16]Forecast revenues'!U197+'[16]Forecast revenues'!U201)/'[16]X factors'!J11</f>
        <v>63760.411612393204</v>
      </c>
      <c r="O35" s="3949">
        <f>('[16]Forecast revenues'!V197+'[16]Forecast revenues'!V201)/'[16]X factors'!K11</f>
        <v>65726.15989886802</v>
      </c>
      <c r="P35" s="3965">
        <f t="shared" si="0"/>
        <v>310371.05766401067</v>
      </c>
      <c r="U35" s="13"/>
    </row>
    <row r="36" spans="1:21" ht="13.5" thickBot="1">
      <c r="A36" s="1268"/>
      <c r="B36" s="4714"/>
      <c r="C36" s="1571"/>
      <c r="D36" s="1568"/>
      <c r="E36" s="1569"/>
      <c r="F36" s="1977"/>
      <c r="G36" s="876"/>
      <c r="H36" s="876"/>
      <c r="I36" s="3963"/>
      <c r="J36" s="3961"/>
      <c r="K36" s="3962"/>
      <c r="L36" s="3963"/>
      <c r="M36" s="3963"/>
      <c r="N36" s="3963"/>
      <c r="O36" s="3961"/>
      <c r="P36" s="3968">
        <f t="shared" si="0"/>
        <v>0</v>
      </c>
      <c r="U36" s="13"/>
    </row>
    <row r="37" spans="1:21" ht="13.5" thickBot="1">
      <c r="A37" s="1268"/>
      <c r="B37" s="4721" t="s">
        <v>721</v>
      </c>
      <c r="C37" s="4722"/>
      <c r="D37" s="1592"/>
      <c r="E37" s="1593"/>
      <c r="F37" s="1979">
        <f t="shared" ref="F37:O37" si="3">SUM(F20:F36)</f>
        <v>0</v>
      </c>
      <c r="G37" s="1969">
        <f t="shared" si="3"/>
        <v>0</v>
      </c>
      <c r="H37" s="1969">
        <f t="shared" si="3"/>
        <v>0</v>
      </c>
      <c r="I37" s="3970">
        <f t="shared" si="3"/>
        <v>190225539.96339124</v>
      </c>
      <c r="J37" s="3971">
        <f t="shared" si="3"/>
        <v>193947363.74960363</v>
      </c>
      <c r="K37" s="3969">
        <f t="shared" si="3"/>
        <v>210898774.266256</v>
      </c>
      <c r="L37" s="3970">
        <f t="shared" si="3"/>
        <v>213845817.93979204</v>
      </c>
      <c r="M37" s="3970">
        <f t="shared" si="3"/>
        <v>219811061.2705501</v>
      </c>
      <c r="N37" s="3970">
        <f t="shared" si="3"/>
        <v>225533225.9794322</v>
      </c>
      <c r="O37" s="3971">
        <f t="shared" si="3"/>
        <v>231628265.42029467</v>
      </c>
      <c r="P37" s="3972"/>
      <c r="U37" s="13"/>
    </row>
    <row r="38" spans="1:21" ht="13.5" thickBot="1">
      <c r="D38" s="501"/>
      <c r="E38" s="501"/>
      <c r="F38" s="501"/>
      <c r="G38" s="501"/>
      <c r="H38" s="501"/>
      <c r="I38" s="501"/>
      <c r="J38" s="501"/>
      <c r="K38" s="501"/>
      <c r="L38" s="501"/>
      <c r="M38" s="501"/>
      <c r="N38" s="501"/>
      <c r="O38" s="501"/>
      <c r="U38" s="13"/>
    </row>
    <row r="39" spans="1:21" ht="20.25" customHeight="1" thickBot="1">
      <c r="A39" s="1268"/>
      <c r="B39" s="771" t="s">
        <v>550</v>
      </c>
      <c r="C39" s="772"/>
      <c r="D39" s="772"/>
      <c r="E39" s="772"/>
      <c r="F39" s="771"/>
      <c r="G39" s="772"/>
      <c r="H39" s="772"/>
      <c r="I39" s="772"/>
      <c r="J39" s="1978"/>
      <c r="K39" s="772"/>
      <c r="L39" s="772"/>
      <c r="M39" s="772"/>
      <c r="N39" s="772"/>
      <c r="O39" s="772"/>
      <c r="P39" s="773"/>
      <c r="U39" s="13"/>
    </row>
    <row r="40" spans="1:21">
      <c r="A40" s="1268"/>
      <c r="B40" s="4710" t="s">
        <v>1707</v>
      </c>
      <c r="C40" s="1578" t="s">
        <v>1386</v>
      </c>
      <c r="D40" s="1579"/>
      <c r="E40" s="1580"/>
      <c r="F40" s="1972"/>
      <c r="G40" s="1581"/>
      <c r="H40" s="1581"/>
      <c r="I40" s="3945">
        <f>J40</f>
        <v>1259000</v>
      </c>
      <c r="J40" s="3943">
        <v>1259000</v>
      </c>
      <c r="K40" s="3944">
        <f>'[17]Chapter 21'!C122*1000000</f>
        <v>1270000</v>
      </c>
      <c r="L40" s="3945">
        <f>'[17]Chapter 21'!D122*1000000</f>
        <v>1270000</v>
      </c>
      <c r="M40" s="3945">
        <f>'[17]Chapter 21'!E122*1000000</f>
        <v>1280000</v>
      </c>
      <c r="N40" s="3945">
        <f>'[17]Chapter 21'!F122*1000000</f>
        <v>1280000</v>
      </c>
      <c r="O40" s="3943">
        <f>'[17]Chapter 21'!G122*1000000</f>
        <v>1290000</v>
      </c>
      <c r="P40" s="3964">
        <f t="shared" ref="P40:P54" si="4">SUM(K40:O40)</f>
        <v>6390000</v>
      </c>
      <c r="U40" s="13"/>
    </row>
    <row r="41" spans="1:21">
      <c r="A41" s="1268"/>
      <c r="B41" s="4711"/>
      <c r="C41" s="1570" t="s">
        <v>944</v>
      </c>
      <c r="D41" s="1566"/>
      <c r="E41" s="1567"/>
      <c r="F41" s="1973"/>
      <c r="G41" s="872"/>
      <c r="H41" s="872"/>
      <c r="I41" s="3951"/>
      <c r="J41" s="3949"/>
      <c r="K41" s="3950">
        <v>0</v>
      </c>
      <c r="L41" s="3951">
        <v>0</v>
      </c>
      <c r="M41" s="3951">
        <v>0</v>
      </c>
      <c r="N41" s="3951">
        <v>0</v>
      </c>
      <c r="O41" s="3949">
        <v>0</v>
      </c>
      <c r="P41" s="3965">
        <f t="shared" si="4"/>
        <v>0</v>
      </c>
      <c r="U41" s="13"/>
    </row>
    <row r="42" spans="1:21">
      <c r="A42" s="1268"/>
      <c r="B42" s="4712"/>
      <c r="C42" s="1582" t="s">
        <v>944</v>
      </c>
      <c r="D42" s="1583"/>
      <c r="E42" s="1584"/>
      <c r="F42" s="1974"/>
      <c r="G42" s="1585"/>
      <c r="H42" s="1585"/>
      <c r="I42" s="3957"/>
      <c r="J42" s="3955"/>
      <c r="K42" s="3956">
        <v>0</v>
      </c>
      <c r="L42" s="3957">
        <v>0</v>
      </c>
      <c r="M42" s="3957">
        <v>0</v>
      </c>
      <c r="N42" s="3957">
        <v>0</v>
      </c>
      <c r="O42" s="3955">
        <v>0</v>
      </c>
      <c r="P42" s="3966">
        <f t="shared" si="4"/>
        <v>0</v>
      </c>
      <c r="U42" s="13"/>
    </row>
    <row r="43" spans="1:21">
      <c r="A43" s="1268"/>
      <c r="B43" s="4713" t="s">
        <v>1708</v>
      </c>
      <c r="C43" s="1586" t="s">
        <v>1708</v>
      </c>
      <c r="D43" s="1587"/>
      <c r="E43" s="1588"/>
      <c r="F43" s="1975"/>
      <c r="G43" s="1589"/>
      <c r="H43" s="1589"/>
      <c r="I43" s="3960">
        <f>J43</f>
        <v>16500</v>
      </c>
      <c r="J43" s="3958">
        <v>16500</v>
      </c>
      <c r="K43" s="3959">
        <f>'[17]Chapter 21'!C126*1000000</f>
        <v>20000</v>
      </c>
      <c r="L43" s="3960">
        <f>'[17]Chapter 21'!D126*1000000</f>
        <v>20000</v>
      </c>
      <c r="M43" s="3960">
        <f>'[17]Chapter 21'!E126*1000000</f>
        <v>20000</v>
      </c>
      <c r="N43" s="3960">
        <f>'[17]Chapter 21'!F126*1000000</f>
        <v>20000</v>
      </c>
      <c r="O43" s="3958">
        <f>'[17]Chapter 21'!G126*1000000</f>
        <v>20000</v>
      </c>
      <c r="P43" s="3967">
        <f t="shared" si="4"/>
        <v>100000</v>
      </c>
      <c r="U43" s="13"/>
    </row>
    <row r="44" spans="1:21">
      <c r="A44" s="1268"/>
      <c r="B44" s="4711"/>
      <c r="C44" s="1570" t="s">
        <v>944</v>
      </c>
      <c r="D44" s="1566"/>
      <c r="E44" s="1567"/>
      <c r="F44" s="1973"/>
      <c r="G44" s="872"/>
      <c r="H44" s="872"/>
      <c r="I44" s="3951"/>
      <c r="J44" s="3949"/>
      <c r="K44" s="3950">
        <v>0</v>
      </c>
      <c r="L44" s="3951">
        <v>0</v>
      </c>
      <c r="M44" s="3951">
        <v>0</v>
      </c>
      <c r="N44" s="3951">
        <v>0</v>
      </c>
      <c r="O44" s="3949">
        <v>0</v>
      </c>
      <c r="P44" s="3965">
        <f t="shared" si="4"/>
        <v>0</v>
      </c>
      <c r="U44" s="13"/>
    </row>
    <row r="45" spans="1:21">
      <c r="A45" s="1268"/>
      <c r="B45" s="4712"/>
      <c r="C45" s="1582" t="s">
        <v>944</v>
      </c>
      <c r="D45" s="1583"/>
      <c r="E45" s="1584"/>
      <c r="F45" s="1974"/>
      <c r="G45" s="1585"/>
      <c r="H45" s="1585"/>
      <c r="I45" s="3957"/>
      <c r="J45" s="3955"/>
      <c r="K45" s="3956">
        <v>0</v>
      </c>
      <c r="L45" s="3957">
        <v>0</v>
      </c>
      <c r="M45" s="3957">
        <v>0</v>
      </c>
      <c r="N45" s="3957">
        <v>0</v>
      </c>
      <c r="O45" s="3955">
        <v>0</v>
      </c>
      <c r="P45" s="3966">
        <f t="shared" si="4"/>
        <v>0</v>
      </c>
      <c r="U45" s="13"/>
    </row>
    <row r="46" spans="1:21">
      <c r="A46" s="1268"/>
      <c r="B46" s="4713" t="s">
        <v>1709</v>
      </c>
      <c r="C46" s="1586" t="s">
        <v>1709</v>
      </c>
      <c r="D46" s="1587"/>
      <c r="E46" s="1588"/>
      <c r="F46" s="1975"/>
      <c r="G46" s="1589"/>
      <c r="H46" s="1589"/>
      <c r="I46" s="3960">
        <f>J46</f>
        <v>367000</v>
      </c>
      <c r="J46" s="3958">
        <v>367000</v>
      </c>
      <c r="K46" s="3959">
        <f>'[17]Chapter 21'!C130*1000000</f>
        <v>390000</v>
      </c>
      <c r="L46" s="3960">
        <f>'[17]Chapter 21'!D130*1000000</f>
        <v>390000</v>
      </c>
      <c r="M46" s="3960">
        <f>'[17]Chapter 21'!E130*1000000</f>
        <v>400000</v>
      </c>
      <c r="N46" s="3960">
        <f>'[17]Chapter 21'!F130*1000000</f>
        <v>400000</v>
      </c>
      <c r="O46" s="3958">
        <f>'[17]Chapter 21'!G130*1000000</f>
        <v>400000</v>
      </c>
      <c r="P46" s="3967">
        <f t="shared" ref="P46:P48" si="5">SUM(K46:O46)</f>
        <v>1980000</v>
      </c>
      <c r="U46" s="13"/>
    </row>
    <row r="47" spans="1:21">
      <c r="A47" s="1268"/>
      <c r="B47" s="4711"/>
      <c r="C47" s="1570" t="s">
        <v>944</v>
      </c>
      <c r="D47" s="1566"/>
      <c r="E47" s="1567"/>
      <c r="F47" s="1973"/>
      <c r="G47" s="872"/>
      <c r="H47" s="872"/>
      <c r="I47" s="3951"/>
      <c r="J47" s="3949"/>
      <c r="K47" s="3950">
        <v>0</v>
      </c>
      <c r="L47" s="3951">
        <v>0</v>
      </c>
      <c r="M47" s="3951">
        <v>0</v>
      </c>
      <c r="N47" s="3951">
        <v>0</v>
      </c>
      <c r="O47" s="3949">
        <v>0</v>
      </c>
      <c r="P47" s="3965">
        <f t="shared" si="5"/>
        <v>0</v>
      </c>
      <c r="U47" s="13"/>
    </row>
    <row r="48" spans="1:21">
      <c r="A48" s="1268"/>
      <c r="B48" s="4712"/>
      <c r="C48" s="1582" t="s">
        <v>944</v>
      </c>
      <c r="D48" s="1583"/>
      <c r="E48" s="1584"/>
      <c r="F48" s="1974"/>
      <c r="G48" s="1585"/>
      <c r="H48" s="1585"/>
      <c r="I48" s="3957"/>
      <c r="J48" s="3955"/>
      <c r="K48" s="3956">
        <v>0</v>
      </c>
      <c r="L48" s="3957">
        <v>0</v>
      </c>
      <c r="M48" s="3957">
        <v>0</v>
      </c>
      <c r="N48" s="3957">
        <v>0</v>
      </c>
      <c r="O48" s="3955">
        <v>0</v>
      </c>
      <c r="P48" s="3966">
        <f t="shared" si="5"/>
        <v>0</v>
      </c>
      <c r="U48" s="13"/>
    </row>
    <row r="49" spans="1:21">
      <c r="A49" s="1268"/>
      <c r="B49" s="4713" t="s">
        <v>1710</v>
      </c>
      <c r="C49" s="1586" t="s">
        <v>1710</v>
      </c>
      <c r="D49" s="1587"/>
      <c r="E49" s="1588"/>
      <c r="F49" s="1975"/>
      <c r="G49" s="1589"/>
      <c r="H49" s="1589"/>
      <c r="I49" s="3960">
        <f>J49</f>
        <v>261000</v>
      </c>
      <c r="J49" s="3958">
        <v>261000</v>
      </c>
      <c r="K49" s="3959">
        <f>'[17]Chapter 21'!C134*1000000</f>
        <v>270000</v>
      </c>
      <c r="L49" s="3960">
        <f>'[17]Chapter 21'!D134*1000000</f>
        <v>280000</v>
      </c>
      <c r="M49" s="3960">
        <f>'[17]Chapter 21'!E134*1000000</f>
        <v>280000</v>
      </c>
      <c r="N49" s="3960">
        <f>'[17]Chapter 21'!F134*1000000</f>
        <v>280000</v>
      </c>
      <c r="O49" s="3958">
        <f>'[17]Chapter 21'!G134*1000000</f>
        <v>280000</v>
      </c>
      <c r="P49" s="3967">
        <f t="shared" si="4"/>
        <v>1390000</v>
      </c>
      <c r="U49" s="13"/>
    </row>
    <row r="50" spans="1:21">
      <c r="A50" s="1268"/>
      <c r="B50" s="4711"/>
      <c r="C50" s="1570" t="s">
        <v>944</v>
      </c>
      <c r="D50" s="1566"/>
      <c r="E50" s="1567"/>
      <c r="F50" s="1973"/>
      <c r="G50" s="872"/>
      <c r="H50" s="872"/>
      <c r="I50" s="3951"/>
      <c r="J50" s="3949"/>
      <c r="K50" s="3950">
        <v>0</v>
      </c>
      <c r="L50" s="3951">
        <v>0</v>
      </c>
      <c r="M50" s="3951">
        <v>0</v>
      </c>
      <c r="N50" s="3951">
        <v>0</v>
      </c>
      <c r="O50" s="3949">
        <v>0</v>
      </c>
      <c r="P50" s="3965">
        <f t="shared" si="4"/>
        <v>0</v>
      </c>
      <c r="U50" s="13"/>
    </row>
    <row r="51" spans="1:21">
      <c r="A51" s="1268"/>
      <c r="B51" s="4712"/>
      <c r="C51" s="1582" t="s">
        <v>944</v>
      </c>
      <c r="D51" s="1583"/>
      <c r="E51" s="1584"/>
      <c r="F51" s="1974"/>
      <c r="G51" s="1585"/>
      <c r="H51" s="1585"/>
      <c r="I51" s="3957"/>
      <c r="J51" s="3955"/>
      <c r="K51" s="3956">
        <v>0</v>
      </c>
      <c r="L51" s="3957">
        <v>0</v>
      </c>
      <c r="M51" s="3957">
        <v>0</v>
      </c>
      <c r="N51" s="3957">
        <v>0</v>
      </c>
      <c r="O51" s="3955">
        <v>0</v>
      </c>
      <c r="P51" s="3966">
        <f t="shared" si="4"/>
        <v>0</v>
      </c>
      <c r="U51" s="13"/>
    </row>
    <row r="52" spans="1:21">
      <c r="A52" s="1268"/>
      <c r="B52" s="4711" t="s">
        <v>1415</v>
      </c>
      <c r="C52" s="1574" t="s">
        <v>1415</v>
      </c>
      <c r="D52" s="1575"/>
      <c r="E52" s="1576"/>
      <c r="F52" s="1976"/>
      <c r="G52" s="1577"/>
      <c r="H52" s="1577"/>
      <c r="I52" s="3948">
        <f>J52</f>
        <v>327000</v>
      </c>
      <c r="J52" s="3946">
        <v>327000</v>
      </c>
      <c r="K52" s="3947">
        <f>'[17]Chapter 21'!C138*1000000</f>
        <v>350000</v>
      </c>
      <c r="L52" s="3948">
        <f>'[17]Chapter 21'!D138*1000000</f>
        <v>350000</v>
      </c>
      <c r="M52" s="3948">
        <f>'[17]Chapter 21'!E138*1000000</f>
        <v>350000</v>
      </c>
      <c r="N52" s="3948">
        <f>'[17]Chapter 21'!F138*1000000</f>
        <v>360000</v>
      </c>
      <c r="O52" s="3946">
        <f>'[17]Chapter 21'!G138*1000000</f>
        <v>360000</v>
      </c>
      <c r="P52" s="3967">
        <f t="shared" si="4"/>
        <v>1770000</v>
      </c>
      <c r="U52" s="13"/>
    </row>
    <row r="53" spans="1:21">
      <c r="A53" s="1268"/>
      <c r="B53" s="4711"/>
      <c r="C53" s="1570" t="s">
        <v>944</v>
      </c>
      <c r="D53" s="1566"/>
      <c r="E53" s="1567"/>
      <c r="F53" s="1973"/>
      <c r="G53" s="872"/>
      <c r="H53" s="872"/>
      <c r="I53" s="3951"/>
      <c r="J53" s="3949"/>
      <c r="K53" s="3950">
        <v>0</v>
      </c>
      <c r="L53" s="3951">
        <v>0</v>
      </c>
      <c r="M53" s="3951">
        <v>0</v>
      </c>
      <c r="N53" s="3951">
        <v>0</v>
      </c>
      <c r="O53" s="3949">
        <v>0</v>
      </c>
      <c r="P53" s="3965">
        <f t="shared" si="4"/>
        <v>0</v>
      </c>
      <c r="U53" s="13"/>
    </row>
    <row r="54" spans="1:21" ht="13.5" thickBot="1">
      <c r="A54" s="1268"/>
      <c r="B54" s="4714"/>
      <c r="C54" s="1571" t="s">
        <v>944</v>
      </c>
      <c r="D54" s="1568"/>
      <c r="E54" s="1569"/>
      <c r="F54" s="1977"/>
      <c r="G54" s="876"/>
      <c r="H54" s="876"/>
      <c r="I54" s="3963"/>
      <c r="J54" s="3961"/>
      <c r="K54" s="3962">
        <v>0</v>
      </c>
      <c r="L54" s="3963">
        <v>0</v>
      </c>
      <c r="M54" s="3963">
        <v>0</v>
      </c>
      <c r="N54" s="3963">
        <v>0</v>
      </c>
      <c r="O54" s="3961">
        <v>0</v>
      </c>
      <c r="P54" s="3968">
        <f t="shared" si="4"/>
        <v>0</v>
      </c>
      <c r="U54" s="13"/>
    </row>
    <row r="55" spans="1:21" ht="13.5" thickBot="1">
      <c r="A55" s="1268"/>
      <c r="B55" s="4721" t="s">
        <v>722</v>
      </c>
      <c r="C55" s="4722"/>
      <c r="D55" s="1592"/>
      <c r="E55" s="1593"/>
      <c r="F55" s="1979">
        <f>SUM(F40:F54)</f>
        <v>0</v>
      </c>
      <c r="G55" s="1969">
        <f t="shared" ref="G55:J55" si="6">SUM(G40:G54)</f>
        <v>0</v>
      </c>
      <c r="H55" s="1969">
        <f t="shared" si="6"/>
        <v>0</v>
      </c>
      <c r="I55" s="3970">
        <f t="shared" si="6"/>
        <v>2230500</v>
      </c>
      <c r="J55" s="3971">
        <f t="shared" si="6"/>
        <v>2230500</v>
      </c>
      <c r="K55" s="3969">
        <f>SUM(K40:K54)</f>
        <v>2300000</v>
      </c>
      <c r="L55" s="3970">
        <f t="shared" ref="L55:O55" si="7">SUM(L40:L54)</f>
        <v>2310000</v>
      </c>
      <c r="M55" s="3970">
        <f t="shared" si="7"/>
        <v>2330000</v>
      </c>
      <c r="N55" s="3970">
        <f t="shared" si="7"/>
        <v>2340000</v>
      </c>
      <c r="O55" s="3971">
        <f t="shared" si="7"/>
        <v>2350000</v>
      </c>
      <c r="P55" s="3972"/>
      <c r="U55" s="13"/>
    </row>
    <row r="56" spans="1:21" ht="13.5" thickBot="1">
      <c r="D56" s="501"/>
      <c r="E56" s="501"/>
      <c r="F56" s="501"/>
      <c r="G56" s="501"/>
      <c r="H56" s="501"/>
      <c r="I56" s="501"/>
      <c r="J56" s="501"/>
      <c r="K56" s="501"/>
      <c r="L56" s="501"/>
      <c r="M56" s="501"/>
      <c r="N56" s="501"/>
      <c r="O56" s="501"/>
      <c r="U56" s="13"/>
    </row>
    <row r="57" spans="1:21" ht="20.25" customHeight="1" thickBot="1">
      <c r="A57" s="1268"/>
      <c r="B57" s="813" t="s">
        <v>551</v>
      </c>
      <c r="C57" s="814"/>
      <c r="D57" s="772"/>
      <c r="E57" s="772"/>
      <c r="F57" s="772"/>
      <c r="G57" s="772"/>
      <c r="H57" s="772"/>
      <c r="I57" s="772"/>
      <c r="J57" s="772"/>
      <c r="K57" s="772"/>
      <c r="L57" s="772"/>
      <c r="M57" s="772"/>
      <c r="N57" s="772"/>
      <c r="O57" s="772"/>
      <c r="P57" s="773"/>
      <c r="U57" s="13"/>
    </row>
    <row r="58" spans="1:21">
      <c r="A58" s="1268"/>
      <c r="B58" s="4725" t="s">
        <v>131</v>
      </c>
      <c r="C58" s="4726"/>
      <c r="D58" s="1590"/>
      <c r="E58" s="1591"/>
      <c r="F58" s="1973"/>
      <c r="G58" s="872"/>
      <c r="H58" s="872"/>
      <c r="I58" s="872">
        <v>0</v>
      </c>
      <c r="J58" s="873">
        <v>0</v>
      </c>
      <c r="K58" s="1973">
        <v>0</v>
      </c>
      <c r="L58" s="872">
        <v>0</v>
      </c>
      <c r="M58" s="872">
        <v>0</v>
      </c>
      <c r="N58" s="872">
        <v>0</v>
      </c>
      <c r="O58" s="873">
        <v>0</v>
      </c>
      <c r="P58" s="874">
        <f>SUM(K58:O58)</f>
        <v>0</v>
      </c>
      <c r="U58" s="13"/>
    </row>
    <row r="59" spans="1:21">
      <c r="A59" s="1268"/>
      <c r="B59" s="4727" t="s">
        <v>131</v>
      </c>
      <c r="C59" s="4728"/>
      <c r="D59" s="1572"/>
      <c r="E59" s="1573"/>
      <c r="F59" s="1973"/>
      <c r="G59" s="872"/>
      <c r="H59" s="872"/>
      <c r="I59" s="872">
        <v>0</v>
      </c>
      <c r="J59" s="873">
        <v>0</v>
      </c>
      <c r="K59" s="1973">
        <v>0</v>
      </c>
      <c r="L59" s="872">
        <v>0</v>
      </c>
      <c r="M59" s="872">
        <v>0</v>
      </c>
      <c r="N59" s="872">
        <v>0</v>
      </c>
      <c r="O59" s="873">
        <v>0</v>
      </c>
      <c r="P59" s="874">
        <f>SUM(K59:O59)</f>
        <v>0</v>
      </c>
      <c r="U59" s="13"/>
    </row>
    <row r="60" spans="1:21">
      <c r="A60" s="1268"/>
      <c r="B60" s="4727" t="s">
        <v>131</v>
      </c>
      <c r="C60" s="4728"/>
      <c r="D60" s="1572"/>
      <c r="E60" s="1573"/>
      <c r="F60" s="1973"/>
      <c r="G60" s="872"/>
      <c r="H60" s="872"/>
      <c r="I60" s="872">
        <v>0</v>
      </c>
      <c r="J60" s="873">
        <v>0</v>
      </c>
      <c r="K60" s="1973">
        <v>0</v>
      </c>
      <c r="L60" s="872">
        <v>0</v>
      </c>
      <c r="M60" s="872">
        <v>0</v>
      </c>
      <c r="N60" s="872">
        <v>0</v>
      </c>
      <c r="O60" s="873">
        <v>0</v>
      </c>
      <c r="P60" s="874">
        <f>SUM(K60:O60)</f>
        <v>0</v>
      </c>
      <c r="U60" s="13"/>
    </row>
    <row r="61" spans="1:21" ht="13.5" thickBot="1">
      <c r="A61" s="1268"/>
      <c r="B61" s="4723" t="s">
        <v>131</v>
      </c>
      <c r="C61" s="4724"/>
      <c r="D61" s="1568"/>
      <c r="E61" s="1569"/>
      <c r="F61" s="1977"/>
      <c r="G61" s="876"/>
      <c r="H61" s="876"/>
      <c r="I61" s="876">
        <v>0</v>
      </c>
      <c r="J61" s="877">
        <v>0</v>
      </c>
      <c r="K61" s="1977">
        <v>0</v>
      </c>
      <c r="L61" s="876">
        <v>0</v>
      </c>
      <c r="M61" s="876">
        <v>0</v>
      </c>
      <c r="N61" s="876">
        <v>0</v>
      </c>
      <c r="O61" s="877">
        <v>0</v>
      </c>
      <c r="P61" s="878">
        <f>SUM(K61:O61)</f>
        <v>0</v>
      </c>
      <c r="U61" s="13"/>
    </row>
    <row r="62" spans="1:21" ht="13.5" thickBot="1">
      <c r="A62" s="1268"/>
      <c r="B62" s="4721" t="s">
        <v>723</v>
      </c>
      <c r="C62" s="4722"/>
      <c r="D62" s="1592"/>
      <c r="E62" s="1593"/>
      <c r="F62" s="1979">
        <f>SUM(F58:F61)</f>
        <v>0</v>
      </c>
      <c r="G62" s="1969">
        <f t="shared" ref="G62:J62" si="8">SUM(G58:G61)</f>
        <v>0</v>
      </c>
      <c r="H62" s="1969">
        <f t="shared" si="8"/>
        <v>0</v>
      </c>
      <c r="I62" s="1969">
        <f t="shared" si="8"/>
        <v>0</v>
      </c>
      <c r="J62" s="1970">
        <f t="shared" si="8"/>
        <v>0</v>
      </c>
      <c r="K62" s="1979">
        <f>SUM(K58:K61)</f>
        <v>0</v>
      </c>
      <c r="L62" s="1969">
        <f t="shared" ref="L62" si="9">SUM(L58:L61)</f>
        <v>0</v>
      </c>
      <c r="M62" s="1969">
        <f t="shared" ref="M62" si="10">SUM(M58:M61)</f>
        <v>0</v>
      </c>
      <c r="N62" s="1969">
        <f t="shared" ref="N62" si="11">SUM(N58:N61)</f>
        <v>0</v>
      </c>
      <c r="O62" s="1970">
        <f t="shared" ref="O62" si="12">SUM(O58:O61)</f>
        <v>0</v>
      </c>
      <c r="P62" s="1971"/>
      <c r="U62" s="13"/>
    </row>
    <row r="63" spans="1:21" ht="13.5" thickBot="1">
      <c r="D63" s="501"/>
      <c r="E63" s="501"/>
      <c r="F63" s="501"/>
      <c r="G63" s="501"/>
      <c r="H63" s="501"/>
      <c r="I63" s="501"/>
      <c r="J63" s="501"/>
      <c r="K63" s="501"/>
      <c r="L63" s="501"/>
      <c r="M63" s="501"/>
      <c r="N63" s="501"/>
      <c r="O63" s="501"/>
      <c r="U63" s="13"/>
    </row>
    <row r="64" spans="1:21" ht="20.25" customHeight="1" thickBot="1">
      <c r="A64" s="1268"/>
      <c r="B64" s="771" t="s">
        <v>552</v>
      </c>
      <c r="C64" s="772"/>
      <c r="D64" s="772"/>
      <c r="E64" s="772"/>
      <c r="F64" s="772"/>
      <c r="G64" s="772"/>
      <c r="H64" s="772"/>
      <c r="I64" s="772"/>
      <c r="J64" s="772"/>
      <c r="K64" s="772"/>
      <c r="L64" s="772"/>
      <c r="M64" s="772"/>
      <c r="N64" s="772"/>
      <c r="O64" s="772"/>
      <c r="P64" s="773"/>
      <c r="U64" s="13"/>
    </row>
    <row r="65" spans="1:21">
      <c r="A65" s="1268"/>
      <c r="B65" s="4725" t="s">
        <v>132</v>
      </c>
      <c r="C65" s="4726"/>
      <c r="D65" s="1590"/>
      <c r="E65" s="1591"/>
      <c r="F65" s="1973"/>
      <c r="G65" s="872"/>
      <c r="H65" s="872"/>
      <c r="I65" s="872">
        <v>0</v>
      </c>
      <c r="J65" s="873">
        <v>0</v>
      </c>
      <c r="K65" s="1973">
        <v>0</v>
      </c>
      <c r="L65" s="872">
        <v>0</v>
      </c>
      <c r="M65" s="872">
        <v>0</v>
      </c>
      <c r="N65" s="872">
        <v>0</v>
      </c>
      <c r="O65" s="873">
        <v>0</v>
      </c>
      <c r="P65" s="874">
        <f>SUM(K65:O65)</f>
        <v>0</v>
      </c>
      <c r="U65" s="13"/>
    </row>
    <row r="66" spans="1:21">
      <c r="A66" s="1268"/>
      <c r="B66" s="4727" t="s">
        <v>132</v>
      </c>
      <c r="C66" s="4728"/>
      <c r="D66" s="1572"/>
      <c r="E66" s="1573"/>
      <c r="F66" s="1973"/>
      <c r="G66" s="872"/>
      <c r="H66" s="872"/>
      <c r="I66" s="872">
        <v>0</v>
      </c>
      <c r="J66" s="873">
        <v>0</v>
      </c>
      <c r="K66" s="1973">
        <v>0</v>
      </c>
      <c r="L66" s="872">
        <v>0</v>
      </c>
      <c r="M66" s="872">
        <v>0</v>
      </c>
      <c r="N66" s="872">
        <v>0</v>
      </c>
      <c r="O66" s="873">
        <v>0</v>
      </c>
      <c r="P66" s="874">
        <f>SUM(K66:O66)</f>
        <v>0</v>
      </c>
      <c r="U66" s="13"/>
    </row>
    <row r="67" spans="1:21">
      <c r="A67" s="1268"/>
      <c r="B67" s="4727" t="s">
        <v>132</v>
      </c>
      <c r="C67" s="4728"/>
      <c r="D67" s="1572"/>
      <c r="E67" s="1573"/>
      <c r="F67" s="1973"/>
      <c r="G67" s="872"/>
      <c r="H67" s="872"/>
      <c r="I67" s="872">
        <v>0</v>
      </c>
      <c r="J67" s="873">
        <v>0</v>
      </c>
      <c r="K67" s="1973">
        <v>0</v>
      </c>
      <c r="L67" s="872">
        <v>0</v>
      </c>
      <c r="M67" s="872">
        <v>0</v>
      </c>
      <c r="N67" s="872">
        <v>0</v>
      </c>
      <c r="O67" s="873">
        <v>0</v>
      </c>
      <c r="P67" s="874">
        <f>SUM(K67:O67)</f>
        <v>0</v>
      </c>
      <c r="U67" s="13"/>
    </row>
    <row r="68" spans="1:21" ht="13.5" thickBot="1">
      <c r="A68" s="1268"/>
      <c r="B68" s="4723" t="s">
        <v>132</v>
      </c>
      <c r="C68" s="4724"/>
      <c r="D68" s="1568"/>
      <c r="E68" s="1569"/>
      <c r="F68" s="1977"/>
      <c r="G68" s="876"/>
      <c r="H68" s="876"/>
      <c r="I68" s="876">
        <v>0</v>
      </c>
      <c r="J68" s="877">
        <v>0</v>
      </c>
      <c r="K68" s="1977">
        <v>0</v>
      </c>
      <c r="L68" s="876">
        <v>0</v>
      </c>
      <c r="M68" s="876">
        <v>0</v>
      </c>
      <c r="N68" s="876">
        <v>0</v>
      </c>
      <c r="O68" s="877">
        <v>0</v>
      </c>
      <c r="P68" s="878">
        <f t="shared" si="0"/>
        <v>0</v>
      </c>
      <c r="U68" s="13"/>
    </row>
    <row r="69" spans="1:21" ht="13.5" thickBot="1">
      <c r="A69" s="1268"/>
      <c r="B69" s="4721" t="s">
        <v>724</v>
      </c>
      <c r="C69" s="4722"/>
      <c r="D69" s="1592"/>
      <c r="E69" s="1593"/>
      <c r="F69" s="1979">
        <f>SUM(F65:F68)</f>
        <v>0</v>
      </c>
      <c r="G69" s="1969">
        <f t="shared" ref="G69:J69" si="13">SUM(G65:G68)</f>
        <v>0</v>
      </c>
      <c r="H69" s="1969">
        <f t="shared" si="13"/>
        <v>0</v>
      </c>
      <c r="I69" s="1969">
        <f t="shared" si="13"/>
        <v>0</v>
      </c>
      <c r="J69" s="1970">
        <f t="shared" si="13"/>
        <v>0</v>
      </c>
      <c r="K69" s="1979">
        <f>SUM(K65:K68)</f>
        <v>0</v>
      </c>
      <c r="L69" s="1969">
        <f t="shared" ref="L69:O69" si="14">SUM(L65:L68)</f>
        <v>0</v>
      </c>
      <c r="M69" s="1969">
        <f t="shared" si="14"/>
        <v>0</v>
      </c>
      <c r="N69" s="1969">
        <f t="shared" si="14"/>
        <v>0</v>
      </c>
      <c r="O69" s="1970">
        <f t="shared" si="14"/>
        <v>0</v>
      </c>
      <c r="P69" s="1971">
        <f>SUM(P20:P68)</f>
        <v>571754841.32468438</v>
      </c>
      <c r="U69" s="13"/>
    </row>
    <row r="70" spans="1:21" ht="13.5" thickBot="1">
      <c r="A70" s="1268"/>
    </row>
    <row r="71" spans="1:21" ht="20.25" customHeight="1" thickBot="1">
      <c r="A71" s="1268"/>
      <c r="B71" s="771" t="s">
        <v>720</v>
      </c>
      <c r="C71" s="772"/>
      <c r="D71" s="772"/>
      <c r="E71" s="772"/>
      <c r="F71" s="772"/>
      <c r="G71" s="772"/>
      <c r="H71" s="772"/>
      <c r="I71" s="772"/>
      <c r="J71" s="772"/>
      <c r="K71" s="772"/>
      <c r="L71" s="772"/>
      <c r="M71" s="772"/>
      <c r="N71" s="772"/>
      <c r="O71" s="772"/>
      <c r="P71" s="773"/>
      <c r="U71" s="13"/>
    </row>
    <row r="72" spans="1:21" ht="13.5" thickBot="1">
      <c r="A72" s="1268"/>
      <c r="B72" s="4721" t="s">
        <v>65</v>
      </c>
      <c r="C72" s="4722"/>
      <c r="D72" s="1592"/>
      <c r="E72" s="1593"/>
      <c r="F72" s="1979">
        <f>SUM(F69,F62,F55,F37)</f>
        <v>0</v>
      </c>
      <c r="G72" s="1969">
        <f t="shared" ref="G72:O72" si="15">SUM(G69,G62,G55,G37)</f>
        <v>0</v>
      </c>
      <c r="H72" s="1969">
        <f t="shared" si="15"/>
        <v>0</v>
      </c>
      <c r="I72" s="1969">
        <f t="shared" si="15"/>
        <v>192456039.96339124</v>
      </c>
      <c r="J72" s="1970">
        <f t="shared" si="15"/>
        <v>196177863.74960363</v>
      </c>
      <c r="K72" s="1979">
        <f t="shared" si="15"/>
        <v>213198774.266256</v>
      </c>
      <c r="L72" s="1969">
        <f t="shared" si="15"/>
        <v>216155817.93979204</v>
      </c>
      <c r="M72" s="1969">
        <f t="shared" si="15"/>
        <v>222141061.2705501</v>
      </c>
      <c r="N72" s="1969">
        <f t="shared" si="15"/>
        <v>227873225.9794322</v>
      </c>
      <c r="O72" s="1970">
        <f t="shared" si="15"/>
        <v>233978265.42029467</v>
      </c>
      <c r="P72" s="1971">
        <v>0</v>
      </c>
      <c r="U72" s="13"/>
    </row>
  </sheetData>
  <mergeCells count="35">
    <mergeCell ref="B46:B48"/>
    <mergeCell ref="B43:B45"/>
    <mergeCell ref="B62:C62"/>
    <mergeCell ref="B55:C55"/>
    <mergeCell ref="B37:C37"/>
    <mergeCell ref="B40:B42"/>
    <mergeCell ref="B49:B51"/>
    <mergeCell ref="B52:B54"/>
    <mergeCell ref="B58:C58"/>
    <mergeCell ref="B59:C59"/>
    <mergeCell ref="B60:C60"/>
    <mergeCell ref="B72:C72"/>
    <mergeCell ref="B61:C61"/>
    <mergeCell ref="B65:C65"/>
    <mergeCell ref="B66:C66"/>
    <mergeCell ref="B67:C67"/>
    <mergeCell ref="B68:C68"/>
    <mergeCell ref="B69:C69"/>
    <mergeCell ref="P14:P17"/>
    <mergeCell ref="B20:B25"/>
    <mergeCell ref="B26:B31"/>
    <mergeCell ref="B34:B36"/>
    <mergeCell ref="F14:J14"/>
    <mergeCell ref="K14:O14"/>
    <mergeCell ref="I16:O16"/>
    <mergeCell ref="F16:H16"/>
    <mergeCell ref="F15:I15"/>
    <mergeCell ref="J15:O15"/>
    <mergeCell ref="B8:D8"/>
    <mergeCell ref="B11:F11"/>
    <mergeCell ref="B14:C17"/>
    <mergeCell ref="D14:D17"/>
    <mergeCell ref="E14:E17"/>
    <mergeCell ref="B9:F9"/>
    <mergeCell ref="B10:F10"/>
  </mergeCells>
  <pageMargins left="0.74803149606299213" right="0.74803149606299213" top="0.98425196850393704" bottom="0.98425196850393704" header="0.51181102362204722" footer="0.51181102362204722"/>
  <pageSetup paperSize="9" scale="48" orientation="landscape" r:id="rId1"/>
  <headerFooter alignWithMargins="0"/>
  <customProperties>
    <customPr name="layoutContexts" r:id="rId2"/>
  </customProperties>
  <drawing r:id="rId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tabColor rgb="FF92D050"/>
    <pageSetUpPr autoPageBreaks="0" fitToPage="1"/>
  </sheetPr>
  <dimension ref="A1:ED54"/>
  <sheetViews>
    <sheetView showGridLines="0" topLeftCell="A13" zoomScale="85" zoomScaleNormal="85" workbookViewId="0">
      <selection activeCell="D33" sqref="D33:R33"/>
    </sheetView>
  </sheetViews>
  <sheetFormatPr defaultColWidth="9.140625" defaultRowHeight="12.75"/>
  <cols>
    <col min="1" max="1" width="16.28515625" style="92" bestFit="1" customWidth="1"/>
    <col min="2" max="2" width="54.42578125" style="92" customWidth="1"/>
    <col min="3" max="3" width="52.140625" style="92" customWidth="1"/>
    <col min="4" max="17" width="15.7109375" style="92" customWidth="1"/>
    <col min="18" max="18" width="14" customWidth="1"/>
    <col min="19" max="36" width="8.7109375" customWidth="1"/>
    <col min="37" max="16384" width="9.140625" style="92"/>
  </cols>
  <sheetData>
    <row r="1" spans="1:134" s="217" customFormat="1" ht="24.95" customHeight="1">
      <c r="B1" s="2272" t="str">
        <f>IF(dms_DataQuality="backcast",INDEX(dms_Worksheet_List,MATCH(dms_Model,dms_Model_List))&amp;" BACKCAST",INDEX(dms_Worksheet_List,MATCH(dms_Model,dms_Model_List)))</f>
        <v>REGULATORY REPORTING STATEMENT</v>
      </c>
      <c r="C1" s="518"/>
      <c r="D1" s="518"/>
      <c r="E1" s="518"/>
      <c r="F1" s="518"/>
      <c r="G1" s="518"/>
      <c r="H1" s="518"/>
      <c r="I1" s="518"/>
      <c r="J1" s="518"/>
      <c r="K1" s="518"/>
      <c r="L1" s="518"/>
      <c r="M1" s="518"/>
      <c r="N1" s="518"/>
      <c r="O1" s="518"/>
      <c r="P1" s="518"/>
      <c r="Q1" s="518"/>
      <c r="R1" s="518"/>
      <c r="S1"/>
      <c r="T1"/>
      <c r="U1"/>
      <c r="V1"/>
      <c r="W1"/>
      <c r="X1"/>
      <c r="Y1"/>
      <c r="Z1"/>
      <c r="AA1"/>
      <c r="AB1"/>
      <c r="AC1"/>
      <c r="AD1"/>
      <c r="AE1"/>
      <c r="AF1"/>
      <c r="AG1"/>
      <c r="AH1"/>
      <c r="AI1"/>
      <c r="AJ1"/>
    </row>
    <row r="2" spans="1:134" s="217" customFormat="1" ht="24.95" customHeight="1">
      <c r="B2" s="2277" t="str">
        <f>INDEX(dms_TradingNameFull_List,MATCH(dms_TradingName,dms_TradingName_List))</f>
        <v>Multinet Gas (DB No.1) Pty Ltd (ACN 086 026 986), Multinet Gas (DB No.2) Pty Ltd (ACN 086 230 122)</v>
      </c>
      <c r="C2" s="220"/>
      <c r="D2" s="220"/>
      <c r="E2" s="220"/>
      <c r="F2" s="220"/>
      <c r="G2" s="220"/>
      <c r="H2" s="220"/>
      <c r="I2" s="220"/>
      <c r="J2" s="220"/>
      <c r="K2" s="220"/>
      <c r="L2" s="220"/>
      <c r="M2" s="220"/>
      <c r="N2" s="220"/>
      <c r="O2" s="220"/>
      <c r="P2" s="220"/>
      <c r="Q2" s="220"/>
      <c r="R2" s="1267"/>
      <c r="S2"/>
      <c r="T2"/>
      <c r="U2"/>
      <c r="V2"/>
      <c r="W2"/>
      <c r="X2"/>
      <c r="Y2"/>
      <c r="Z2"/>
      <c r="AA2"/>
      <c r="AB2"/>
      <c r="AC2"/>
      <c r="AD2"/>
      <c r="AE2"/>
      <c r="AF2"/>
      <c r="AG2"/>
      <c r="AH2"/>
      <c r="AI2"/>
      <c r="AJ2"/>
    </row>
    <row r="3" spans="1:134" s="217" customFormat="1" ht="24.95" customHeight="1">
      <c r="B3" s="2277" t="str">
        <f ca="1">IF(SUM(dms_SingleYear_Model)&gt;0,CRY,CONCATENATE(FRCP_y1," to ",dms_MultiYear_FinalYear_Result))</f>
        <v>2018 to 2022</v>
      </c>
      <c r="C3" s="221"/>
      <c r="D3" s="221"/>
      <c r="E3" s="221"/>
      <c r="F3" s="221"/>
      <c r="G3" s="221"/>
      <c r="H3" s="221"/>
      <c r="I3" s="221"/>
      <c r="J3" s="221"/>
      <c r="K3" s="221"/>
      <c r="L3" s="221"/>
      <c r="M3" s="221"/>
      <c r="N3" s="221"/>
      <c r="O3" s="221"/>
      <c r="P3" s="221"/>
      <c r="Q3" s="221"/>
      <c r="R3" s="1265"/>
      <c r="S3"/>
      <c r="T3"/>
      <c r="U3"/>
      <c r="V3"/>
      <c r="W3"/>
      <c r="X3"/>
      <c r="Y3"/>
      <c r="Z3"/>
      <c r="AA3"/>
      <c r="AB3"/>
      <c r="AC3"/>
      <c r="AD3"/>
      <c r="AE3"/>
      <c r="AF3"/>
      <c r="AG3"/>
      <c r="AH3"/>
      <c r="AI3"/>
      <c r="AJ3"/>
    </row>
    <row r="4" spans="1:134" s="159" customFormat="1" ht="24" customHeight="1">
      <c r="B4" s="10" t="s">
        <v>386</v>
      </c>
      <c r="C4" s="12"/>
      <c r="D4" s="12"/>
      <c r="E4" s="12"/>
      <c r="F4" s="12"/>
      <c r="G4" s="12"/>
      <c r="H4" s="12"/>
      <c r="I4" s="12"/>
      <c r="J4" s="12"/>
      <c r="K4" s="12"/>
      <c r="L4" s="12"/>
      <c r="M4" s="12"/>
      <c r="N4" s="12"/>
      <c r="O4" s="12"/>
      <c r="P4" s="12"/>
      <c r="Q4" s="12"/>
      <c r="R4" s="12"/>
      <c r="S4"/>
      <c r="T4"/>
      <c r="U4"/>
      <c r="V4"/>
      <c r="W4"/>
      <c r="X4"/>
      <c r="Y4"/>
      <c r="Z4"/>
      <c r="AA4"/>
      <c r="AB4"/>
      <c r="AC4"/>
      <c r="AD4"/>
      <c r="AE4"/>
      <c r="AF4"/>
      <c r="AG4"/>
      <c r="AH4"/>
      <c r="AI4"/>
      <c r="AJ4"/>
    </row>
    <row r="5" spans="1:134" ht="23.25" customHeight="1">
      <c r="A5" s="391"/>
      <c r="B5" s="299"/>
      <c r="C5" s="299"/>
      <c r="D5" s="299"/>
      <c r="E5" s="299"/>
      <c r="F5" s="299"/>
      <c r="G5" s="299"/>
      <c r="H5" s="299"/>
      <c r="I5" s="299"/>
      <c r="J5" s="299"/>
      <c r="K5" s="299"/>
      <c r="L5" s="299"/>
      <c r="M5" s="299"/>
      <c r="N5" s="299"/>
      <c r="O5" s="299"/>
      <c r="P5" s="299"/>
      <c r="Q5"/>
    </row>
    <row r="6" spans="1:134" ht="28.5" customHeight="1">
      <c r="A6" s="299"/>
      <c r="B6" s="4729" t="s">
        <v>61</v>
      </c>
      <c r="C6" s="4729"/>
      <c r="D6" s="4729"/>
      <c r="E6" s="4729"/>
      <c r="F6" s="4729"/>
      <c r="G6"/>
      <c r="H6"/>
      <c r="I6"/>
      <c r="J6"/>
      <c r="K6"/>
      <c r="L6"/>
      <c r="M6"/>
    </row>
    <row r="7" spans="1:134" ht="20.25" customHeight="1">
      <c r="A7" s="299"/>
      <c r="B7" s="4730" t="s">
        <v>8</v>
      </c>
      <c r="C7" s="4730"/>
      <c r="D7" s="4730"/>
      <c r="E7" s="4730"/>
      <c r="F7" s="4730"/>
      <c r="G7"/>
      <c r="H7"/>
      <c r="I7"/>
      <c r="J7"/>
      <c r="K7"/>
      <c r="L7"/>
      <c r="M7"/>
    </row>
    <row r="8" spans="1:134" s="501" customFormat="1" ht="36.75" customHeight="1">
      <c r="A8" s="299"/>
      <c r="B8" s="4730" t="s">
        <v>749</v>
      </c>
      <c r="C8" s="4730"/>
      <c r="D8" s="4730"/>
      <c r="E8" s="4730"/>
      <c r="F8" s="4730"/>
      <c r="G8" s="1266"/>
      <c r="H8" s="1266"/>
      <c r="I8" s="1266"/>
      <c r="J8" s="1266"/>
      <c r="K8" s="1266"/>
      <c r="L8" s="1266"/>
      <c r="M8" s="92"/>
      <c r="N8" s="92"/>
      <c r="O8" s="92"/>
      <c r="P8" s="92"/>
      <c r="Q8" s="92"/>
      <c r="R8" s="92"/>
      <c r="S8" s="299"/>
      <c r="T8" s="299"/>
      <c r="U8" s="92"/>
      <c r="V8" s="92"/>
      <c r="W8" s="92"/>
      <c r="X8" s="92"/>
      <c r="Y8" s="92"/>
      <c r="Z8" s="92"/>
      <c r="AA8" s="92"/>
      <c r="AB8" s="92"/>
      <c r="AC8" s="92"/>
      <c r="AD8" s="92"/>
      <c r="AE8" s="92"/>
      <c r="AF8" s="92"/>
      <c r="AG8" s="92"/>
      <c r="AH8" s="92"/>
      <c r="AI8" s="92"/>
      <c r="AJ8" s="92"/>
      <c r="AK8" s="92"/>
      <c r="AL8" s="92"/>
      <c r="AM8" s="92"/>
      <c r="AN8" s="92"/>
      <c r="AO8" s="92"/>
      <c r="AP8" s="92"/>
      <c r="AQ8" s="92"/>
      <c r="AR8" s="92"/>
      <c r="AS8" s="92"/>
      <c r="AT8" s="92"/>
      <c r="AU8" s="92"/>
      <c r="AV8" s="92"/>
      <c r="AW8" s="92"/>
      <c r="AX8" s="92"/>
      <c r="AY8" s="92"/>
      <c r="AZ8" s="92"/>
      <c r="BA8" s="92"/>
      <c r="BB8" s="92"/>
      <c r="BC8" s="92"/>
      <c r="BD8" s="92"/>
      <c r="BE8" s="92"/>
      <c r="BF8" s="92"/>
      <c r="BG8" s="92"/>
      <c r="BH8" s="92"/>
      <c r="BI8" s="92"/>
      <c r="BJ8" s="92"/>
      <c r="BK8" s="92"/>
      <c r="BL8" s="92"/>
      <c r="BM8" s="92"/>
      <c r="BN8" s="92"/>
      <c r="BO8" s="92"/>
      <c r="BP8" s="92"/>
      <c r="BQ8" s="92"/>
      <c r="BR8" s="92"/>
      <c r="BS8" s="92"/>
      <c r="BT8" s="92"/>
      <c r="BU8" s="92"/>
      <c r="BV8" s="92"/>
      <c r="BW8" s="92"/>
      <c r="BX8" s="92"/>
      <c r="BY8" s="92"/>
      <c r="BZ8" s="92"/>
      <c r="CA8" s="92"/>
      <c r="CB8" s="92"/>
      <c r="CC8" s="92"/>
      <c r="CD8" s="92"/>
      <c r="CE8" s="92"/>
      <c r="CF8" s="92"/>
      <c r="CG8" s="92"/>
      <c r="CH8" s="92"/>
      <c r="CI8" s="92"/>
      <c r="CJ8" s="223"/>
      <c r="CK8" s="223"/>
      <c r="CL8" s="223"/>
      <c r="CM8" s="223"/>
      <c r="CN8" s="223"/>
      <c r="CO8" s="223"/>
      <c r="CP8" s="223"/>
      <c r="CQ8" s="223"/>
      <c r="CR8" s="223"/>
      <c r="CS8" s="223"/>
      <c r="CT8" s="223"/>
      <c r="CU8" s="223"/>
      <c r="CV8" s="223"/>
      <c r="CW8" s="223"/>
      <c r="CX8" s="223"/>
      <c r="CY8" s="223"/>
      <c r="CZ8" s="223"/>
      <c r="DA8" s="223"/>
      <c r="DB8" s="223"/>
      <c r="DC8" s="223"/>
      <c r="DD8" s="223"/>
      <c r="DE8" s="223"/>
      <c r="DF8" s="223"/>
      <c r="DG8" s="223"/>
      <c r="DH8" s="223"/>
      <c r="DI8" s="223"/>
      <c r="DJ8" s="223"/>
      <c r="DK8" s="223"/>
      <c r="DL8" s="223"/>
      <c r="DM8" s="223"/>
      <c r="DN8" s="223"/>
      <c r="DO8" s="223"/>
      <c r="DP8" s="223"/>
      <c r="DQ8" s="223"/>
      <c r="DR8" s="223"/>
      <c r="DS8" s="223"/>
      <c r="DT8" s="223"/>
    </row>
    <row r="9" spans="1:134" s="501" customFormat="1" ht="18.75" customHeight="1">
      <c r="A9" s="299"/>
      <c r="B9" s="4730" t="s">
        <v>748</v>
      </c>
      <c r="C9" s="4739"/>
      <c r="D9" s="4739"/>
      <c r="E9" s="4739"/>
      <c r="F9" s="4739"/>
      <c r="G9" s="1266"/>
      <c r="H9" s="1266"/>
      <c r="I9" s="1266"/>
      <c r="J9" s="1266"/>
      <c r="K9" s="1266"/>
      <c r="L9" s="1266"/>
      <c r="M9" s="92"/>
      <c r="N9" s="92"/>
      <c r="O9" s="92"/>
      <c r="P9" s="92"/>
      <c r="Q9" s="92"/>
      <c r="R9" s="92"/>
      <c r="S9" s="299"/>
      <c r="T9" s="299"/>
      <c r="U9" s="92"/>
      <c r="V9" s="92"/>
      <c r="W9" s="92"/>
      <c r="X9" s="92"/>
      <c r="Y9" s="92"/>
      <c r="Z9" s="92"/>
      <c r="AA9" s="92"/>
      <c r="AB9" s="92"/>
      <c r="AC9" s="92"/>
      <c r="AD9" s="92"/>
      <c r="AE9" s="92"/>
      <c r="AF9" s="92"/>
      <c r="AG9" s="92"/>
      <c r="AH9" s="92"/>
      <c r="AI9" s="92"/>
      <c r="AJ9" s="92"/>
      <c r="AK9" s="92"/>
      <c r="AL9" s="92"/>
      <c r="AM9" s="92"/>
      <c r="AN9" s="92"/>
      <c r="AO9" s="92"/>
      <c r="AP9" s="92"/>
      <c r="AQ9" s="92"/>
      <c r="AR9" s="92"/>
      <c r="AS9" s="92"/>
      <c r="AT9" s="92"/>
      <c r="AU9" s="92"/>
      <c r="AV9" s="92"/>
      <c r="AW9" s="92"/>
      <c r="AX9" s="92"/>
      <c r="AY9" s="92"/>
      <c r="AZ9" s="92"/>
      <c r="BA9" s="92"/>
      <c r="BB9" s="92"/>
      <c r="BC9" s="92"/>
      <c r="BD9" s="92"/>
      <c r="BE9" s="92"/>
      <c r="BF9" s="92"/>
      <c r="BG9" s="92"/>
      <c r="BH9" s="92"/>
      <c r="BI9" s="92"/>
      <c r="BJ9" s="92"/>
      <c r="BK9" s="92"/>
      <c r="BL9" s="92"/>
      <c r="BM9" s="92"/>
      <c r="BN9" s="92"/>
      <c r="BO9" s="92"/>
      <c r="BP9" s="92"/>
      <c r="BQ9" s="92"/>
      <c r="BR9" s="92"/>
      <c r="BS9" s="92"/>
      <c r="BT9" s="92"/>
      <c r="BU9" s="92"/>
      <c r="BV9" s="92"/>
      <c r="BW9" s="92"/>
      <c r="BX9" s="92"/>
      <c r="BY9" s="92"/>
      <c r="BZ9" s="92"/>
      <c r="CA9" s="92"/>
      <c r="CB9" s="92"/>
      <c r="CC9" s="92"/>
      <c r="CD9" s="92"/>
      <c r="CE9" s="92"/>
      <c r="CF9" s="92"/>
      <c r="CG9" s="92"/>
      <c r="CH9" s="92"/>
      <c r="CI9" s="92"/>
      <c r="CJ9" s="223"/>
      <c r="CK9" s="223"/>
      <c r="CL9" s="223"/>
      <c r="CM9" s="223"/>
      <c r="CN9" s="223"/>
      <c r="CO9" s="223"/>
      <c r="CP9" s="223"/>
      <c r="CQ9" s="223"/>
      <c r="CR9" s="223"/>
      <c r="CS9" s="223"/>
      <c r="CT9" s="223"/>
      <c r="CU9" s="223"/>
      <c r="CV9" s="223"/>
      <c r="CW9" s="223"/>
      <c r="CX9" s="223"/>
      <c r="CY9" s="223"/>
      <c r="CZ9" s="223"/>
      <c r="DA9" s="223"/>
      <c r="DB9" s="223"/>
      <c r="DC9" s="223"/>
      <c r="DD9" s="223"/>
      <c r="DE9" s="223"/>
      <c r="DF9" s="223"/>
      <c r="DG9" s="223"/>
      <c r="DH9" s="223"/>
      <c r="DI9" s="223"/>
      <c r="DJ9" s="223"/>
      <c r="DK9" s="223"/>
      <c r="DL9" s="223"/>
      <c r="DM9" s="223"/>
      <c r="DN9" s="223"/>
      <c r="DO9" s="223"/>
      <c r="DP9" s="223"/>
      <c r="DQ9" s="223"/>
      <c r="DR9" s="223"/>
      <c r="DS9" s="223"/>
      <c r="DT9" s="223"/>
    </row>
    <row r="10" spans="1:134" s="501" customFormat="1" ht="30.75" customHeight="1">
      <c r="A10" s="299"/>
      <c r="B10" s="4731" t="s">
        <v>0</v>
      </c>
      <c r="C10" s="4731"/>
      <c r="D10" s="4731"/>
      <c r="E10" s="4731"/>
      <c r="F10" s="4731"/>
      <c r="G10" s="1266"/>
      <c r="H10" s="1266"/>
      <c r="I10" s="1266"/>
      <c r="J10" s="1266"/>
      <c r="K10" s="1266"/>
      <c r="L10" s="1266"/>
      <c r="M10" s="92"/>
      <c r="N10" s="92"/>
      <c r="O10" s="92"/>
      <c r="P10" s="92"/>
      <c r="Q10" s="92"/>
      <c r="R10" s="92"/>
      <c r="S10" s="299"/>
      <c r="T10" s="299"/>
      <c r="U10" s="92"/>
      <c r="V10" s="92"/>
      <c r="W10" s="92"/>
      <c r="X10" s="92"/>
      <c r="Y10" s="92"/>
      <c r="Z10" s="92"/>
      <c r="AA10" s="92"/>
      <c r="AB10" s="92"/>
      <c r="AC10" s="92"/>
      <c r="AD10" s="92"/>
      <c r="AE10" s="92"/>
      <c r="AF10" s="92"/>
      <c r="AG10" s="92"/>
      <c r="AH10" s="92"/>
      <c r="AI10" s="92"/>
      <c r="AJ10" s="92"/>
      <c r="AK10" s="92"/>
      <c r="AL10" s="92"/>
      <c r="AM10" s="92"/>
      <c r="AN10" s="92"/>
      <c r="AO10" s="92"/>
      <c r="AP10" s="92"/>
      <c r="AQ10" s="92"/>
      <c r="AR10" s="92"/>
      <c r="AS10" s="92"/>
      <c r="AT10" s="92"/>
      <c r="AU10" s="92"/>
      <c r="AV10" s="92"/>
      <c r="AW10" s="92"/>
      <c r="AX10" s="92"/>
      <c r="AY10" s="92"/>
      <c r="AZ10" s="92"/>
      <c r="BA10" s="92"/>
      <c r="BB10" s="92"/>
      <c r="BC10" s="92"/>
      <c r="BD10" s="92"/>
      <c r="BE10" s="92"/>
      <c r="BF10" s="92"/>
      <c r="BG10" s="92"/>
      <c r="BH10" s="92"/>
      <c r="BI10" s="92"/>
      <c r="BJ10" s="92"/>
      <c r="BK10" s="92"/>
      <c r="BL10" s="92"/>
      <c r="BM10" s="92"/>
      <c r="BN10" s="92"/>
      <c r="BO10" s="92"/>
      <c r="BP10" s="92"/>
      <c r="BQ10" s="92"/>
      <c r="BR10" s="92"/>
      <c r="BS10" s="92"/>
      <c r="BT10" s="92"/>
      <c r="BU10" s="92"/>
      <c r="BV10" s="92"/>
      <c r="BW10" s="92"/>
      <c r="BX10" s="92"/>
      <c r="BY10" s="92"/>
      <c r="BZ10" s="92"/>
      <c r="CA10" s="92"/>
      <c r="CB10" s="92"/>
      <c r="CC10" s="92"/>
      <c r="CD10" s="92"/>
      <c r="CE10" s="92"/>
      <c r="CF10" s="92"/>
      <c r="CG10" s="92"/>
      <c r="CH10" s="92"/>
      <c r="CI10" s="92"/>
      <c r="CJ10" s="223"/>
      <c r="CK10" s="223"/>
      <c r="CL10" s="223"/>
      <c r="CM10" s="223"/>
      <c r="CN10" s="223"/>
      <c r="CO10" s="223"/>
      <c r="CP10" s="223"/>
      <c r="CQ10" s="223"/>
      <c r="CR10" s="223"/>
      <c r="CS10" s="223"/>
      <c r="CT10" s="223"/>
      <c r="CU10" s="223"/>
      <c r="CV10" s="223"/>
      <c r="CW10" s="223"/>
      <c r="CX10" s="223"/>
      <c r="CY10" s="223"/>
      <c r="CZ10" s="223"/>
      <c r="DA10" s="223"/>
      <c r="DB10" s="223"/>
      <c r="DC10" s="223"/>
      <c r="DD10" s="223"/>
      <c r="DE10" s="223"/>
      <c r="DF10" s="223"/>
      <c r="DG10" s="223"/>
      <c r="DH10" s="223"/>
      <c r="DI10" s="223"/>
      <c r="DJ10" s="223"/>
      <c r="DK10" s="223"/>
      <c r="DL10" s="223"/>
      <c r="DM10" s="223"/>
      <c r="DN10" s="223"/>
      <c r="DO10" s="223"/>
      <c r="DP10" s="223"/>
      <c r="DQ10" s="223"/>
      <c r="DR10" s="223"/>
      <c r="DS10" s="223"/>
      <c r="DT10" s="223"/>
    </row>
    <row r="11" spans="1:134" s="77" customFormat="1" ht="39" customHeight="1">
      <c r="A11" s="299"/>
      <c r="B11" s="4730" t="s">
        <v>757</v>
      </c>
      <c r="C11" s="4730"/>
      <c r="D11" s="4730"/>
      <c r="E11" s="4730"/>
      <c r="F11" s="4730"/>
      <c r="G11"/>
      <c r="H11"/>
      <c r="I11"/>
      <c r="J11"/>
      <c r="K11"/>
      <c r="L11"/>
      <c r="M11"/>
      <c r="N11" s="92"/>
      <c r="O11" s="92"/>
      <c r="P11" s="92"/>
      <c r="Q11" s="92"/>
      <c r="R11"/>
      <c r="S11"/>
      <c r="T11"/>
      <c r="U11"/>
      <c r="V11"/>
      <c r="W11"/>
      <c r="X11"/>
      <c r="Y11"/>
      <c r="Z11"/>
      <c r="AA11"/>
      <c r="AB11"/>
      <c r="AC11"/>
      <c r="AD11"/>
      <c r="AE11"/>
      <c r="AF11"/>
      <c r="AG11"/>
      <c r="AH11"/>
      <c r="AI11"/>
      <c r="AJ11"/>
      <c r="AK11" s="92"/>
      <c r="AL11" s="92"/>
      <c r="AM11" s="92"/>
      <c r="AN11" s="92"/>
      <c r="AO11" s="92"/>
      <c r="AP11" s="92"/>
      <c r="AQ11" s="92"/>
      <c r="AR11" s="92"/>
      <c r="AS11" s="92"/>
      <c r="AT11" s="92"/>
      <c r="AU11" s="92"/>
      <c r="AV11" s="92"/>
      <c r="AW11" s="92"/>
      <c r="AX11" s="92"/>
      <c r="AY11" s="92"/>
      <c r="AZ11" s="92"/>
      <c r="BA11" s="92"/>
      <c r="BB11" s="92"/>
      <c r="BC11" s="92"/>
      <c r="BD11" s="92"/>
      <c r="BE11" s="92"/>
      <c r="BF11" s="92"/>
      <c r="BG11" s="92"/>
      <c r="BH11" s="92"/>
      <c r="BI11" s="92"/>
      <c r="BJ11" s="92"/>
      <c r="BK11" s="92"/>
      <c r="BL11" s="92"/>
      <c r="BM11" s="92"/>
      <c r="BN11" s="92"/>
      <c r="BO11" s="92"/>
      <c r="BP11" s="92"/>
      <c r="BQ11" s="92"/>
      <c r="BR11" s="92"/>
      <c r="BS11" s="92"/>
      <c r="BT11" s="92"/>
      <c r="BU11" s="92"/>
      <c r="BV11" s="92"/>
      <c r="BW11" s="92"/>
      <c r="BX11" s="92"/>
      <c r="BY11" s="92"/>
      <c r="BZ11" s="92"/>
      <c r="CA11" s="92"/>
      <c r="CB11" s="92"/>
      <c r="CC11" s="92"/>
      <c r="CD11" s="92"/>
      <c r="CE11" s="92"/>
      <c r="CF11" s="92"/>
      <c r="CG11" s="92"/>
      <c r="CH11" s="92"/>
      <c r="CI11" s="78"/>
      <c r="CJ11" s="78"/>
      <c r="CK11" s="78"/>
      <c r="CL11" s="78"/>
      <c r="CM11" s="78"/>
      <c r="CN11" s="78"/>
      <c r="CO11" s="78"/>
      <c r="CP11" s="78"/>
      <c r="CQ11" s="78"/>
      <c r="CR11" s="78"/>
      <c r="CS11" s="78"/>
      <c r="CT11" s="78"/>
      <c r="CU11" s="78"/>
      <c r="CV11" s="78"/>
      <c r="CW11" s="78"/>
      <c r="CX11" s="78"/>
      <c r="CY11" s="78"/>
      <c r="CZ11" s="78"/>
      <c r="DA11" s="78"/>
      <c r="DB11" s="78"/>
      <c r="DC11" s="78"/>
      <c r="DD11" s="78"/>
      <c r="DE11" s="78"/>
      <c r="DF11" s="78"/>
      <c r="DG11" s="78"/>
      <c r="DH11" s="78"/>
      <c r="DI11" s="78"/>
      <c r="DJ11" s="78"/>
      <c r="DK11" s="78"/>
      <c r="DL11" s="78"/>
      <c r="DM11" s="78"/>
      <c r="DN11" s="78"/>
      <c r="DO11" s="78"/>
      <c r="DP11" s="78"/>
      <c r="DQ11" s="78"/>
      <c r="DR11" s="78"/>
      <c r="DS11" s="78"/>
    </row>
    <row r="12" spans="1:134" s="69" customFormat="1" ht="28.5" customHeight="1">
      <c r="A12" s="299"/>
      <c r="B12" s="4730"/>
      <c r="C12" s="4730"/>
      <c r="D12" s="4730"/>
      <c r="E12" s="4730"/>
      <c r="F12" s="4730"/>
      <c r="G12"/>
      <c r="H12"/>
      <c r="I12"/>
      <c r="J12"/>
      <c r="K12"/>
      <c r="L12"/>
      <c r="M12"/>
      <c r="N12" s="92"/>
      <c r="O12" s="92"/>
      <c r="P12" s="92"/>
      <c r="Q12" s="92"/>
      <c r="R12"/>
      <c r="S12"/>
      <c r="T12"/>
      <c r="U12"/>
      <c r="V12"/>
      <c r="W12"/>
      <c r="X12"/>
      <c r="Y12"/>
      <c r="Z12"/>
      <c r="AA12"/>
      <c r="AB12"/>
      <c r="AC12"/>
      <c r="AD12"/>
      <c r="AE12"/>
      <c r="AF12"/>
      <c r="AG12"/>
      <c r="AH12"/>
      <c r="AI12"/>
      <c r="AJ12"/>
      <c r="AK12" s="92"/>
      <c r="AL12" s="92"/>
      <c r="AM12" s="92"/>
      <c r="AN12" s="92"/>
      <c r="AO12" s="92"/>
      <c r="AP12" s="92"/>
      <c r="AQ12" s="92"/>
      <c r="AR12" s="92"/>
      <c r="AS12" s="92"/>
      <c r="AT12" s="92"/>
      <c r="AU12" s="92"/>
      <c r="AV12" s="92"/>
      <c r="AW12" s="92"/>
      <c r="AX12" s="92"/>
      <c r="AY12" s="92"/>
      <c r="AZ12" s="92"/>
      <c r="BA12" s="92"/>
      <c r="BB12" s="92"/>
      <c r="BC12" s="92"/>
      <c r="BD12" s="92"/>
      <c r="BE12" s="92"/>
      <c r="BF12" s="92"/>
      <c r="BG12" s="92"/>
      <c r="BH12" s="92"/>
      <c r="BI12" s="92"/>
      <c r="BJ12" s="92"/>
      <c r="BK12" s="92"/>
      <c r="BL12" s="92"/>
      <c r="BM12" s="92"/>
      <c r="BN12" s="92"/>
      <c r="BO12" s="92"/>
      <c r="BP12" s="92"/>
      <c r="BQ12" s="92"/>
      <c r="BR12" s="92"/>
      <c r="BS12" s="92"/>
      <c r="BT12" s="92"/>
      <c r="BU12" s="92"/>
      <c r="BV12" s="92"/>
      <c r="BW12" s="92"/>
      <c r="BX12" s="92"/>
      <c r="BY12" s="92"/>
      <c r="BZ12" s="92"/>
      <c r="CA12" s="92"/>
      <c r="CB12" s="92"/>
      <c r="CC12" s="92"/>
      <c r="CD12" s="92"/>
      <c r="CE12" s="92"/>
      <c r="CF12" s="92"/>
      <c r="CG12" s="92"/>
      <c r="CH12" s="92"/>
      <c r="CI12" s="92"/>
      <c r="CJ12" s="92"/>
      <c r="CK12" s="92"/>
      <c r="CL12" s="92"/>
      <c r="CM12" s="92"/>
      <c r="CN12" s="92"/>
      <c r="CO12" s="92"/>
      <c r="CP12" s="92"/>
      <c r="CQ12" s="92"/>
      <c r="CR12" s="92"/>
      <c r="CS12" s="92"/>
      <c r="CT12" s="92"/>
      <c r="CU12" s="92"/>
      <c r="CV12" s="92"/>
      <c r="CW12" s="92"/>
      <c r="CX12" s="92"/>
      <c r="CY12" s="92"/>
      <c r="CZ12" s="92"/>
      <c r="DA12" s="92"/>
      <c r="DB12" s="92"/>
      <c r="DC12" s="92"/>
      <c r="DD12" s="92"/>
    </row>
    <row r="13" spans="1:134">
      <c r="A13" s="299"/>
      <c r="DE13" s="69"/>
      <c r="DF13" s="69"/>
      <c r="DG13" s="69"/>
      <c r="DH13" s="69"/>
      <c r="DI13" s="69"/>
      <c r="DJ13" s="69"/>
      <c r="DK13" s="69"/>
      <c r="DL13" s="69"/>
      <c r="DM13" s="69"/>
      <c r="DN13" s="69"/>
      <c r="DO13" s="69"/>
      <c r="DP13" s="69"/>
      <c r="DQ13" s="69"/>
      <c r="DR13" s="69"/>
      <c r="DS13" s="69"/>
      <c r="DT13" s="69"/>
      <c r="DU13" s="69"/>
      <c r="DV13" s="69"/>
      <c r="DW13" s="69"/>
      <c r="DX13" s="69"/>
      <c r="DY13" s="69"/>
      <c r="DZ13" s="69"/>
      <c r="EA13" s="69"/>
      <c r="EB13" s="69"/>
      <c r="EC13" s="69"/>
      <c r="ED13" s="69"/>
    </row>
    <row r="14" spans="1:134" s="78" customFormat="1" ht="12.75" customHeight="1" thickBot="1">
      <c r="A14" s="299"/>
      <c r="B14" s="92"/>
      <c r="C14" s="92"/>
      <c r="D14" s="92"/>
      <c r="E14" s="92"/>
      <c r="F14" s="92"/>
      <c r="G14" s="92"/>
      <c r="H14" s="92"/>
      <c r="I14" s="92"/>
      <c r="J14" s="92"/>
      <c r="K14" s="92"/>
      <c r="L14" s="92"/>
      <c r="M14" s="92"/>
      <c r="N14" s="92"/>
      <c r="O14" s="92"/>
      <c r="P14" s="92"/>
      <c r="Q14" s="92"/>
      <c r="R14"/>
      <c r="S14"/>
      <c r="T14"/>
      <c r="U14"/>
      <c r="V14"/>
      <c r="W14"/>
      <c r="X14"/>
      <c r="Y14"/>
      <c r="Z14"/>
      <c r="AA14"/>
      <c r="AB14"/>
      <c r="AC14"/>
      <c r="AD14"/>
      <c r="AE14"/>
      <c r="AF14"/>
      <c r="AG14"/>
      <c r="AH14"/>
      <c r="AI14"/>
      <c r="AJ14"/>
      <c r="AK14" s="92"/>
      <c r="AL14" s="92"/>
      <c r="AM14" s="92"/>
      <c r="AN14" s="92"/>
      <c r="AO14" s="92"/>
      <c r="AP14" s="92"/>
      <c r="AQ14" s="92"/>
      <c r="AR14" s="92"/>
      <c r="AS14" s="92"/>
      <c r="AT14" s="92"/>
      <c r="AU14" s="92"/>
      <c r="AV14" s="92"/>
      <c r="AW14" s="92"/>
      <c r="AX14" s="92"/>
      <c r="AY14" s="92"/>
      <c r="AZ14" s="92"/>
      <c r="BA14" s="92"/>
      <c r="BB14" s="92"/>
      <c r="BC14" s="92"/>
      <c r="BD14" s="92"/>
      <c r="BE14" s="92"/>
      <c r="BF14" s="92"/>
      <c r="BG14" s="92"/>
      <c r="BH14" s="92"/>
      <c r="BI14" s="92"/>
      <c r="BJ14" s="92"/>
      <c r="BK14" s="92"/>
      <c r="BL14" s="92"/>
      <c r="BM14" s="92"/>
      <c r="BN14" s="92"/>
      <c r="BO14" s="92"/>
      <c r="BP14" s="92"/>
      <c r="BQ14" s="92"/>
      <c r="BR14" s="92"/>
      <c r="BS14" s="92"/>
      <c r="BT14" s="92"/>
      <c r="BU14" s="92"/>
      <c r="BV14" s="92"/>
      <c r="BW14" s="92"/>
      <c r="BX14" s="92"/>
      <c r="BY14" s="92"/>
      <c r="BZ14" s="92"/>
      <c r="CA14" s="92"/>
      <c r="CB14" s="92"/>
      <c r="CC14" s="92"/>
      <c r="CD14" s="92"/>
      <c r="CE14" s="92"/>
      <c r="CF14" s="92"/>
      <c r="CG14" s="92"/>
      <c r="CH14" s="92"/>
      <c r="CI14" s="92"/>
      <c r="CJ14" s="92"/>
      <c r="CK14" s="92"/>
      <c r="CL14" s="92"/>
      <c r="CM14" s="92"/>
      <c r="CN14" s="92"/>
      <c r="CO14" s="92"/>
      <c r="CP14" s="92"/>
      <c r="CQ14" s="92"/>
      <c r="CR14" s="92"/>
      <c r="CS14" s="92"/>
      <c r="CT14" s="92"/>
      <c r="CU14" s="92"/>
      <c r="CV14" s="92"/>
      <c r="CW14" s="92"/>
      <c r="CX14" s="92"/>
      <c r="CY14" s="92"/>
      <c r="CZ14" s="92"/>
      <c r="DA14" s="92"/>
      <c r="DB14" s="92"/>
      <c r="DC14" s="92"/>
      <c r="DD14" s="92"/>
      <c r="DE14" s="69"/>
      <c r="DF14" s="69"/>
      <c r="DG14" s="69"/>
      <c r="DH14" s="69"/>
      <c r="DI14" s="69"/>
      <c r="DJ14" s="69"/>
      <c r="DK14" s="69"/>
      <c r="DL14" s="69"/>
      <c r="DM14" s="69"/>
      <c r="DN14" s="69"/>
      <c r="DO14" s="69"/>
      <c r="DP14" s="69"/>
      <c r="DQ14" s="69"/>
      <c r="DR14" s="69"/>
      <c r="DS14" s="69"/>
      <c r="DT14" s="69"/>
      <c r="DU14" s="69"/>
      <c r="DV14" s="69"/>
      <c r="DW14" s="69"/>
      <c r="DX14" s="69"/>
      <c r="DY14" s="69"/>
      <c r="DZ14" s="69"/>
      <c r="EA14" s="69"/>
      <c r="EB14" s="69"/>
      <c r="EC14" s="69"/>
      <c r="ED14" s="69"/>
    </row>
    <row r="15" spans="1:134" s="223" customFormat="1" ht="12.75" customHeight="1" thickBot="1">
      <c r="A15" s="299"/>
      <c r="B15" s="833" t="s">
        <v>553</v>
      </c>
      <c r="C15" s="833"/>
      <c r="D15" s="863"/>
      <c r="E15" s="863"/>
      <c r="F15" s="863"/>
      <c r="G15" s="863"/>
      <c r="H15" s="863"/>
      <c r="I15" s="863"/>
      <c r="J15" s="863"/>
      <c r="K15" s="864"/>
      <c r="L15" s="864"/>
      <c r="M15" s="864"/>
      <c r="N15" s="864"/>
      <c r="O15" s="864"/>
      <c r="P15" s="864"/>
      <c r="Q15" s="864"/>
      <c r="R15" s="864"/>
      <c r="S15" s="1266"/>
      <c r="T15" s="1266"/>
      <c r="U15" s="1266"/>
      <c r="V15" s="1266"/>
      <c r="W15" s="1266"/>
      <c r="X15" s="1266"/>
      <c r="Y15" s="1266"/>
      <c r="Z15" s="1266"/>
      <c r="AA15" s="1266"/>
      <c r="AB15" s="1266"/>
      <c r="AC15" s="1266"/>
      <c r="AD15" s="1266"/>
      <c r="AE15" s="1266"/>
      <c r="AF15" s="1266"/>
      <c r="AG15" s="1266"/>
      <c r="AH15" s="1266"/>
      <c r="AI15" s="1266"/>
      <c r="AJ15" s="1266"/>
      <c r="AK15" s="92"/>
      <c r="AL15" s="92"/>
      <c r="AM15" s="92"/>
      <c r="AN15" s="92"/>
      <c r="AO15" s="92"/>
      <c r="AP15" s="92"/>
      <c r="AQ15" s="92"/>
      <c r="AR15" s="92"/>
      <c r="AS15" s="92"/>
      <c r="AT15" s="92"/>
      <c r="AU15" s="92"/>
      <c r="AV15" s="92"/>
      <c r="AW15" s="92"/>
      <c r="AX15" s="92"/>
      <c r="AY15" s="92"/>
      <c r="AZ15" s="92"/>
      <c r="BA15" s="92"/>
      <c r="BB15" s="92"/>
      <c r="BC15" s="92"/>
      <c r="BD15" s="92"/>
      <c r="BE15" s="92"/>
      <c r="BF15" s="92"/>
      <c r="BG15" s="92"/>
      <c r="BH15" s="92"/>
      <c r="BI15" s="92"/>
      <c r="BJ15" s="92"/>
      <c r="BK15" s="92"/>
      <c r="BL15" s="92"/>
      <c r="BM15" s="92"/>
      <c r="BN15" s="92"/>
      <c r="BO15" s="92"/>
      <c r="BP15" s="92"/>
      <c r="BQ15" s="92"/>
      <c r="BR15" s="92"/>
      <c r="BS15" s="92"/>
      <c r="BT15" s="92"/>
      <c r="BU15" s="92"/>
      <c r="BV15" s="92"/>
      <c r="BW15" s="92"/>
      <c r="BX15" s="92"/>
      <c r="BY15" s="92"/>
      <c r="BZ15" s="92"/>
      <c r="CA15" s="92"/>
      <c r="CB15" s="92"/>
      <c r="CC15" s="92"/>
      <c r="CD15" s="92"/>
      <c r="CE15" s="92"/>
      <c r="CF15" s="92"/>
      <c r="CG15" s="92"/>
      <c r="CH15" s="92"/>
      <c r="CI15" s="92"/>
      <c r="CJ15" s="92"/>
      <c r="CK15" s="92"/>
      <c r="CL15" s="92"/>
      <c r="CM15" s="92"/>
      <c r="CN15" s="92"/>
      <c r="CO15" s="92"/>
      <c r="CP15" s="92"/>
      <c r="CQ15" s="92"/>
      <c r="CR15" s="92"/>
      <c r="CS15" s="92"/>
      <c r="CT15" s="92"/>
      <c r="CU15" s="92"/>
      <c r="CV15" s="92"/>
      <c r="CW15" s="92"/>
      <c r="CX15" s="92"/>
      <c r="CY15" s="92"/>
      <c r="CZ15" s="92"/>
      <c r="DA15" s="92"/>
      <c r="DB15" s="92"/>
      <c r="DC15" s="92"/>
      <c r="DD15" s="92"/>
      <c r="DE15" s="1266"/>
      <c r="DF15" s="1266"/>
      <c r="DG15" s="1266"/>
      <c r="DH15" s="1266"/>
      <c r="DI15" s="1266"/>
      <c r="DJ15" s="1266"/>
      <c r="DK15" s="1266"/>
      <c r="DL15" s="1266"/>
      <c r="DM15" s="1266"/>
      <c r="DN15" s="1266"/>
      <c r="DO15" s="1266"/>
      <c r="DP15" s="1266"/>
      <c r="DQ15" s="1266"/>
      <c r="DR15" s="1266"/>
      <c r="DS15" s="1266"/>
      <c r="DT15" s="1266"/>
      <c r="DU15" s="1266"/>
      <c r="DV15" s="1266"/>
      <c r="DW15" s="1266"/>
      <c r="DX15" s="1266"/>
      <c r="DY15" s="1266"/>
      <c r="DZ15" s="1266"/>
      <c r="EA15" s="1266"/>
      <c r="EB15" s="1266"/>
      <c r="EC15" s="1266"/>
      <c r="ED15" s="1266"/>
    </row>
    <row r="16" spans="1:134">
      <c r="B16" s="4740"/>
      <c r="C16" s="4741"/>
      <c r="D16" s="4746" t="s">
        <v>36</v>
      </c>
      <c r="E16" s="4747"/>
      <c r="F16" s="4747"/>
      <c r="G16" s="4747"/>
      <c r="H16" s="4747"/>
      <c r="I16" s="4751" t="s">
        <v>37</v>
      </c>
      <c r="J16" s="4752"/>
      <c r="K16" s="4752"/>
      <c r="L16" s="4752"/>
      <c r="M16" s="4752"/>
      <c r="N16" s="4732" t="s">
        <v>75</v>
      </c>
      <c r="O16" s="4732"/>
      <c r="P16" s="4732"/>
      <c r="Q16" s="4732"/>
      <c r="R16" s="4733"/>
      <c r="S16" s="1266"/>
      <c r="T16" s="1266"/>
      <c r="U16" s="1266"/>
      <c r="V16" s="1266"/>
      <c r="W16" s="1266"/>
      <c r="X16" s="1266"/>
      <c r="Y16" s="1266"/>
      <c r="Z16" s="1266"/>
      <c r="AA16" s="1266"/>
      <c r="AB16" s="1266"/>
      <c r="AC16" s="1266"/>
      <c r="AD16" s="1266"/>
      <c r="AE16" s="1266"/>
      <c r="AF16" s="1266"/>
      <c r="AG16" s="1266"/>
      <c r="AH16" s="1266"/>
      <c r="AI16" s="1266"/>
      <c r="AJ16" s="1266"/>
    </row>
    <row r="17" spans="2:36">
      <c r="B17" s="4742"/>
      <c r="C17" s="4743"/>
      <c r="D17" s="4734" t="s">
        <v>706</v>
      </c>
      <c r="E17" s="4735"/>
      <c r="F17" s="4735"/>
      <c r="G17" s="4735"/>
      <c r="H17" s="4735"/>
      <c r="I17" s="4735"/>
      <c r="J17" s="4735"/>
      <c r="K17" s="4735"/>
      <c r="L17" s="4735"/>
      <c r="M17" s="4735"/>
      <c r="N17" s="4735"/>
      <c r="O17" s="4735"/>
      <c r="P17" s="4735"/>
      <c r="Q17" s="4735"/>
      <c r="R17" s="4736"/>
      <c r="S17" s="1266"/>
      <c r="T17" s="1266"/>
      <c r="U17" s="1266"/>
      <c r="V17" s="1266"/>
      <c r="W17" s="1266"/>
      <c r="X17" s="1266"/>
      <c r="Y17" s="1266"/>
      <c r="Z17" s="1266"/>
      <c r="AA17" s="1266"/>
      <c r="AB17" s="1266"/>
      <c r="AC17" s="1266"/>
      <c r="AD17" s="1266"/>
      <c r="AE17" s="1266"/>
      <c r="AF17" s="1266"/>
      <c r="AG17" s="1266"/>
      <c r="AH17" s="1266"/>
      <c r="AI17" s="1266"/>
      <c r="AJ17" s="1266"/>
    </row>
    <row r="18" spans="2:36">
      <c r="B18" s="4742"/>
      <c r="C18" s="4743"/>
      <c r="D18" s="4734" t="s">
        <v>56</v>
      </c>
      <c r="E18" s="4735"/>
      <c r="F18" s="4735"/>
      <c r="G18" s="4735"/>
      <c r="H18" s="4735"/>
      <c r="I18" s="4735"/>
      <c r="J18" s="4735"/>
      <c r="K18" s="4735"/>
      <c r="L18" s="4104" t="s">
        <v>57</v>
      </c>
      <c r="M18" s="4737"/>
      <c r="N18" s="4737"/>
      <c r="O18" s="4737"/>
      <c r="P18" s="4737"/>
      <c r="Q18" s="4737"/>
      <c r="R18" s="4738"/>
      <c r="S18" s="1266"/>
      <c r="T18" s="1266"/>
      <c r="U18" s="1266"/>
      <c r="V18" s="1266"/>
      <c r="W18" s="1266"/>
      <c r="X18" s="1266"/>
      <c r="Y18" s="1266"/>
      <c r="Z18" s="1266"/>
      <c r="AA18" s="1266"/>
      <c r="AB18" s="1266"/>
      <c r="AC18" s="1266"/>
      <c r="AD18" s="1266"/>
      <c r="AE18" s="1266"/>
      <c r="AF18" s="1266"/>
      <c r="AG18" s="1266"/>
      <c r="AH18" s="1266"/>
      <c r="AI18" s="1266"/>
      <c r="AJ18" s="1266"/>
    </row>
    <row r="19" spans="2:36" ht="13.5" thickBot="1">
      <c r="B19" s="4744"/>
      <c r="C19" s="4745"/>
      <c r="D19" s="3477">
        <f t="array" ref="D19:H19">PRCP</f>
        <v>2008</v>
      </c>
      <c r="E19" s="891">
        <v>2009</v>
      </c>
      <c r="F19" s="891">
        <v>2010</v>
      </c>
      <c r="G19" s="891">
        <v>2011</v>
      </c>
      <c r="H19" s="891">
        <v>2012</v>
      </c>
      <c r="I19" s="892">
        <f>CRCP_y1</f>
        <v>2013</v>
      </c>
      <c r="J19" s="892">
        <f>CRCP_y2</f>
        <v>2014</v>
      </c>
      <c r="K19" s="892">
        <f>CRCP_y3</f>
        <v>2015</v>
      </c>
      <c r="L19" s="892">
        <f>CRCP_y4</f>
        <v>2016</v>
      </c>
      <c r="M19" s="892">
        <f>CRCP_y5</f>
        <v>2017</v>
      </c>
      <c r="N19" s="891" t="str">
        <f t="array" ref="N19:R19">FRCP</f>
        <v>2018</v>
      </c>
      <c r="O19" s="891">
        <v>2019</v>
      </c>
      <c r="P19" s="891">
        <v>2020</v>
      </c>
      <c r="Q19" s="891">
        <v>2021</v>
      </c>
      <c r="R19" s="893">
        <v>2022</v>
      </c>
      <c r="S19" s="1266"/>
      <c r="T19" s="1266"/>
      <c r="U19" s="1266"/>
      <c r="V19" s="1266"/>
      <c r="W19" s="1266"/>
      <c r="X19" s="1266"/>
      <c r="Y19" s="1266"/>
      <c r="Z19" s="1266"/>
      <c r="AA19" s="1266"/>
      <c r="AB19" s="1266"/>
      <c r="AC19" s="1266"/>
      <c r="AD19" s="1266"/>
      <c r="AE19" s="1266"/>
      <c r="AF19" s="1266"/>
      <c r="AG19" s="1266"/>
      <c r="AH19" s="1266"/>
      <c r="AI19" s="1266"/>
      <c r="AJ19" s="1266"/>
    </row>
    <row r="20" spans="2:36" ht="13.5" thickBot="1">
      <c r="B20" s="3470"/>
      <c r="C20" s="2256"/>
      <c r="D20" s="2257"/>
      <c r="E20" s="2257"/>
      <c r="F20" s="2257"/>
      <c r="G20" s="2257"/>
      <c r="H20" s="2257"/>
      <c r="I20" s="2258"/>
      <c r="J20" s="2258"/>
      <c r="K20" s="2258"/>
      <c r="L20" s="2258"/>
      <c r="M20" s="2258"/>
      <c r="N20" s="2257"/>
      <c r="O20" s="2257"/>
      <c r="P20" s="2257"/>
      <c r="Q20" s="2257"/>
      <c r="R20" s="2257"/>
      <c r="S20" s="1266"/>
      <c r="T20" s="1266"/>
      <c r="U20" s="1266"/>
      <c r="V20" s="1266"/>
      <c r="W20" s="1266"/>
      <c r="X20" s="1266"/>
      <c r="Y20" s="1266"/>
      <c r="Z20" s="1266"/>
      <c r="AA20" s="1266"/>
      <c r="AB20" s="1266"/>
      <c r="AC20" s="1266"/>
      <c r="AD20" s="1266"/>
      <c r="AE20" s="1266"/>
      <c r="AF20" s="1266"/>
      <c r="AG20" s="1266"/>
      <c r="AH20" s="1266"/>
      <c r="AI20" s="1266"/>
      <c r="AJ20" s="1266"/>
    </row>
    <row r="21" spans="2:36" ht="15.75" thickBot="1">
      <c r="B21" s="771" t="s">
        <v>554</v>
      </c>
      <c r="C21" s="2259"/>
      <c r="D21" s="2260"/>
      <c r="E21" s="2260"/>
      <c r="F21" s="2260"/>
      <c r="G21" s="2260"/>
      <c r="H21" s="2260"/>
      <c r="I21" s="2261"/>
      <c r="J21" s="2261"/>
      <c r="K21" s="2261"/>
      <c r="L21" s="2261"/>
      <c r="M21" s="2261"/>
      <c r="N21" s="2260"/>
      <c r="O21" s="2260"/>
      <c r="P21" s="2260"/>
      <c r="Q21" s="2260"/>
      <c r="R21" s="1982"/>
      <c r="S21" s="1266"/>
      <c r="T21" s="1266"/>
      <c r="U21" s="1266"/>
      <c r="V21" s="1266"/>
      <c r="W21" s="1266"/>
      <c r="X21" s="1266"/>
      <c r="Y21" s="1266"/>
      <c r="Z21" s="1266"/>
      <c r="AA21" s="1266"/>
      <c r="AB21" s="1266"/>
      <c r="AC21" s="1266"/>
      <c r="AD21" s="1266"/>
      <c r="AE21" s="1266"/>
      <c r="AF21" s="1266"/>
      <c r="AG21" s="1266"/>
      <c r="AH21" s="1266"/>
      <c r="AI21" s="1266"/>
      <c r="AJ21" s="1266"/>
    </row>
    <row r="22" spans="2:36" ht="15.75" thickBot="1">
      <c r="B22" s="2265" t="s">
        <v>1619</v>
      </c>
      <c r="C22" s="2262"/>
      <c r="D22" s="2262"/>
      <c r="E22" s="2262"/>
      <c r="F22" s="2262"/>
      <c r="G22" s="2262"/>
      <c r="H22" s="2262"/>
      <c r="I22" s="2262"/>
      <c r="J22" s="2262"/>
      <c r="K22" s="2262"/>
      <c r="L22" s="2262"/>
      <c r="M22" s="2262"/>
      <c r="N22" s="2262"/>
      <c r="O22" s="2262"/>
      <c r="P22" s="2262"/>
      <c r="Q22" s="2262"/>
      <c r="R22" s="1867"/>
      <c r="S22" s="1266"/>
      <c r="T22" s="1266"/>
      <c r="U22" s="1266"/>
      <c r="V22" s="1266"/>
      <c r="W22" s="1266"/>
      <c r="X22" s="1266"/>
      <c r="Y22" s="1266"/>
      <c r="Z22" s="1266"/>
      <c r="AA22" s="1266"/>
      <c r="AB22" s="1266"/>
      <c r="AC22" s="1266"/>
      <c r="AD22" s="1266"/>
      <c r="AE22" s="1266"/>
      <c r="AF22" s="1266"/>
      <c r="AG22" s="1266"/>
      <c r="AH22" s="1266"/>
      <c r="AI22" s="1266"/>
      <c r="AJ22" s="1266"/>
    </row>
    <row r="23" spans="2:36" ht="15.75" thickBot="1">
      <c r="B23" s="2268" t="s">
        <v>1620</v>
      </c>
      <c r="C23" s="2264"/>
      <c r="D23" s="2264"/>
      <c r="E23" s="2264"/>
      <c r="F23" s="2264"/>
      <c r="G23" s="2264"/>
      <c r="H23" s="2264"/>
      <c r="I23" s="2264"/>
      <c r="J23" s="2264"/>
      <c r="K23" s="2264"/>
      <c r="L23" s="2264"/>
      <c r="M23" s="2264"/>
      <c r="N23" s="2264"/>
      <c r="O23" s="2264"/>
      <c r="P23" s="2264"/>
      <c r="Q23" s="2264"/>
      <c r="R23" s="1866"/>
      <c r="S23" s="1266"/>
      <c r="T23" s="1266"/>
      <c r="U23" s="1266"/>
      <c r="V23" s="1266"/>
      <c r="W23" s="1266"/>
      <c r="X23" s="1266"/>
      <c r="Y23" s="1266"/>
      <c r="Z23" s="1266"/>
      <c r="AA23" s="1266"/>
      <c r="AB23" s="1266"/>
      <c r="AC23" s="1266"/>
      <c r="AD23" s="1266"/>
      <c r="AE23" s="1266"/>
      <c r="AF23" s="1266"/>
      <c r="AG23" s="1266"/>
      <c r="AH23" s="1266"/>
      <c r="AI23" s="1266"/>
      <c r="AJ23" s="1266"/>
    </row>
    <row r="24" spans="2:36" ht="15.75" thickBot="1">
      <c r="B24" s="2270" t="str">
        <f>CONCATENATE("Table 27.1.1"," - ", B23)</f>
        <v>Table 27.1.1 - Tariff V</v>
      </c>
      <c r="C24" s="2264"/>
      <c r="D24" s="2264"/>
      <c r="E24" s="2264"/>
      <c r="F24" s="2264"/>
      <c r="G24" s="2264"/>
      <c r="H24" s="2264"/>
      <c r="I24" s="2264"/>
      <c r="J24" s="2264"/>
      <c r="K24" s="2264"/>
      <c r="L24" s="2264"/>
      <c r="M24" s="2264"/>
      <c r="N24" s="2264"/>
      <c r="O24" s="2264"/>
      <c r="P24" s="2264"/>
      <c r="Q24" s="2264"/>
      <c r="R24" s="1866"/>
      <c r="S24" s="1266"/>
      <c r="T24" s="1266"/>
      <c r="U24" s="1266"/>
      <c r="V24" s="1266"/>
      <c r="W24" s="1266"/>
      <c r="X24" s="1266"/>
      <c r="Y24" s="1266"/>
      <c r="Z24" s="1266"/>
      <c r="AA24" s="1266"/>
      <c r="AB24" s="1266"/>
      <c r="AC24" s="1266"/>
      <c r="AD24" s="1266"/>
      <c r="AE24" s="1266"/>
      <c r="AF24" s="1266"/>
      <c r="AG24" s="1266"/>
      <c r="AH24" s="1266"/>
      <c r="AI24" s="1266"/>
      <c r="AJ24" s="1266"/>
    </row>
    <row r="25" spans="2:36" ht="15.75" thickBot="1">
      <c r="B25" s="1427" t="str">
        <f>CONCATENATE("Residential customers"," : ", B23)</f>
        <v>Residential customers : Tariff V</v>
      </c>
      <c r="C25" s="2266"/>
      <c r="D25" s="2266"/>
      <c r="E25" s="2266"/>
      <c r="F25" s="2266"/>
      <c r="G25" s="2266"/>
      <c r="H25" s="2266"/>
      <c r="I25" s="2266"/>
      <c r="J25" s="2266"/>
      <c r="K25" s="2266"/>
      <c r="L25" s="2266"/>
      <c r="M25" s="2266"/>
      <c r="N25" s="2266"/>
      <c r="O25" s="2266"/>
      <c r="P25" s="2266"/>
      <c r="Q25" s="2266"/>
      <c r="R25" s="2267"/>
      <c r="S25" s="1266"/>
      <c r="T25" s="1266"/>
      <c r="U25" s="1266"/>
      <c r="V25" s="1266"/>
      <c r="W25" s="1266"/>
      <c r="X25" s="1266"/>
      <c r="Y25" s="1266"/>
      <c r="Z25" s="1266"/>
      <c r="AA25" s="1266"/>
      <c r="AB25" s="1266"/>
      <c r="AC25" s="1266"/>
      <c r="AD25" s="1266"/>
      <c r="AE25" s="1266"/>
      <c r="AF25" s="1266"/>
      <c r="AG25" s="1266"/>
      <c r="AH25" s="1266"/>
      <c r="AI25" s="1266"/>
      <c r="AJ25" s="1266"/>
    </row>
    <row r="26" spans="2:36" ht="13.5" thickBot="1">
      <c r="B26" s="4748" t="s">
        <v>746</v>
      </c>
      <c r="C26" s="3472" t="s">
        <v>744</v>
      </c>
      <c r="D26" s="1602">
        <f>'[18]27.2 Customer numbers Metro'!D26+'[18]27.3 Customer numbers YV'!D26+'[18]27.4 Customer numbers SG'!D26</f>
        <v>635148</v>
      </c>
      <c r="E26" s="480">
        <f>D27</f>
        <v>640187</v>
      </c>
      <c r="F26" s="480">
        <f>E27</f>
        <v>646520</v>
      </c>
      <c r="G26" s="480">
        <f>F27</f>
        <v>651551</v>
      </c>
      <c r="H26" s="480">
        <f>G27</f>
        <v>656512</v>
      </c>
      <c r="I26" s="1602">
        <f>'[18]27.2 Customer numbers Metro'!I26+'[18]27.3 Customer numbers YV'!I26+'[18]27.4 Customer numbers SG'!I26</f>
        <v>661744</v>
      </c>
      <c r="J26" s="480">
        <f>I27</f>
        <v>666324</v>
      </c>
      <c r="K26" s="480">
        <f>J27</f>
        <v>671048</v>
      </c>
      <c r="L26" s="480">
        <f>K27</f>
        <v>675018</v>
      </c>
      <c r="M26" s="480">
        <f>L27</f>
        <v>678068.50666847732</v>
      </c>
      <c r="N26" s="1602">
        <f>'[18]27.2 Customer numbers Metro'!N26+'[18]27.3 Customer numbers YV'!N26+'[18]27.4 Customer numbers SG'!N26</f>
        <v>681420</v>
      </c>
      <c r="O26" s="480">
        <f>N27</f>
        <v>685063.80371202121</v>
      </c>
      <c r="P26" s="480">
        <f>O27</f>
        <v>688840.12529261247</v>
      </c>
      <c r="Q26" s="480">
        <f>P27</f>
        <v>692594.03549417271</v>
      </c>
      <c r="R26" s="480">
        <f>Q27</f>
        <v>696331.82137670764</v>
      </c>
      <c r="S26" s="1266"/>
      <c r="T26" s="1266"/>
      <c r="U26" s="1266"/>
      <c r="V26" s="1266"/>
      <c r="W26" s="1266"/>
      <c r="X26" s="1266"/>
      <c r="Y26" s="1266"/>
      <c r="Z26" s="1266"/>
      <c r="AA26" s="1266"/>
      <c r="AB26" s="1266"/>
      <c r="AC26" s="1266"/>
      <c r="AD26" s="1266"/>
      <c r="AE26" s="1266"/>
      <c r="AF26" s="1266"/>
      <c r="AG26" s="1266"/>
      <c r="AH26" s="1266"/>
      <c r="AI26" s="1266"/>
      <c r="AJ26" s="1266"/>
    </row>
    <row r="27" spans="2:36">
      <c r="B27" s="4749"/>
      <c r="C27" s="3471" t="s">
        <v>745</v>
      </c>
      <c r="D27" s="1602">
        <f>'[18]27.2 Customer numbers Metro'!D27+'[18]27.3 Customer numbers YV'!D27+'[18]27.4 Customer numbers SG'!D27</f>
        <v>640187</v>
      </c>
      <c r="E27" s="1602">
        <f>'[18]27.2 Customer numbers Metro'!E27+'[18]27.3 Customer numbers YV'!E27+'[18]27.4 Customer numbers SG'!E27</f>
        <v>646520</v>
      </c>
      <c r="F27" s="1602">
        <f>'[18]27.2 Customer numbers Metro'!F27+'[18]27.3 Customer numbers YV'!F27+'[18]27.4 Customer numbers SG'!F27</f>
        <v>651551</v>
      </c>
      <c r="G27" s="1602">
        <f>'[18]27.2 Customer numbers Metro'!G27+'[18]27.3 Customer numbers YV'!G27+'[18]27.4 Customer numbers SG'!G27</f>
        <v>656512</v>
      </c>
      <c r="H27" s="1602">
        <f>'[18]27.2 Customer numbers Metro'!H27+'[18]27.3 Customer numbers YV'!H27+'[18]27.4 Customer numbers SG'!H27</f>
        <v>661744</v>
      </c>
      <c r="I27" s="1602">
        <f>'[18]27.2 Customer numbers Metro'!I27+'[18]27.3 Customer numbers YV'!I27+'[18]27.4 Customer numbers SG'!I27</f>
        <v>666324</v>
      </c>
      <c r="J27" s="1602">
        <f>'[18]27.2 Customer numbers Metro'!J27+'[18]27.3 Customer numbers YV'!J27+'[18]27.4 Customer numbers SG'!J27</f>
        <v>671048</v>
      </c>
      <c r="K27" s="1602">
        <f>'[18]27.2 Customer numbers Metro'!K27+'[18]27.3 Customer numbers YV'!K27+'[18]27.4 Customer numbers SG'!K27</f>
        <v>675018</v>
      </c>
      <c r="L27" s="1602">
        <f>'[18]27.2 Customer numbers Metro'!L27+'[18]27.3 Customer numbers YV'!L27+'[18]27.4 Customer numbers SG'!L27</f>
        <v>678068.50666847732</v>
      </c>
      <c r="M27" s="1602">
        <f>'[18]27.2 Customer numbers Metro'!M27+'[18]27.3 Customer numbers YV'!M27+'[18]27.4 Customer numbers SG'!M27</f>
        <v>681420.10702551063</v>
      </c>
      <c r="N27" s="1602">
        <f>'[18]27.2 Customer numbers Metro'!N27+'[18]27.3 Customer numbers YV'!N27+'[18]27.4 Customer numbers SG'!N27</f>
        <v>685063.80371202121</v>
      </c>
      <c r="O27" s="1602">
        <f>'[18]27.2 Customer numbers Metro'!O27+'[18]27.3 Customer numbers YV'!O27+'[18]27.4 Customer numbers SG'!O27</f>
        <v>688840.12529261247</v>
      </c>
      <c r="P27" s="1602">
        <f>'[18]27.2 Customer numbers Metro'!P27+'[18]27.3 Customer numbers YV'!P27+'[18]27.4 Customer numbers SG'!P27</f>
        <v>692594.03549417271</v>
      </c>
      <c r="Q27" s="1602">
        <f>'[18]27.2 Customer numbers Metro'!Q27+'[18]27.3 Customer numbers YV'!Q27+'[18]27.4 Customer numbers SG'!Q27</f>
        <v>696331.82137670764</v>
      </c>
      <c r="R27" s="1602">
        <f>'[18]27.2 Customer numbers Metro'!R27+'[18]27.3 Customer numbers YV'!R27+'[18]27.4 Customer numbers SG'!R27</f>
        <v>699909.88351385645</v>
      </c>
      <c r="S27" s="1266"/>
      <c r="T27" s="1266"/>
      <c r="U27" s="1266"/>
      <c r="V27" s="1266"/>
      <c r="W27" s="1266"/>
      <c r="X27" s="1266"/>
      <c r="Y27" s="1266"/>
      <c r="Z27" s="1266"/>
      <c r="AA27" s="1266"/>
      <c r="AB27" s="1266"/>
      <c r="AC27" s="1266"/>
      <c r="AD27" s="1266"/>
      <c r="AE27" s="1266"/>
      <c r="AF27" s="1266"/>
      <c r="AG27" s="1266"/>
      <c r="AH27" s="1266"/>
      <c r="AI27" s="1266"/>
      <c r="AJ27" s="1266"/>
    </row>
    <row r="28" spans="2:36" ht="13.5" thickBot="1">
      <c r="B28" s="4749"/>
      <c r="C28" s="3471" t="s">
        <v>70</v>
      </c>
      <c r="D28" s="384">
        <f>IF(ISERROR(AVERAGE(D26:D27)),0,AVERAGE(D26:D27))</f>
        <v>637667.5</v>
      </c>
      <c r="E28" s="384">
        <f t="shared" ref="E28:R28" si="0">IF(ISERROR(AVERAGE(E26:E27)),0,AVERAGE(E26:E27))</f>
        <v>643353.5</v>
      </c>
      <c r="F28" s="384">
        <f t="shared" si="0"/>
        <v>649035.5</v>
      </c>
      <c r="G28" s="384">
        <f t="shared" si="0"/>
        <v>654031.5</v>
      </c>
      <c r="H28" s="384">
        <f t="shared" si="0"/>
        <v>659128</v>
      </c>
      <c r="I28" s="384">
        <f t="shared" si="0"/>
        <v>664034</v>
      </c>
      <c r="J28" s="384">
        <f t="shared" si="0"/>
        <v>668686</v>
      </c>
      <c r="K28" s="384">
        <f t="shared" si="0"/>
        <v>673033</v>
      </c>
      <c r="L28" s="384">
        <f t="shared" si="0"/>
        <v>676543.25333423866</v>
      </c>
      <c r="M28" s="384">
        <f t="shared" si="0"/>
        <v>679744.30684699398</v>
      </c>
      <c r="N28" s="384">
        <f t="shared" si="0"/>
        <v>683241.90185601055</v>
      </c>
      <c r="O28" s="384">
        <f t="shared" si="0"/>
        <v>686951.9645023169</v>
      </c>
      <c r="P28" s="384">
        <f t="shared" si="0"/>
        <v>690717.08039339259</v>
      </c>
      <c r="Q28" s="384">
        <f t="shared" si="0"/>
        <v>694462.92843544018</v>
      </c>
      <c r="R28" s="384">
        <f t="shared" si="0"/>
        <v>698120.85244528204</v>
      </c>
      <c r="S28" s="1266"/>
      <c r="T28" s="1266"/>
      <c r="U28" s="1266"/>
      <c r="V28" s="1266"/>
      <c r="W28" s="1266"/>
      <c r="X28" s="1266"/>
      <c r="Y28" s="1266"/>
      <c r="Z28" s="1266"/>
      <c r="AA28" s="1266"/>
      <c r="AB28" s="1266"/>
      <c r="AC28" s="1266"/>
      <c r="AD28" s="1266"/>
      <c r="AE28" s="1266"/>
      <c r="AF28" s="1266"/>
      <c r="AG28" s="1266"/>
      <c r="AH28" s="1266"/>
      <c r="AI28" s="1266"/>
      <c r="AJ28" s="1266"/>
    </row>
    <row r="29" spans="2:36" ht="13.5" thickBot="1">
      <c r="B29" s="4749"/>
      <c r="C29" s="3471" t="s">
        <v>71</v>
      </c>
      <c r="D29" s="1602">
        <f>'[18]27.2 Customer numbers Metro'!D29+'[18]27.3 Customer numbers YV'!D29+'[18]27.4 Customer numbers SG'!D29</f>
        <v>7537</v>
      </c>
      <c r="E29" s="1602">
        <f>'[18]27.2 Customer numbers Metro'!E29+'[18]27.3 Customer numbers YV'!E29+'[18]27.4 Customer numbers SG'!E29</f>
        <v>7743</v>
      </c>
      <c r="F29" s="1602">
        <f>'[18]27.2 Customer numbers Metro'!F29+'[18]27.3 Customer numbers YV'!F29+'[18]27.4 Customer numbers SG'!F29</f>
        <v>6890</v>
      </c>
      <c r="G29" s="1602">
        <f>'[18]27.2 Customer numbers Metro'!G29+'[18]27.3 Customer numbers YV'!G29+'[18]27.4 Customer numbers SG'!G29</f>
        <v>7670</v>
      </c>
      <c r="H29" s="1602">
        <f>'[18]27.2 Customer numbers Metro'!H29+'[18]27.3 Customer numbers YV'!H29+'[18]27.4 Customer numbers SG'!H29</f>
        <v>7922.3435616085499</v>
      </c>
      <c r="I29" s="1602">
        <f>'[18]27.2 Customer numbers Metro'!I29+'[18]27.3 Customer numbers YV'!I29+'[18]27.4 Customer numbers SG'!I29</f>
        <v>0</v>
      </c>
      <c r="J29" s="1602">
        <f>'[18]27.2 Customer numbers Metro'!J29+'[18]27.3 Customer numbers YV'!J29+'[18]27.4 Customer numbers SG'!J29</f>
        <v>0</v>
      </c>
      <c r="K29" s="1602">
        <f>'[18]27.2 Customer numbers Metro'!K29+'[18]27.3 Customer numbers YV'!K29+'[18]27.4 Customer numbers SG'!K29</f>
        <v>0</v>
      </c>
      <c r="L29" s="1602">
        <f>'[18]27.2 Customer numbers Metro'!L29+'[18]27.3 Customer numbers YV'!L29+'[18]27.4 Customer numbers SG'!L29</f>
        <v>0</v>
      </c>
      <c r="M29" s="1602">
        <f>'[18]27.2 Customer numbers Metro'!M29+'[18]27.3 Customer numbers YV'!M29+'[18]27.4 Customer numbers SG'!M29</f>
        <v>0</v>
      </c>
      <c r="N29" s="1602">
        <f>'[18]27.2 Customer numbers Metro'!N29+'[18]27.3 Customer numbers YV'!N29+'[18]27.4 Customer numbers SG'!N29</f>
        <v>0</v>
      </c>
      <c r="O29" s="1602">
        <f>'[18]27.2 Customer numbers Metro'!O29+'[18]27.3 Customer numbers YV'!O29+'[18]27.4 Customer numbers SG'!O29</f>
        <v>0</v>
      </c>
      <c r="P29" s="1602">
        <f>'[18]27.2 Customer numbers Metro'!P29+'[18]27.3 Customer numbers YV'!P29+'[18]27.4 Customer numbers SG'!P29</f>
        <v>0</v>
      </c>
      <c r="Q29" s="1602">
        <f>'[18]27.2 Customer numbers Metro'!Q29+'[18]27.3 Customer numbers YV'!Q29+'[18]27.4 Customer numbers SG'!Q29</f>
        <v>0</v>
      </c>
      <c r="R29" s="1602">
        <f>'[18]27.2 Customer numbers Metro'!R29+'[18]27.3 Customer numbers YV'!R29+'[18]27.4 Customer numbers SG'!R29</f>
        <v>0</v>
      </c>
      <c r="S29" s="1266"/>
      <c r="T29" s="1266"/>
      <c r="U29" s="1266"/>
      <c r="V29" s="1266"/>
      <c r="W29" s="1266"/>
      <c r="X29" s="1266"/>
      <c r="Y29" s="1266"/>
      <c r="Z29" s="1266"/>
      <c r="AA29" s="1266"/>
      <c r="AB29" s="1266"/>
      <c r="AC29" s="1266"/>
      <c r="AD29" s="1266"/>
      <c r="AE29" s="1266"/>
      <c r="AF29" s="1266"/>
      <c r="AG29" s="1266"/>
      <c r="AH29" s="1266"/>
      <c r="AI29" s="1266"/>
      <c r="AJ29" s="1266"/>
    </row>
    <row r="30" spans="2:36" ht="13.5" thickBot="1">
      <c r="B30" s="4750"/>
      <c r="C30" s="1596" t="s">
        <v>60</v>
      </c>
      <c r="D30" s="1602">
        <f>'[18]27.2 Customer numbers Metro'!D30+'[18]27.3 Customer numbers YV'!D30+'[18]27.4 Customer numbers SG'!D30</f>
        <v>3033</v>
      </c>
      <c r="E30" s="1602">
        <f>'[18]27.2 Customer numbers Metro'!E30+'[18]27.3 Customer numbers YV'!E30+'[18]27.4 Customer numbers SG'!E30</f>
        <v>2672</v>
      </c>
      <c r="F30" s="1602">
        <f>'[18]27.2 Customer numbers Metro'!F30+'[18]27.3 Customer numbers YV'!F30+'[18]27.4 Customer numbers SG'!F30</f>
        <v>3031</v>
      </c>
      <c r="G30" s="1602">
        <f>'[18]27.2 Customer numbers Metro'!G30+'[18]27.3 Customer numbers YV'!G30+'[18]27.4 Customer numbers SG'!G30</f>
        <v>3546</v>
      </c>
      <c r="H30" s="1602">
        <f>'[18]27.2 Customer numbers Metro'!H30+'[18]27.3 Customer numbers YV'!H30+'[18]27.4 Customer numbers SG'!H30</f>
        <v>2883.1800942775753</v>
      </c>
      <c r="I30" s="1602">
        <f>'[18]27.2 Customer numbers Metro'!I30+'[18]27.3 Customer numbers YV'!I30+'[18]27.4 Customer numbers SG'!I30</f>
        <v>0</v>
      </c>
      <c r="J30" s="1602">
        <f>'[18]27.2 Customer numbers Metro'!J30+'[18]27.3 Customer numbers YV'!J30+'[18]27.4 Customer numbers SG'!J30</f>
        <v>0</v>
      </c>
      <c r="K30" s="1602">
        <f>'[18]27.2 Customer numbers Metro'!K30+'[18]27.3 Customer numbers YV'!K30+'[18]27.4 Customer numbers SG'!K30</f>
        <v>0</v>
      </c>
      <c r="L30" s="1602">
        <f>'[18]27.2 Customer numbers Metro'!L30+'[18]27.3 Customer numbers YV'!L30+'[18]27.4 Customer numbers SG'!L30</f>
        <v>0</v>
      </c>
      <c r="M30" s="1602">
        <f>'[18]27.2 Customer numbers Metro'!M30+'[18]27.3 Customer numbers YV'!M30+'[18]27.4 Customer numbers SG'!M30</f>
        <v>0</v>
      </c>
      <c r="N30" s="1602">
        <f>'[18]27.2 Customer numbers Metro'!N30+'[18]27.3 Customer numbers YV'!N30+'[18]27.4 Customer numbers SG'!N30</f>
        <v>0</v>
      </c>
      <c r="O30" s="1602">
        <f>'[18]27.2 Customer numbers Metro'!O30+'[18]27.3 Customer numbers YV'!O30+'[18]27.4 Customer numbers SG'!O30</f>
        <v>0</v>
      </c>
      <c r="P30" s="1602">
        <f>'[18]27.2 Customer numbers Metro'!P30+'[18]27.3 Customer numbers YV'!P30+'[18]27.4 Customer numbers SG'!P30</f>
        <v>0</v>
      </c>
      <c r="Q30" s="1602">
        <f>'[18]27.2 Customer numbers Metro'!Q30+'[18]27.3 Customer numbers YV'!Q30+'[18]27.4 Customer numbers SG'!Q30</f>
        <v>0</v>
      </c>
      <c r="R30" s="1602">
        <f>'[18]27.2 Customer numbers Metro'!R30+'[18]27.3 Customer numbers YV'!R30+'[18]27.4 Customer numbers SG'!R30</f>
        <v>0</v>
      </c>
      <c r="S30" s="1266"/>
      <c r="T30" s="1266"/>
      <c r="U30" s="1266"/>
      <c r="V30" s="1266"/>
      <c r="W30" s="1266"/>
      <c r="X30" s="1266"/>
      <c r="Y30" s="1266"/>
      <c r="Z30" s="1266"/>
      <c r="AA30" s="1266"/>
      <c r="AB30" s="1266"/>
      <c r="AC30" s="1266"/>
      <c r="AD30" s="1266"/>
      <c r="AE30" s="1266"/>
      <c r="AF30" s="1266"/>
      <c r="AG30" s="1266"/>
      <c r="AH30" s="1266"/>
      <c r="AI30" s="1266"/>
      <c r="AJ30" s="1266"/>
    </row>
    <row r="31" spans="2:36" ht="15.75" thickBot="1">
      <c r="B31" s="2270" t="str">
        <f>CONCATENATE("Commercial/industrial customers"," : ",B23)</f>
        <v>Commercial/industrial customers : Tariff V</v>
      </c>
      <c r="C31" s="2262"/>
      <c r="D31" s="2262"/>
      <c r="E31" s="2262"/>
      <c r="F31" s="2262"/>
      <c r="G31" s="2262"/>
      <c r="H31" s="2262"/>
      <c r="I31" s="2262"/>
      <c r="J31" s="2262"/>
      <c r="K31" s="2262"/>
      <c r="L31" s="2262"/>
      <c r="M31" s="2262"/>
      <c r="N31" s="2262"/>
      <c r="O31" s="2262"/>
      <c r="P31" s="2262"/>
      <c r="Q31" s="2262"/>
      <c r="R31" s="1867"/>
      <c r="S31" s="1266"/>
      <c r="T31" s="1266"/>
      <c r="U31" s="1266"/>
      <c r="V31" s="1266"/>
      <c r="W31" s="1266"/>
      <c r="X31" s="1266"/>
      <c r="Y31" s="1266"/>
      <c r="Z31" s="1266"/>
      <c r="AA31" s="1266"/>
      <c r="AB31" s="1266"/>
      <c r="AC31" s="1266"/>
      <c r="AD31" s="1266"/>
      <c r="AE31" s="1266"/>
      <c r="AF31" s="1266"/>
      <c r="AG31" s="1266"/>
      <c r="AH31" s="1266"/>
      <c r="AI31" s="1266"/>
      <c r="AJ31" s="1266"/>
    </row>
    <row r="32" spans="2:36" ht="13.5" thickBot="1">
      <c r="B32" s="4748" t="s">
        <v>747</v>
      </c>
      <c r="C32" s="3472" t="s">
        <v>744</v>
      </c>
      <c r="D32" s="1602">
        <f>'[18]27.2 Customer numbers Metro'!D32+'[18]27.3 Customer numbers YV'!D32+'[18]27.4 Customer numbers SG'!D32</f>
        <v>16677</v>
      </c>
      <c r="E32" s="480">
        <f>D33</f>
        <v>16599</v>
      </c>
      <c r="F32" s="480">
        <f>E33</f>
        <v>16530</v>
      </c>
      <c r="G32" s="480">
        <f>F33</f>
        <v>16537</v>
      </c>
      <c r="H32" s="480">
        <f>G33</f>
        <v>16498</v>
      </c>
      <c r="I32" s="1602">
        <f>'[18]27.2 Customer numbers Metro'!I32+'[18]27.3 Customer numbers YV'!I32+'[18]27.4 Customer numbers SG'!I32</f>
        <v>16287</v>
      </c>
      <c r="J32" s="480">
        <f>I33</f>
        <v>16211</v>
      </c>
      <c r="K32" s="480">
        <f>J33</f>
        <v>16186</v>
      </c>
      <c r="L32" s="480">
        <f>K33</f>
        <v>15914</v>
      </c>
      <c r="M32" s="480">
        <f>L33</f>
        <v>15680</v>
      </c>
      <c r="N32" s="1602">
        <f>'[18]27.2 Customer numbers Metro'!N32+'[18]27.3 Customer numbers YV'!N32+'[18]27.4 Customer numbers SG'!N32</f>
        <v>15517</v>
      </c>
      <c r="O32" s="480">
        <f>N33</f>
        <v>15524.096383178001</v>
      </c>
      <c r="P32" s="480">
        <f>O33</f>
        <v>15388.011010389335</v>
      </c>
      <c r="Q32" s="480">
        <f>P33</f>
        <v>15289.628843954948</v>
      </c>
      <c r="R32" s="480">
        <f>Q33</f>
        <v>14973.531106043336</v>
      </c>
      <c r="S32" s="1266"/>
      <c r="T32" s="1266"/>
      <c r="U32" s="1266"/>
      <c r="V32" s="1266"/>
      <c r="W32" s="1266"/>
      <c r="X32" s="1266"/>
      <c r="Y32" s="1266"/>
      <c r="Z32" s="1266"/>
      <c r="AA32" s="1266"/>
      <c r="AB32" s="1266"/>
      <c r="AC32" s="1266"/>
      <c r="AD32" s="1266"/>
      <c r="AE32" s="1266"/>
      <c r="AF32" s="1266"/>
      <c r="AG32" s="1266"/>
      <c r="AH32" s="1266"/>
      <c r="AI32" s="1266"/>
      <c r="AJ32" s="1266"/>
    </row>
    <row r="33" spans="2:36">
      <c r="B33" s="4749"/>
      <c r="C33" s="3471" t="s">
        <v>745</v>
      </c>
      <c r="D33" s="1602">
        <f>'[18]27.2 Customer numbers Metro'!D33+'[18]27.3 Customer numbers YV'!D33+'[18]27.4 Customer numbers SG'!D33</f>
        <v>16599</v>
      </c>
      <c r="E33" s="1602">
        <f>'[18]27.2 Customer numbers Metro'!E33+'[18]27.3 Customer numbers YV'!E33+'[18]27.4 Customer numbers SG'!E33</f>
        <v>16530</v>
      </c>
      <c r="F33" s="1602">
        <f>'[18]27.2 Customer numbers Metro'!F33+'[18]27.3 Customer numbers YV'!F33+'[18]27.4 Customer numbers SG'!F33</f>
        <v>16537</v>
      </c>
      <c r="G33" s="1602">
        <f>'[18]27.2 Customer numbers Metro'!G33+'[18]27.3 Customer numbers YV'!G33+'[18]27.4 Customer numbers SG'!G33</f>
        <v>16498</v>
      </c>
      <c r="H33" s="1602">
        <f>'[18]27.2 Customer numbers Metro'!H33+'[18]27.3 Customer numbers YV'!H33+'[18]27.4 Customer numbers SG'!H33</f>
        <v>16274</v>
      </c>
      <c r="I33" s="1602">
        <f>'[18]27.2 Customer numbers Metro'!I33+'[18]27.3 Customer numbers YV'!I33+'[18]27.4 Customer numbers SG'!I33</f>
        <v>16211</v>
      </c>
      <c r="J33" s="1602">
        <f>'[18]27.2 Customer numbers Metro'!J33+'[18]27.3 Customer numbers YV'!J33+'[18]27.4 Customer numbers SG'!J33</f>
        <v>16186</v>
      </c>
      <c r="K33" s="1602">
        <f>'[18]27.2 Customer numbers Metro'!K33+'[18]27.3 Customer numbers YV'!K33+'[18]27.4 Customer numbers SG'!K33</f>
        <v>15914</v>
      </c>
      <c r="L33" s="1602">
        <f>'[18]27.2 Customer numbers Metro'!L33+'[18]27.3 Customer numbers YV'!L33+'[18]27.4 Customer numbers SG'!L33</f>
        <v>15680</v>
      </c>
      <c r="M33" s="1602">
        <f>'[18]27.2 Customer numbers Metro'!M33+'[18]27.3 Customer numbers YV'!M33+'[18]27.4 Customer numbers SG'!M33</f>
        <v>15617.983166244572</v>
      </c>
      <c r="N33" s="1602">
        <f>'[18]27.2 Customer numbers Metro'!N33+'[18]27.3 Customer numbers YV'!N33+'[18]27.4 Customer numbers SG'!N33</f>
        <v>15524.096383178001</v>
      </c>
      <c r="O33" s="1602">
        <f>'[18]27.2 Customer numbers Metro'!O33+'[18]27.3 Customer numbers YV'!O33+'[18]27.4 Customer numbers SG'!O33</f>
        <v>15388.011010389335</v>
      </c>
      <c r="P33" s="1602">
        <f>'[18]27.2 Customer numbers Metro'!P33+'[18]27.3 Customer numbers YV'!P33+'[18]27.4 Customer numbers SG'!P33</f>
        <v>15289.628843954948</v>
      </c>
      <c r="Q33" s="1602">
        <f>'[18]27.2 Customer numbers Metro'!Q33+'[18]27.3 Customer numbers YV'!Q33+'[18]27.4 Customer numbers SG'!Q33</f>
        <v>14973.531106043336</v>
      </c>
      <c r="R33" s="1602">
        <f>'[18]27.2 Customer numbers Metro'!R33+'[18]27.3 Customer numbers YV'!R33+'[18]27.4 Customer numbers SG'!R33</f>
        <v>14898.180545197594</v>
      </c>
      <c r="S33" s="1266"/>
      <c r="T33" s="1266"/>
      <c r="U33" s="1266"/>
      <c r="V33" s="1266"/>
      <c r="W33" s="1266"/>
      <c r="X33" s="1266"/>
      <c r="Y33" s="1266"/>
      <c r="Z33" s="1266"/>
      <c r="AA33" s="1266"/>
      <c r="AB33" s="1266"/>
      <c r="AC33" s="1266"/>
      <c r="AD33" s="1266"/>
      <c r="AE33" s="1266"/>
      <c r="AF33" s="1266"/>
      <c r="AG33" s="1266"/>
      <c r="AH33" s="1266"/>
      <c r="AI33" s="1266"/>
      <c r="AJ33" s="1266"/>
    </row>
    <row r="34" spans="2:36" ht="13.5" thickBot="1">
      <c r="B34" s="4749"/>
      <c r="C34" s="3471" t="s">
        <v>70</v>
      </c>
      <c r="D34" s="384">
        <f t="shared" ref="D34:R34" si="1">IF(ISERROR(AVERAGE(D32:D33)),0,AVERAGE(D32:D33))</f>
        <v>16638</v>
      </c>
      <c r="E34" s="384">
        <f t="shared" si="1"/>
        <v>16564.5</v>
      </c>
      <c r="F34" s="384">
        <f t="shared" si="1"/>
        <v>16533.5</v>
      </c>
      <c r="G34" s="384">
        <f t="shared" si="1"/>
        <v>16517.5</v>
      </c>
      <c r="H34" s="384">
        <f t="shared" si="1"/>
        <v>16386</v>
      </c>
      <c r="I34" s="384">
        <f t="shared" si="1"/>
        <v>16249</v>
      </c>
      <c r="J34" s="384">
        <f t="shared" si="1"/>
        <v>16198.5</v>
      </c>
      <c r="K34" s="384">
        <f t="shared" si="1"/>
        <v>16050</v>
      </c>
      <c r="L34" s="384">
        <f t="shared" si="1"/>
        <v>15797</v>
      </c>
      <c r="M34" s="384">
        <f t="shared" si="1"/>
        <v>15648.991583122286</v>
      </c>
      <c r="N34" s="384">
        <f t="shared" si="1"/>
        <v>15520.548191589001</v>
      </c>
      <c r="O34" s="384">
        <f t="shared" si="1"/>
        <v>15456.053696783667</v>
      </c>
      <c r="P34" s="384">
        <f t="shared" si="1"/>
        <v>15338.819927172142</v>
      </c>
      <c r="Q34" s="384">
        <f t="shared" si="1"/>
        <v>15131.579974999142</v>
      </c>
      <c r="R34" s="384">
        <f t="shared" si="1"/>
        <v>14935.855825620465</v>
      </c>
      <c r="S34" s="1266"/>
      <c r="T34" s="1266"/>
      <c r="U34" s="1266"/>
      <c r="V34" s="1266"/>
      <c r="W34" s="1266"/>
      <c r="X34" s="1266"/>
      <c r="Y34" s="1266"/>
      <c r="Z34" s="1266"/>
      <c r="AA34" s="1266"/>
      <c r="AB34" s="1266"/>
      <c r="AC34" s="1266"/>
      <c r="AD34" s="1266"/>
      <c r="AE34" s="1266"/>
      <c r="AF34" s="1266"/>
      <c r="AG34" s="1266"/>
      <c r="AH34" s="1266"/>
      <c r="AI34" s="1266"/>
      <c r="AJ34" s="1266"/>
    </row>
    <row r="35" spans="2:36" ht="13.5" thickBot="1">
      <c r="B35" s="4749"/>
      <c r="C35" s="3471" t="s">
        <v>71</v>
      </c>
      <c r="D35" s="1602">
        <f>'[18]27.2 Customer numbers Metro'!D35+'[18]27.3 Customer numbers YV'!D35+'[18]27.4 Customer numbers SG'!D35</f>
        <v>133</v>
      </c>
      <c r="E35" s="1602">
        <f>'[18]27.2 Customer numbers Metro'!E35+'[18]27.3 Customer numbers YV'!E35+'[18]27.4 Customer numbers SG'!E35</f>
        <v>147</v>
      </c>
      <c r="F35" s="1602">
        <f>'[18]27.2 Customer numbers Metro'!F35+'[18]27.3 Customer numbers YV'!F35+'[18]27.4 Customer numbers SG'!F35</f>
        <v>147</v>
      </c>
      <c r="G35" s="1602">
        <f>'[18]27.2 Customer numbers Metro'!G35+'[18]27.3 Customer numbers YV'!G35+'[18]27.4 Customer numbers SG'!G35</f>
        <v>120</v>
      </c>
      <c r="H35" s="1602">
        <f>'[18]27.2 Customer numbers Metro'!H35+'[18]27.3 Customer numbers YV'!H35+'[18]27.4 Customer numbers SG'!H35</f>
        <v>195.87502631850799</v>
      </c>
      <c r="I35" s="1602">
        <f>'[18]27.2 Customer numbers Metro'!I35+'[18]27.3 Customer numbers YV'!I35+'[18]27.4 Customer numbers SG'!I35</f>
        <v>0</v>
      </c>
      <c r="J35" s="1602">
        <f>'[18]27.2 Customer numbers Metro'!J35+'[18]27.3 Customer numbers YV'!J35+'[18]27.4 Customer numbers SG'!J35</f>
        <v>0</v>
      </c>
      <c r="K35" s="1602">
        <f>'[18]27.2 Customer numbers Metro'!K35+'[18]27.3 Customer numbers YV'!K35+'[18]27.4 Customer numbers SG'!K35</f>
        <v>0</v>
      </c>
      <c r="L35" s="1602">
        <f>'[18]27.2 Customer numbers Metro'!L35+'[18]27.3 Customer numbers YV'!L35+'[18]27.4 Customer numbers SG'!L35</f>
        <v>0</v>
      </c>
      <c r="M35" s="1602">
        <f>'[18]27.2 Customer numbers Metro'!M35+'[18]27.3 Customer numbers YV'!M35+'[18]27.4 Customer numbers SG'!M35</f>
        <v>0</v>
      </c>
      <c r="N35" s="1602">
        <f>'[18]27.2 Customer numbers Metro'!N35+'[18]27.3 Customer numbers YV'!N35+'[18]27.4 Customer numbers SG'!N35</f>
        <v>0</v>
      </c>
      <c r="O35" s="1602">
        <f>'[18]27.2 Customer numbers Metro'!O35+'[18]27.3 Customer numbers YV'!O35+'[18]27.4 Customer numbers SG'!O35</f>
        <v>0</v>
      </c>
      <c r="P35" s="1602">
        <f>'[18]27.2 Customer numbers Metro'!P35+'[18]27.3 Customer numbers YV'!P35+'[18]27.4 Customer numbers SG'!P35</f>
        <v>0</v>
      </c>
      <c r="Q35" s="1602">
        <f>'[18]27.2 Customer numbers Metro'!Q35+'[18]27.3 Customer numbers YV'!Q35+'[18]27.4 Customer numbers SG'!Q35</f>
        <v>0</v>
      </c>
      <c r="R35" s="1602">
        <f>'[18]27.2 Customer numbers Metro'!R35+'[18]27.3 Customer numbers YV'!R35+'[18]27.4 Customer numbers SG'!R35</f>
        <v>0</v>
      </c>
      <c r="S35" s="1266"/>
      <c r="T35" s="1266"/>
      <c r="U35" s="1266"/>
      <c r="V35" s="1266"/>
      <c r="W35" s="1266"/>
      <c r="X35" s="1266"/>
      <c r="Y35" s="1266"/>
      <c r="Z35" s="1266"/>
      <c r="AA35" s="1266"/>
      <c r="AB35" s="1266"/>
      <c r="AC35" s="1266"/>
      <c r="AD35" s="1266"/>
      <c r="AE35" s="1266"/>
      <c r="AF35" s="1266"/>
      <c r="AG35" s="1266"/>
      <c r="AH35" s="1266"/>
      <c r="AI35" s="1266"/>
      <c r="AJ35" s="1266"/>
    </row>
    <row r="36" spans="2:36">
      <c r="B36" s="4750"/>
      <c r="C36" s="1596" t="s">
        <v>60</v>
      </c>
      <c r="D36" s="1602">
        <f>'[18]27.2 Customer numbers Metro'!D36+'[18]27.3 Customer numbers YV'!D36+'[18]27.4 Customer numbers SG'!D36</f>
        <v>216</v>
      </c>
      <c r="E36" s="1602">
        <f>'[18]27.2 Customer numbers Metro'!E36+'[18]27.3 Customer numbers YV'!E36+'[18]27.4 Customer numbers SG'!E36</f>
        <v>243</v>
      </c>
      <c r="F36" s="1602">
        <f>'[18]27.2 Customer numbers Metro'!F36+'[18]27.3 Customer numbers YV'!F36+'[18]27.4 Customer numbers SG'!F36</f>
        <v>184</v>
      </c>
      <c r="G36" s="1602">
        <f>'[18]27.2 Customer numbers Metro'!G36+'[18]27.3 Customer numbers YV'!G36+'[18]27.4 Customer numbers SG'!G36</f>
        <v>176</v>
      </c>
      <c r="H36" s="1602">
        <f>'[18]27.2 Customer numbers Metro'!H36+'[18]27.3 Customer numbers YV'!H36+'[18]27.4 Customer numbers SG'!H36</f>
        <v>212.10728554790836</v>
      </c>
      <c r="I36" s="1602">
        <f>'[18]27.2 Customer numbers Metro'!I36+'[18]27.3 Customer numbers YV'!I36+'[18]27.4 Customer numbers SG'!I36</f>
        <v>0</v>
      </c>
      <c r="J36" s="1602">
        <f>'[18]27.2 Customer numbers Metro'!J36+'[18]27.3 Customer numbers YV'!J36+'[18]27.4 Customer numbers SG'!J36</f>
        <v>0</v>
      </c>
      <c r="K36" s="1602">
        <f>'[18]27.2 Customer numbers Metro'!K36+'[18]27.3 Customer numbers YV'!K36+'[18]27.4 Customer numbers SG'!K36</f>
        <v>0</v>
      </c>
      <c r="L36" s="1602">
        <f>'[18]27.2 Customer numbers Metro'!L36+'[18]27.3 Customer numbers YV'!L36+'[18]27.4 Customer numbers SG'!L36</f>
        <v>0</v>
      </c>
      <c r="M36" s="1602">
        <f>'[18]27.2 Customer numbers Metro'!M36+'[18]27.3 Customer numbers YV'!M36+'[18]27.4 Customer numbers SG'!M36</f>
        <v>0</v>
      </c>
      <c r="N36" s="1602">
        <f>'[18]27.2 Customer numbers Metro'!N36+'[18]27.3 Customer numbers YV'!N36+'[18]27.4 Customer numbers SG'!N36</f>
        <v>0</v>
      </c>
      <c r="O36" s="1602">
        <f>'[18]27.2 Customer numbers Metro'!O36+'[18]27.3 Customer numbers YV'!O36+'[18]27.4 Customer numbers SG'!O36</f>
        <v>0</v>
      </c>
      <c r="P36" s="1602">
        <f>'[18]27.2 Customer numbers Metro'!P36+'[18]27.3 Customer numbers YV'!P36+'[18]27.4 Customer numbers SG'!P36</f>
        <v>0</v>
      </c>
      <c r="Q36" s="1602">
        <f>'[18]27.2 Customer numbers Metro'!Q36+'[18]27.3 Customer numbers YV'!Q36+'[18]27.4 Customer numbers SG'!Q36</f>
        <v>0</v>
      </c>
      <c r="R36" s="1602">
        <f>'[18]27.2 Customer numbers Metro'!R36+'[18]27.3 Customer numbers YV'!R36+'[18]27.4 Customer numbers SG'!R36</f>
        <v>0</v>
      </c>
      <c r="S36" s="1266"/>
      <c r="T36" s="1266"/>
      <c r="U36" s="1266"/>
      <c r="V36" s="1266"/>
      <c r="W36" s="1266"/>
      <c r="X36" s="1266"/>
      <c r="Y36" s="1266"/>
      <c r="Z36" s="1266"/>
      <c r="AA36" s="1266"/>
      <c r="AB36" s="1266"/>
      <c r="AC36" s="1266"/>
      <c r="AD36" s="1266"/>
      <c r="AE36" s="1266"/>
      <c r="AF36" s="1266"/>
      <c r="AG36" s="1266"/>
      <c r="AH36" s="1266"/>
      <c r="AI36" s="1266"/>
      <c r="AJ36" s="1266"/>
    </row>
    <row r="37" spans="2:36" ht="13.5" thickBot="1">
      <c r="B37" s="2263"/>
      <c r="C37" s="2262"/>
      <c r="D37" s="2262"/>
      <c r="E37" s="2262"/>
      <c r="F37" s="2262"/>
      <c r="G37" s="2262"/>
      <c r="H37" s="2262"/>
      <c r="I37" s="2262"/>
      <c r="J37" s="2262"/>
      <c r="K37" s="2262"/>
      <c r="L37" s="2262"/>
      <c r="M37" s="2262"/>
      <c r="N37" s="2262"/>
      <c r="O37" s="2262"/>
      <c r="P37" s="2262"/>
      <c r="Q37" s="2262"/>
      <c r="R37" s="1867"/>
      <c r="S37" s="1266"/>
      <c r="T37" s="1266"/>
      <c r="U37" s="1266"/>
      <c r="V37" s="1266"/>
      <c r="W37" s="1266"/>
      <c r="X37" s="1266"/>
      <c r="Y37" s="1266"/>
      <c r="Z37" s="1266"/>
      <c r="AA37" s="1266"/>
      <c r="AB37" s="1266"/>
      <c r="AC37" s="1266"/>
      <c r="AD37" s="1266"/>
      <c r="AE37" s="1266"/>
      <c r="AF37" s="1266"/>
      <c r="AG37" s="1266"/>
      <c r="AH37" s="1266"/>
      <c r="AI37" s="1266"/>
      <c r="AJ37" s="1266"/>
    </row>
    <row r="38" spans="2:36" ht="15.75" thickBot="1">
      <c r="B38" s="2268" t="s">
        <v>1621</v>
      </c>
      <c r="C38" s="2262"/>
      <c r="D38" s="2262"/>
      <c r="E38" s="2262"/>
      <c r="F38" s="2262"/>
      <c r="G38" s="2262"/>
      <c r="H38" s="2262"/>
      <c r="I38" s="2262"/>
      <c r="J38" s="2262"/>
      <c r="K38" s="2262"/>
      <c r="L38" s="2262"/>
      <c r="M38" s="2262"/>
      <c r="N38" s="2262"/>
      <c r="O38" s="2262"/>
      <c r="P38" s="2262"/>
      <c r="Q38" s="2262"/>
      <c r="R38" s="1867"/>
      <c r="S38" s="1266"/>
      <c r="T38" s="1266"/>
      <c r="U38" s="1266"/>
      <c r="V38" s="1266"/>
      <c r="W38" s="1266"/>
      <c r="X38" s="1266"/>
      <c r="Y38" s="1266"/>
      <c r="Z38" s="1266"/>
      <c r="AA38" s="1266"/>
      <c r="AB38" s="1266"/>
      <c r="AC38" s="1266"/>
      <c r="AD38" s="1266"/>
      <c r="AE38" s="1266"/>
      <c r="AF38" s="1266"/>
      <c r="AG38" s="1266"/>
      <c r="AH38" s="1266"/>
      <c r="AI38" s="1266"/>
      <c r="AJ38" s="1266"/>
    </row>
    <row r="39" spans="2:36" ht="15.75" thickBot="1">
      <c r="B39" s="2270" t="str">
        <f>CONCATENATE("Table 27.1.2"," - ", B38)</f>
        <v>Table 27.1.2 - Tariff L</v>
      </c>
      <c r="C39" s="2262"/>
      <c r="D39" s="2262"/>
      <c r="E39" s="2262"/>
      <c r="F39" s="2262"/>
      <c r="G39" s="2262"/>
      <c r="H39" s="2262"/>
      <c r="I39" s="2262"/>
      <c r="J39" s="2262"/>
      <c r="K39" s="2262"/>
      <c r="L39" s="2262"/>
      <c r="M39" s="2262"/>
      <c r="N39" s="2262"/>
      <c r="O39" s="2262"/>
      <c r="P39" s="2262"/>
      <c r="Q39" s="2262"/>
      <c r="R39" s="1867"/>
      <c r="S39" s="1266"/>
      <c r="T39" s="1266"/>
      <c r="U39" s="1266"/>
      <c r="V39" s="1266"/>
      <c r="W39" s="1266"/>
      <c r="X39" s="1266"/>
      <c r="Y39" s="1266"/>
      <c r="Z39" s="1266"/>
      <c r="AA39" s="1266"/>
      <c r="AB39" s="1266"/>
      <c r="AC39" s="1266"/>
      <c r="AD39" s="1266"/>
      <c r="AE39" s="1266"/>
      <c r="AF39" s="1266"/>
      <c r="AG39" s="1266"/>
      <c r="AH39" s="1266"/>
      <c r="AI39" s="1266"/>
      <c r="AJ39" s="1266"/>
    </row>
    <row r="40" spans="2:36" ht="15.75" thickBot="1">
      <c r="B40" s="1427" t="str">
        <f>CONCATENATE("Commercial/industrial customers"," : ",B38)</f>
        <v>Commercial/industrial customers : Tariff L</v>
      </c>
      <c r="C40" s="2266"/>
      <c r="D40" s="2266"/>
      <c r="E40" s="2266"/>
      <c r="F40" s="2266"/>
      <c r="G40" s="2266"/>
      <c r="H40" s="2266"/>
      <c r="I40" s="2266"/>
      <c r="J40" s="2266"/>
      <c r="K40" s="2266"/>
      <c r="L40" s="2266"/>
      <c r="M40" s="2266"/>
      <c r="N40" s="2266"/>
      <c r="O40" s="2266"/>
      <c r="P40" s="2266"/>
      <c r="Q40" s="2266"/>
      <c r="R40" s="2267"/>
      <c r="S40" s="1266"/>
      <c r="T40" s="1266"/>
      <c r="U40" s="1266"/>
      <c r="V40" s="1266"/>
      <c r="W40" s="1266"/>
      <c r="X40" s="1266"/>
      <c r="Y40" s="1266"/>
      <c r="Z40" s="1266"/>
      <c r="AA40" s="1266"/>
      <c r="AB40" s="1266"/>
      <c r="AC40" s="1266"/>
      <c r="AD40" s="1266"/>
      <c r="AE40" s="1266"/>
      <c r="AF40" s="1266"/>
      <c r="AG40" s="1266"/>
      <c r="AH40" s="1266"/>
      <c r="AI40" s="1266"/>
      <c r="AJ40" s="1266"/>
    </row>
    <row r="41" spans="2:36" ht="13.5" thickBot="1">
      <c r="B41" s="4748" t="s">
        <v>747</v>
      </c>
      <c r="C41" s="3472" t="s">
        <v>744</v>
      </c>
      <c r="D41" s="1602">
        <f>'[18]27.2 Customer numbers Metro'!D41+'[18]27.3 Customer numbers YV'!D41+'[18]27.4 Customer numbers SG'!D41</f>
        <v>16</v>
      </c>
      <c r="E41" s="480">
        <f>D42</f>
        <v>15</v>
      </c>
      <c r="F41" s="480">
        <f>E42</f>
        <v>15</v>
      </c>
      <c r="G41" s="480">
        <f>F42</f>
        <v>15</v>
      </c>
      <c r="H41" s="480">
        <f>G42</f>
        <v>15</v>
      </c>
      <c r="I41" s="1602">
        <f>'[18]27.2 Customer numbers Metro'!I41+'[18]27.3 Customer numbers YV'!I41+'[18]27.4 Customer numbers SG'!I41</f>
        <v>16</v>
      </c>
      <c r="J41" s="480">
        <f>I42</f>
        <v>16</v>
      </c>
      <c r="K41" s="480">
        <f>J42</f>
        <v>15</v>
      </c>
      <c r="L41" s="480">
        <f>K42</f>
        <v>14</v>
      </c>
      <c r="M41" s="480">
        <f>L42</f>
        <v>14</v>
      </c>
      <c r="N41" s="1602"/>
      <c r="O41" s="480">
        <f>N42</f>
        <v>14</v>
      </c>
      <c r="P41" s="480">
        <f>O42</f>
        <v>14</v>
      </c>
      <c r="Q41" s="480">
        <f>P42</f>
        <v>14</v>
      </c>
      <c r="R41" s="480">
        <f>Q42</f>
        <v>14</v>
      </c>
      <c r="S41" s="1266"/>
      <c r="T41" s="1266"/>
      <c r="U41" s="1266"/>
      <c r="V41" s="1266"/>
      <c r="W41" s="1266"/>
      <c r="X41" s="1266"/>
      <c r="Y41" s="1266"/>
      <c r="Z41" s="1266"/>
      <c r="AA41" s="1266"/>
      <c r="AB41" s="1266"/>
      <c r="AC41" s="1266"/>
      <c r="AD41" s="1266"/>
      <c r="AE41" s="1266"/>
      <c r="AF41" s="1266"/>
      <c r="AG41" s="1266"/>
      <c r="AH41" s="1266"/>
      <c r="AI41" s="1266"/>
      <c r="AJ41" s="1266"/>
    </row>
    <row r="42" spans="2:36">
      <c r="B42" s="4749"/>
      <c r="C42" s="3471" t="s">
        <v>745</v>
      </c>
      <c r="D42" s="1602">
        <f>'[18]27.2 Customer numbers Metro'!D42+'[18]27.3 Customer numbers YV'!D42+'[18]27.4 Customer numbers SG'!D42</f>
        <v>15</v>
      </c>
      <c r="E42" s="1602">
        <f>'[18]27.2 Customer numbers Metro'!E42+'[18]27.3 Customer numbers YV'!E42+'[18]27.4 Customer numbers SG'!E42</f>
        <v>15</v>
      </c>
      <c r="F42" s="1602">
        <f>'[18]27.2 Customer numbers Metro'!F42+'[18]27.3 Customer numbers YV'!F42+'[18]27.4 Customer numbers SG'!F42</f>
        <v>15</v>
      </c>
      <c r="G42" s="1602">
        <f>'[18]27.2 Customer numbers Metro'!G42+'[18]27.3 Customer numbers YV'!G42+'[18]27.4 Customer numbers SG'!G42</f>
        <v>15</v>
      </c>
      <c r="H42" s="1602">
        <f>'[18]27.2 Customer numbers Metro'!H42+'[18]27.3 Customer numbers YV'!H42+'[18]27.4 Customer numbers SG'!H42</f>
        <v>16</v>
      </c>
      <c r="I42" s="1602">
        <f>'[18]27.2 Customer numbers Metro'!I42+'[18]27.3 Customer numbers YV'!I42+'[18]27.4 Customer numbers SG'!I42</f>
        <v>16</v>
      </c>
      <c r="J42" s="1602">
        <f>'[18]27.2 Customer numbers Metro'!J42+'[18]27.3 Customer numbers YV'!J42+'[18]27.4 Customer numbers SG'!J42</f>
        <v>15</v>
      </c>
      <c r="K42" s="1602">
        <f>'[18]27.2 Customer numbers Metro'!K42+'[18]27.3 Customer numbers YV'!K42+'[18]27.4 Customer numbers SG'!K42</f>
        <v>14</v>
      </c>
      <c r="L42" s="1602">
        <f>'[18]27.2 Customer numbers Metro'!L42+'[18]27.3 Customer numbers YV'!L42+'[18]27.4 Customer numbers SG'!L42</f>
        <v>14</v>
      </c>
      <c r="M42" s="1602">
        <f>'[18]27.2 Customer numbers Metro'!M42+'[18]27.3 Customer numbers YV'!M42+'[18]27.4 Customer numbers SG'!M42</f>
        <v>14</v>
      </c>
      <c r="N42" s="1602">
        <f>'[18]27.2 Customer numbers Metro'!N42+'[18]27.3 Customer numbers YV'!N42+'[18]27.4 Customer numbers SG'!N42</f>
        <v>14</v>
      </c>
      <c r="O42" s="1602">
        <f>'[18]27.2 Customer numbers Metro'!O42+'[18]27.3 Customer numbers YV'!O42+'[18]27.4 Customer numbers SG'!O42</f>
        <v>14</v>
      </c>
      <c r="P42" s="1602">
        <f>'[18]27.2 Customer numbers Metro'!P42+'[18]27.3 Customer numbers YV'!P42+'[18]27.4 Customer numbers SG'!P42</f>
        <v>14</v>
      </c>
      <c r="Q42" s="1602">
        <f>'[18]27.2 Customer numbers Metro'!Q42+'[18]27.3 Customer numbers YV'!Q42+'[18]27.4 Customer numbers SG'!Q42</f>
        <v>14</v>
      </c>
      <c r="R42" s="1602">
        <f>'[18]27.2 Customer numbers Metro'!R42+'[18]27.3 Customer numbers YV'!R42+'[18]27.4 Customer numbers SG'!R42</f>
        <v>14</v>
      </c>
      <c r="S42" s="1266"/>
      <c r="T42" s="1266"/>
      <c r="U42" s="1266"/>
      <c r="V42" s="1266"/>
      <c r="W42" s="1266"/>
      <c r="X42" s="1266"/>
      <c r="Y42" s="1266"/>
      <c r="Z42" s="1266"/>
      <c r="AA42" s="1266"/>
      <c r="AB42" s="1266"/>
      <c r="AC42" s="1266"/>
      <c r="AD42" s="1266"/>
      <c r="AE42" s="1266"/>
      <c r="AF42" s="1266"/>
      <c r="AG42" s="1266"/>
      <c r="AH42" s="1266"/>
      <c r="AI42" s="1266"/>
      <c r="AJ42" s="1266"/>
    </row>
    <row r="43" spans="2:36" ht="13.5" thickBot="1">
      <c r="B43" s="4749"/>
      <c r="C43" s="3471" t="s">
        <v>70</v>
      </c>
      <c r="D43" s="384">
        <f t="shared" ref="D43:R43" si="2">IF(ISERROR(AVERAGE(D41:D42)),0,AVERAGE(D41:D42))</f>
        <v>15.5</v>
      </c>
      <c r="E43" s="384">
        <f t="shared" si="2"/>
        <v>15</v>
      </c>
      <c r="F43" s="384">
        <f t="shared" si="2"/>
        <v>15</v>
      </c>
      <c r="G43" s="384">
        <f t="shared" si="2"/>
        <v>15</v>
      </c>
      <c r="H43" s="384">
        <f t="shared" si="2"/>
        <v>15.5</v>
      </c>
      <c r="I43" s="384">
        <f t="shared" si="2"/>
        <v>16</v>
      </c>
      <c r="J43" s="384">
        <f t="shared" si="2"/>
        <v>15.5</v>
      </c>
      <c r="K43" s="384">
        <f t="shared" si="2"/>
        <v>14.5</v>
      </c>
      <c r="L43" s="384">
        <f t="shared" si="2"/>
        <v>14</v>
      </c>
      <c r="M43" s="384">
        <f t="shared" si="2"/>
        <v>14</v>
      </c>
      <c r="N43" s="384">
        <f t="shared" si="2"/>
        <v>14</v>
      </c>
      <c r="O43" s="384">
        <f t="shared" si="2"/>
        <v>14</v>
      </c>
      <c r="P43" s="384">
        <f t="shared" si="2"/>
        <v>14</v>
      </c>
      <c r="Q43" s="384">
        <f t="shared" si="2"/>
        <v>14</v>
      </c>
      <c r="R43" s="384">
        <f t="shared" si="2"/>
        <v>14</v>
      </c>
      <c r="S43" s="1266"/>
      <c r="T43" s="1266"/>
      <c r="U43" s="1266"/>
      <c r="V43" s="1266"/>
      <c r="W43" s="1266"/>
      <c r="X43" s="1266"/>
      <c r="Y43" s="1266"/>
      <c r="Z43" s="1266"/>
      <c r="AA43" s="1266"/>
      <c r="AB43" s="1266"/>
      <c r="AC43" s="1266"/>
      <c r="AD43" s="1266"/>
      <c r="AE43" s="1266"/>
      <c r="AF43" s="1266"/>
      <c r="AG43" s="1266"/>
      <c r="AH43" s="1266"/>
      <c r="AI43" s="1266"/>
      <c r="AJ43" s="1266"/>
    </row>
    <row r="44" spans="2:36" ht="13.5" thickBot="1">
      <c r="B44" s="4749"/>
      <c r="C44" s="3471" t="s">
        <v>71</v>
      </c>
      <c r="D44" s="1602">
        <f>'[18]27.2 Customer numbers Metro'!D44+'[18]27.3 Customer numbers YV'!D44+'[18]27.4 Customer numbers SG'!D44</f>
        <v>0</v>
      </c>
      <c r="E44" s="1602">
        <f>'[18]27.2 Customer numbers Metro'!E44+'[18]27.3 Customer numbers YV'!E44+'[18]27.4 Customer numbers SG'!E44</f>
        <v>0</v>
      </c>
      <c r="F44" s="1602">
        <f>'[18]27.2 Customer numbers Metro'!F44+'[18]27.3 Customer numbers YV'!F44+'[18]27.4 Customer numbers SG'!F44</f>
        <v>0</v>
      </c>
      <c r="G44" s="1602">
        <f>'[18]27.2 Customer numbers Metro'!G44+'[18]27.3 Customer numbers YV'!G44+'[18]27.4 Customer numbers SG'!G44</f>
        <v>0</v>
      </c>
      <c r="H44" s="1602">
        <f>'[18]27.2 Customer numbers Metro'!H44+'[18]27.3 Customer numbers YV'!H44+'[18]27.4 Customer numbers SG'!H44</f>
        <v>1</v>
      </c>
      <c r="I44" s="1602">
        <f>'[18]27.2 Customer numbers Metro'!I44+'[18]27.3 Customer numbers YV'!I44+'[18]27.4 Customer numbers SG'!I44</f>
        <v>0</v>
      </c>
      <c r="J44" s="1602">
        <f>'[18]27.2 Customer numbers Metro'!J44+'[18]27.3 Customer numbers YV'!J44+'[18]27.4 Customer numbers SG'!J44</f>
        <v>0</v>
      </c>
      <c r="K44" s="1602">
        <f>'[18]27.2 Customer numbers Metro'!K44+'[18]27.3 Customer numbers YV'!K44+'[18]27.4 Customer numbers SG'!K44</f>
        <v>0</v>
      </c>
      <c r="L44" s="1602">
        <f>'[18]27.2 Customer numbers Metro'!L44+'[18]27.3 Customer numbers YV'!L44+'[18]27.4 Customer numbers SG'!L44</f>
        <v>0</v>
      </c>
      <c r="M44" s="1602">
        <f>'[18]27.2 Customer numbers Metro'!M44+'[18]27.3 Customer numbers YV'!M44+'[18]27.4 Customer numbers SG'!M44</f>
        <v>0</v>
      </c>
      <c r="N44" s="1602">
        <f>'[18]27.2 Customer numbers Metro'!N44+'[18]27.3 Customer numbers YV'!N44+'[18]27.4 Customer numbers SG'!N44</f>
        <v>0</v>
      </c>
      <c r="O44" s="1602">
        <f>'[18]27.2 Customer numbers Metro'!O44+'[18]27.3 Customer numbers YV'!O44+'[18]27.4 Customer numbers SG'!O44</f>
        <v>0</v>
      </c>
      <c r="P44" s="1602">
        <f>'[18]27.2 Customer numbers Metro'!P44+'[18]27.3 Customer numbers YV'!P44+'[18]27.4 Customer numbers SG'!P44</f>
        <v>0</v>
      </c>
      <c r="Q44" s="1602">
        <f>'[18]27.2 Customer numbers Metro'!Q44+'[18]27.3 Customer numbers YV'!Q44+'[18]27.4 Customer numbers SG'!Q44</f>
        <v>0</v>
      </c>
      <c r="R44" s="1602">
        <f>'[18]27.2 Customer numbers Metro'!R44+'[18]27.3 Customer numbers YV'!R44+'[18]27.4 Customer numbers SG'!R44</f>
        <v>0</v>
      </c>
      <c r="S44" s="1266"/>
      <c r="T44" s="1266"/>
      <c r="U44" s="1266"/>
      <c r="V44" s="1266"/>
      <c r="W44" s="1266"/>
      <c r="X44" s="1266"/>
      <c r="Y44" s="1266"/>
      <c r="Z44" s="1266"/>
      <c r="AA44" s="1266"/>
      <c r="AB44" s="1266"/>
      <c r="AC44" s="1266"/>
      <c r="AD44" s="1266"/>
      <c r="AE44" s="1266"/>
      <c r="AF44" s="1266"/>
      <c r="AG44" s="1266"/>
      <c r="AH44" s="1266"/>
      <c r="AI44" s="1266"/>
      <c r="AJ44" s="1266"/>
    </row>
    <row r="45" spans="2:36">
      <c r="B45" s="4750"/>
      <c r="C45" s="1596" t="s">
        <v>60</v>
      </c>
      <c r="D45" s="1602">
        <f>'[18]27.2 Customer numbers Metro'!D45+'[18]27.3 Customer numbers YV'!D45+'[18]27.4 Customer numbers SG'!D45</f>
        <v>1</v>
      </c>
      <c r="E45" s="1602">
        <f>'[18]27.2 Customer numbers Metro'!E45+'[18]27.3 Customer numbers YV'!E45+'[18]27.4 Customer numbers SG'!E45</f>
        <v>0</v>
      </c>
      <c r="F45" s="1602">
        <f>'[18]27.2 Customer numbers Metro'!F45+'[18]27.3 Customer numbers YV'!F45+'[18]27.4 Customer numbers SG'!F45</f>
        <v>0</v>
      </c>
      <c r="G45" s="1602">
        <f>'[18]27.2 Customer numbers Metro'!G45+'[18]27.3 Customer numbers YV'!G45+'[18]27.4 Customer numbers SG'!G45</f>
        <v>0</v>
      </c>
      <c r="H45" s="1602">
        <f>'[18]27.2 Customer numbers Metro'!H45+'[18]27.3 Customer numbers YV'!H45+'[18]27.4 Customer numbers SG'!H45</f>
        <v>0</v>
      </c>
      <c r="I45" s="1602">
        <f>'[18]27.2 Customer numbers Metro'!I45+'[18]27.3 Customer numbers YV'!I45+'[18]27.4 Customer numbers SG'!I45</f>
        <v>0</v>
      </c>
      <c r="J45" s="1602">
        <f>'[18]27.2 Customer numbers Metro'!J45+'[18]27.3 Customer numbers YV'!J45+'[18]27.4 Customer numbers SG'!J45</f>
        <v>1</v>
      </c>
      <c r="K45" s="1602">
        <f>'[18]27.2 Customer numbers Metro'!K45+'[18]27.3 Customer numbers YV'!K45+'[18]27.4 Customer numbers SG'!K45</f>
        <v>1</v>
      </c>
      <c r="L45" s="1602">
        <f>'[18]27.2 Customer numbers Metro'!L45+'[18]27.3 Customer numbers YV'!L45+'[18]27.4 Customer numbers SG'!L45</f>
        <v>0</v>
      </c>
      <c r="M45" s="1602">
        <f>'[18]27.2 Customer numbers Metro'!M45+'[18]27.3 Customer numbers YV'!M45+'[18]27.4 Customer numbers SG'!M45</f>
        <v>0</v>
      </c>
      <c r="N45" s="1602">
        <f>'[18]27.2 Customer numbers Metro'!N45+'[18]27.3 Customer numbers YV'!N45+'[18]27.4 Customer numbers SG'!N45</f>
        <v>0</v>
      </c>
      <c r="O45" s="1602">
        <f>'[18]27.2 Customer numbers Metro'!O45+'[18]27.3 Customer numbers YV'!O45+'[18]27.4 Customer numbers SG'!O45</f>
        <v>0</v>
      </c>
      <c r="P45" s="1602">
        <f>'[18]27.2 Customer numbers Metro'!P45+'[18]27.3 Customer numbers YV'!P45+'[18]27.4 Customer numbers SG'!P45</f>
        <v>0</v>
      </c>
      <c r="Q45" s="1602">
        <f>'[18]27.2 Customer numbers Metro'!Q45+'[18]27.3 Customer numbers YV'!Q45+'[18]27.4 Customer numbers SG'!Q45</f>
        <v>0</v>
      </c>
      <c r="R45" s="1602">
        <f>'[18]27.2 Customer numbers Metro'!R45+'[18]27.3 Customer numbers YV'!R45+'[18]27.4 Customer numbers SG'!R45</f>
        <v>0</v>
      </c>
      <c r="S45" s="1266"/>
      <c r="T45" s="1266"/>
      <c r="U45" s="1266"/>
      <c r="V45" s="1266"/>
      <c r="W45" s="1266"/>
      <c r="X45" s="1266"/>
      <c r="Y45" s="1266"/>
      <c r="Z45" s="1266"/>
      <c r="AA45" s="1266"/>
      <c r="AB45" s="1266"/>
      <c r="AC45" s="1266"/>
      <c r="AD45" s="1266"/>
      <c r="AE45" s="1266"/>
      <c r="AF45" s="1266"/>
      <c r="AG45" s="1266"/>
      <c r="AH45" s="1266"/>
      <c r="AI45" s="1266"/>
      <c r="AJ45" s="1266"/>
    </row>
    <row r="46" spans="2:36" ht="13.5" thickBot="1">
      <c r="B46" s="2263"/>
      <c r="C46" s="2262"/>
      <c r="D46" s="2262"/>
      <c r="E46" s="2262"/>
      <c r="F46" s="2262"/>
      <c r="G46" s="2262"/>
      <c r="H46" s="2262"/>
      <c r="I46" s="2262"/>
      <c r="J46" s="2262"/>
      <c r="K46" s="2262"/>
      <c r="L46" s="2262"/>
      <c r="M46" s="2262"/>
      <c r="N46" s="2262"/>
      <c r="O46" s="2262"/>
      <c r="P46" s="2262"/>
      <c r="Q46" s="2262"/>
      <c r="R46" s="1867"/>
      <c r="S46" s="1266"/>
      <c r="T46" s="1266"/>
      <c r="U46" s="1266"/>
      <c r="V46" s="1266"/>
      <c r="W46" s="1266"/>
      <c r="X46" s="1266"/>
      <c r="Y46" s="1266"/>
      <c r="Z46" s="1266"/>
      <c r="AA46" s="1266"/>
      <c r="AB46" s="1266"/>
      <c r="AC46" s="1266"/>
      <c r="AD46" s="1266"/>
      <c r="AE46" s="1266"/>
      <c r="AF46" s="1266"/>
      <c r="AG46" s="1266"/>
      <c r="AH46" s="1266"/>
      <c r="AI46" s="1266"/>
      <c r="AJ46" s="1266"/>
    </row>
    <row r="47" spans="2:36" ht="15.75" thickBot="1">
      <c r="B47" s="2268" t="s">
        <v>1622</v>
      </c>
      <c r="C47" s="2262"/>
      <c r="D47" s="2262"/>
      <c r="E47" s="2262"/>
      <c r="F47" s="2262"/>
      <c r="G47" s="2262"/>
      <c r="H47" s="2262"/>
      <c r="I47" s="2262"/>
      <c r="J47" s="2262"/>
      <c r="K47" s="2262"/>
      <c r="L47" s="2262"/>
      <c r="M47" s="2262"/>
      <c r="N47" s="2262"/>
      <c r="O47" s="2262"/>
      <c r="P47" s="2262"/>
      <c r="Q47" s="2262"/>
      <c r="R47" s="1867"/>
      <c r="S47" s="1266"/>
      <c r="T47" s="1266"/>
      <c r="U47" s="1266"/>
      <c r="V47" s="1266"/>
      <c r="W47" s="1266"/>
      <c r="X47" s="1266"/>
      <c r="Y47" s="1266"/>
      <c r="Z47" s="1266"/>
      <c r="AA47" s="1266"/>
      <c r="AB47" s="1266"/>
      <c r="AC47" s="1266"/>
      <c r="AD47" s="1266"/>
      <c r="AE47" s="1266"/>
      <c r="AF47" s="1266"/>
      <c r="AG47" s="1266"/>
      <c r="AH47" s="1266"/>
      <c r="AI47" s="1266"/>
      <c r="AJ47" s="1266"/>
    </row>
    <row r="48" spans="2:36" ht="15.75" thickBot="1">
      <c r="B48" s="2270" t="str">
        <f>CONCATENATE("Table 27.1.3"," - ", B47)</f>
        <v>Table 27.1.3 - Tariff D</v>
      </c>
      <c r="C48" s="2262"/>
      <c r="D48" s="2262"/>
      <c r="E48" s="2262"/>
      <c r="F48" s="2262"/>
      <c r="G48" s="2262"/>
      <c r="H48" s="2262"/>
      <c r="I48" s="2262"/>
      <c r="J48" s="2262"/>
      <c r="K48" s="2262"/>
      <c r="L48" s="2262"/>
      <c r="M48" s="2262"/>
      <c r="N48" s="2262"/>
      <c r="O48" s="2262"/>
      <c r="P48" s="2262"/>
      <c r="Q48" s="2262"/>
      <c r="R48" s="1867"/>
      <c r="S48" s="1266"/>
      <c r="T48" s="1266"/>
      <c r="U48" s="1266"/>
      <c r="V48" s="1266"/>
      <c r="W48" s="1266"/>
      <c r="X48" s="1266"/>
      <c r="Y48" s="1266"/>
      <c r="Z48" s="1266"/>
      <c r="AA48" s="1266"/>
      <c r="AB48" s="1266"/>
      <c r="AC48" s="1266"/>
      <c r="AD48" s="1266"/>
      <c r="AE48" s="1266"/>
      <c r="AF48" s="1266"/>
      <c r="AG48" s="1266"/>
      <c r="AH48" s="1266"/>
      <c r="AI48" s="1266"/>
      <c r="AJ48" s="1266"/>
    </row>
    <row r="49" spans="2:36" ht="15.75" thickBot="1">
      <c r="B49" s="1427" t="str">
        <f>CONCATENATE("Commercial/industrial customers"," : ",B47)</f>
        <v>Commercial/industrial customers : Tariff D</v>
      </c>
      <c r="C49" s="2266"/>
      <c r="D49" s="2266"/>
      <c r="E49" s="2266"/>
      <c r="F49" s="2266"/>
      <c r="G49" s="2266"/>
      <c r="H49" s="2266"/>
      <c r="I49" s="2266"/>
      <c r="J49" s="2266"/>
      <c r="K49" s="2266"/>
      <c r="L49" s="2266"/>
      <c r="M49" s="2266"/>
      <c r="N49" s="2266"/>
      <c r="O49" s="2266"/>
      <c r="P49" s="2266"/>
      <c r="Q49" s="2266"/>
      <c r="R49" s="2267"/>
      <c r="S49" s="1266"/>
      <c r="T49" s="1266"/>
      <c r="U49" s="1266"/>
      <c r="V49" s="1266"/>
      <c r="W49" s="1266"/>
      <c r="X49" s="1266"/>
      <c r="Y49" s="1266"/>
      <c r="Z49" s="1266"/>
      <c r="AA49" s="1266"/>
      <c r="AB49" s="1266"/>
      <c r="AC49" s="1266"/>
      <c r="AD49" s="1266"/>
      <c r="AE49" s="1266"/>
      <c r="AF49" s="1266"/>
      <c r="AG49" s="1266"/>
      <c r="AH49" s="1266"/>
      <c r="AI49" s="1266"/>
      <c r="AJ49" s="1266"/>
    </row>
    <row r="50" spans="2:36" ht="13.5" thickBot="1">
      <c r="B50" s="4748" t="s">
        <v>747</v>
      </c>
      <c r="C50" s="3472" t="s">
        <v>744</v>
      </c>
      <c r="D50" s="1602">
        <f>'[18]27.2 Customer numbers Metro'!D50+'[18]27.3 Customer numbers YV'!D50+'[18]27.4 Customer numbers SG'!D50</f>
        <v>266</v>
      </c>
      <c r="E50" s="480">
        <f>D51</f>
        <v>262</v>
      </c>
      <c r="F50" s="480">
        <f>E51</f>
        <v>265</v>
      </c>
      <c r="G50" s="480">
        <f>F51</f>
        <v>270</v>
      </c>
      <c r="H50" s="480">
        <f>G51</f>
        <v>265</v>
      </c>
      <c r="I50" s="1602">
        <f>'[18]27.2 Customer numbers Metro'!I50+'[18]27.3 Customer numbers YV'!I50+'[18]27.4 Customer numbers SG'!I50</f>
        <v>265</v>
      </c>
      <c r="J50" s="480">
        <f>I51</f>
        <v>265.85906040268458</v>
      </c>
      <c r="K50" s="480">
        <f>J51</f>
        <v>265.87969924812029</v>
      </c>
      <c r="L50" s="480">
        <f>K51</f>
        <v>268.92619657364889</v>
      </c>
      <c r="M50" s="480">
        <f>L51</f>
        <v>263.17817165390926</v>
      </c>
      <c r="N50" s="1602"/>
      <c r="O50" s="480">
        <f>N51</f>
        <v>262.62047329451622</v>
      </c>
      <c r="P50" s="480">
        <f>O51</f>
        <v>259.35773666267204</v>
      </c>
      <c r="Q50" s="480">
        <f>P51</f>
        <v>255.98034759482363</v>
      </c>
      <c r="R50" s="480">
        <f>Q51</f>
        <v>251.61618837745368</v>
      </c>
      <c r="S50" s="1266"/>
      <c r="T50" s="1266"/>
      <c r="U50" s="1266"/>
      <c r="V50" s="1266"/>
      <c r="W50" s="1266"/>
      <c r="X50" s="1266"/>
      <c r="Y50" s="1266"/>
      <c r="Z50" s="1266"/>
      <c r="AA50" s="1266"/>
      <c r="AB50" s="1266"/>
      <c r="AC50" s="1266"/>
      <c r="AD50" s="1266"/>
      <c r="AE50" s="1266"/>
      <c r="AF50" s="1266"/>
      <c r="AG50" s="1266"/>
      <c r="AH50" s="1266"/>
      <c r="AI50" s="1266"/>
      <c r="AJ50" s="1266"/>
    </row>
    <row r="51" spans="2:36">
      <c r="B51" s="4749"/>
      <c r="C51" s="3471" t="s">
        <v>745</v>
      </c>
      <c r="D51" s="1602">
        <f>'[18]27.2 Customer numbers Metro'!D51+'[18]27.3 Customer numbers YV'!D51+'[18]27.4 Customer numbers SG'!D51</f>
        <v>262</v>
      </c>
      <c r="E51" s="1602">
        <f>'[18]27.2 Customer numbers Metro'!E51+'[18]27.3 Customer numbers YV'!E51+'[18]27.4 Customer numbers SG'!E51</f>
        <v>265</v>
      </c>
      <c r="F51" s="1602">
        <f>'[18]27.2 Customer numbers Metro'!F51+'[18]27.3 Customer numbers YV'!F51+'[18]27.4 Customer numbers SG'!F51</f>
        <v>270</v>
      </c>
      <c r="G51" s="1602">
        <f>'[18]27.2 Customer numbers Metro'!G51+'[18]27.3 Customer numbers YV'!G51+'[18]27.4 Customer numbers SG'!G51</f>
        <v>265</v>
      </c>
      <c r="H51" s="1602">
        <f>'[18]27.2 Customer numbers Metro'!H51+'[18]27.3 Customer numbers YV'!H51+'[18]27.4 Customer numbers SG'!H51</f>
        <v>264.85906040268458</v>
      </c>
      <c r="I51" s="1602">
        <f>'[18]27.2 Customer numbers Metro'!I51+'[18]27.3 Customer numbers YV'!I51+'[18]27.4 Customer numbers SG'!I51</f>
        <v>265.85906040268458</v>
      </c>
      <c r="J51" s="1602">
        <f>'[18]27.2 Customer numbers Metro'!J51+'[18]27.3 Customer numbers YV'!J51+'[18]27.4 Customer numbers SG'!J51</f>
        <v>265.87969924812029</v>
      </c>
      <c r="K51" s="1602">
        <f>'[18]27.2 Customer numbers Metro'!K51+'[18]27.3 Customer numbers YV'!K51+'[18]27.4 Customer numbers SG'!K51</f>
        <v>268.92619657364889</v>
      </c>
      <c r="L51" s="1602">
        <f>'[18]27.2 Customer numbers Metro'!L51+'[18]27.3 Customer numbers YV'!L51+'[18]27.4 Customer numbers SG'!L51</f>
        <v>263.17817165390926</v>
      </c>
      <c r="M51" s="1602">
        <f>'[18]27.2 Customer numbers Metro'!M51+'[18]27.3 Customer numbers YV'!M51+'[18]27.4 Customer numbers SG'!M51</f>
        <v>264.52779764033988</v>
      </c>
      <c r="N51" s="1602">
        <f>'[18]27.2 Customer numbers Metro'!N51+'[18]27.3 Customer numbers YV'!N51+'[18]27.4 Customer numbers SG'!N51</f>
        <v>262.62047329451622</v>
      </c>
      <c r="O51" s="1602">
        <f>'[18]27.2 Customer numbers Metro'!O51+'[18]27.3 Customer numbers YV'!O51+'[18]27.4 Customer numbers SG'!O51</f>
        <v>259.35773666267204</v>
      </c>
      <c r="P51" s="1602">
        <f>'[18]27.2 Customer numbers Metro'!P51+'[18]27.3 Customer numbers YV'!P51+'[18]27.4 Customer numbers SG'!P51</f>
        <v>255.98034759482363</v>
      </c>
      <c r="Q51" s="1602">
        <f>'[18]27.2 Customer numbers Metro'!Q51+'[18]27.3 Customer numbers YV'!Q51+'[18]27.4 Customer numbers SG'!Q51</f>
        <v>251.61618837745368</v>
      </c>
      <c r="R51" s="1602">
        <f>'[18]27.2 Customer numbers Metro'!R51+'[18]27.3 Customer numbers YV'!R51+'[18]27.4 Customer numbers SG'!R51</f>
        <v>249.40245500564262</v>
      </c>
      <c r="S51" s="1266"/>
      <c r="T51" s="1266"/>
      <c r="U51" s="1266"/>
      <c r="V51" s="1266"/>
      <c r="W51" s="1266"/>
      <c r="X51" s="1266"/>
      <c r="Y51" s="1266"/>
      <c r="Z51" s="1266"/>
      <c r="AA51" s="1266"/>
      <c r="AB51" s="1266"/>
      <c r="AC51" s="1266"/>
      <c r="AD51" s="1266"/>
      <c r="AE51" s="1266"/>
      <c r="AF51" s="1266"/>
      <c r="AG51" s="1266"/>
      <c r="AH51" s="1266"/>
      <c r="AI51" s="1266"/>
      <c r="AJ51" s="1266"/>
    </row>
    <row r="52" spans="2:36" ht="13.5" thickBot="1">
      <c r="B52" s="4749"/>
      <c r="C52" s="3471" t="s">
        <v>70</v>
      </c>
      <c r="D52" s="384">
        <f t="shared" ref="D52:R52" si="3">IF(ISERROR(AVERAGE(D50:D51)),0,AVERAGE(D50:D51))</f>
        <v>264</v>
      </c>
      <c r="E52" s="384">
        <f t="shared" si="3"/>
        <v>263.5</v>
      </c>
      <c r="F52" s="384">
        <f t="shared" si="3"/>
        <v>267.5</v>
      </c>
      <c r="G52" s="384">
        <f t="shared" si="3"/>
        <v>267.5</v>
      </c>
      <c r="H52" s="384">
        <f t="shared" si="3"/>
        <v>264.92953020134229</v>
      </c>
      <c r="I52" s="384">
        <f t="shared" si="3"/>
        <v>265.42953020134229</v>
      </c>
      <c r="J52" s="384">
        <f t="shared" si="3"/>
        <v>265.86937982540246</v>
      </c>
      <c r="K52" s="384">
        <f t="shared" si="3"/>
        <v>267.40294791088456</v>
      </c>
      <c r="L52" s="384">
        <f t="shared" si="3"/>
        <v>266.05218411377905</v>
      </c>
      <c r="M52" s="384">
        <f t="shared" si="3"/>
        <v>263.85298464712457</v>
      </c>
      <c r="N52" s="384">
        <f t="shared" si="3"/>
        <v>262.62047329451622</v>
      </c>
      <c r="O52" s="384">
        <f t="shared" si="3"/>
        <v>260.98910497859413</v>
      </c>
      <c r="P52" s="384">
        <f t="shared" si="3"/>
        <v>257.66904212874783</v>
      </c>
      <c r="Q52" s="384">
        <f t="shared" si="3"/>
        <v>253.79826798613865</v>
      </c>
      <c r="R52" s="384">
        <f t="shared" si="3"/>
        <v>250.50932169154817</v>
      </c>
      <c r="S52" s="1266"/>
      <c r="T52" s="1266"/>
      <c r="U52" s="1266"/>
      <c r="V52" s="1266"/>
      <c r="W52" s="1266"/>
      <c r="X52" s="1266"/>
      <c r="Y52" s="1266"/>
      <c r="Z52" s="1266"/>
      <c r="AA52" s="1266"/>
      <c r="AB52" s="1266"/>
      <c r="AC52" s="1266"/>
      <c r="AD52" s="1266"/>
      <c r="AE52" s="1266"/>
      <c r="AF52" s="1266"/>
      <c r="AG52" s="1266"/>
      <c r="AH52" s="1266"/>
      <c r="AI52" s="1266"/>
      <c r="AJ52" s="1266"/>
    </row>
    <row r="53" spans="2:36" ht="13.5" thickBot="1">
      <c r="B53" s="4749"/>
      <c r="C53" s="3471" t="s">
        <v>71</v>
      </c>
      <c r="D53" s="1602">
        <f>'[18]27.2 Customer numbers Metro'!D53+'[18]27.3 Customer numbers YV'!D53+'[18]27.4 Customer numbers SG'!D53</f>
        <v>130</v>
      </c>
      <c r="E53" s="1602">
        <f>'[18]27.2 Customer numbers Metro'!E53+'[18]27.3 Customer numbers YV'!E53+'[18]27.4 Customer numbers SG'!E53</f>
        <v>22</v>
      </c>
      <c r="F53" s="1602">
        <f>'[18]27.2 Customer numbers Metro'!F53+'[18]27.3 Customer numbers YV'!F53+'[18]27.4 Customer numbers SG'!F53</f>
        <v>6</v>
      </c>
      <c r="G53" s="1602">
        <f>'[18]27.2 Customer numbers Metro'!G53+'[18]27.3 Customer numbers YV'!G53+'[18]27.4 Customer numbers SG'!G53</f>
        <v>0</v>
      </c>
      <c r="H53" s="1602">
        <f>'[18]27.2 Customer numbers Metro'!H53+'[18]27.3 Customer numbers YV'!H53+'[18]27.4 Customer numbers SG'!H53</f>
        <v>0</v>
      </c>
      <c r="I53" s="1602">
        <f>'[18]27.2 Customer numbers Metro'!I53+'[18]27.3 Customer numbers YV'!I53+'[18]27.4 Customer numbers SG'!I53</f>
        <v>0</v>
      </c>
      <c r="J53" s="1602">
        <f>'[18]27.2 Customer numbers Metro'!J53+'[18]27.3 Customer numbers YV'!J53+'[18]27.4 Customer numbers SG'!J53</f>
        <v>0</v>
      </c>
      <c r="K53" s="1602">
        <f>'[18]27.2 Customer numbers Metro'!K53+'[18]27.3 Customer numbers YV'!K53+'[18]27.4 Customer numbers SG'!K53</f>
        <v>0</v>
      </c>
      <c r="L53" s="1602">
        <f>'[18]27.2 Customer numbers Metro'!L53+'[18]27.3 Customer numbers YV'!L53+'[18]27.4 Customer numbers SG'!L53</f>
        <v>0</v>
      </c>
      <c r="M53" s="1602">
        <f>'[18]27.2 Customer numbers Metro'!M53+'[18]27.3 Customer numbers YV'!M53+'[18]27.4 Customer numbers SG'!M53</f>
        <v>0</v>
      </c>
      <c r="N53" s="1602">
        <f>'[18]27.2 Customer numbers Metro'!N53+'[18]27.3 Customer numbers YV'!N53+'[18]27.4 Customer numbers SG'!N53</f>
        <v>0</v>
      </c>
      <c r="O53" s="1602">
        <f>'[18]27.2 Customer numbers Metro'!O53+'[18]27.3 Customer numbers YV'!O53+'[18]27.4 Customer numbers SG'!O53</f>
        <v>0</v>
      </c>
      <c r="P53" s="1602">
        <f>'[18]27.2 Customer numbers Metro'!P53+'[18]27.3 Customer numbers YV'!P53+'[18]27.4 Customer numbers SG'!P53</f>
        <v>0</v>
      </c>
      <c r="Q53" s="1602">
        <f>'[18]27.2 Customer numbers Metro'!Q53+'[18]27.3 Customer numbers YV'!Q53+'[18]27.4 Customer numbers SG'!Q53</f>
        <v>0</v>
      </c>
      <c r="R53" s="1602">
        <f>'[18]27.2 Customer numbers Metro'!R53+'[18]27.3 Customer numbers YV'!R53+'[18]27.4 Customer numbers SG'!R53</f>
        <v>0</v>
      </c>
      <c r="S53" s="1266"/>
      <c r="T53" s="1266"/>
      <c r="U53" s="1266"/>
      <c r="V53" s="1266"/>
      <c r="W53" s="1266"/>
      <c r="X53" s="1266"/>
      <c r="Y53" s="1266"/>
      <c r="Z53" s="1266"/>
      <c r="AA53" s="1266"/>
      <c r="AB53" s="1266"/>
      <c r="AC53" s="1266"/>
      <c r="AD53" s="1266"/>
      <c r="AE53" s="1266"/>
      <c r="AF53" s="1266"/>
      <c r="AG53" s="1266"/>
      <c r="AH53" s="1266"/>
      <c r="AI53" s="1266"/>
      <c r="AJ53" s="1266"/>
    </row>
    <row r="54" spans="2:36">
      <c r="B54" s="4750"/>
      <c r="C54" s="1596" t="s">
        <v>60</v>
      </c>
      <c r="D54" s="1602">
        <f>'[18]27.2 Customer numbers Metro'!D54+'[18]27.3 Customer numbers YV'!D54+'[18]27.4 Customer numbers SG'!D54</f>
        <v>126</v>
      </c>
      <c r="E54" s="1602">
        <f>'[18]27.2 Customer numbers Metro'!E54+'[18]27.3 Customer numbers YV'!E54+'[18]27.4 Customer numbers SG'!E54</f>
        <v>24</v>
      </c>
      <c r="F54" s="1602">
        <f>'[18]27.2 Customer numbers Metro'!F54+'[18]27.3 Customer numbers YV'!F54+'[18]27.4 Customer numbers SG'!F54</f>
        <v>11</v>
      </c>
      <c r="G54" s="1602">
        <f>'[18]27.2 Customer numbers Metro'!G54+'[18]27.3 Customer numbers YV'!G54+'[18]27.4 Customer numbers SG'!G54</f>
        <v>0</v>
      </c>
      <c r="H54" s="1602">
        <f>'[18]27.2 Customer numbers Metro'!H54+'[18]27.3 Customer numbers YV'!H54+'[18]27.4 Customer numbers SG'!H54</f>
        <v>0</v>
      </c>
      <c r="I54" s="1602">
        <f>'[18]27.2 Customer numbers Metro'!I54+'[18]27.3 Customer numbers YV'!I54+'[18]27.4 Customer numbers SG'!I54</f>
        <v>0</v>
      </c>
      <c r="J54" s="1602">
        <f>'[18]27.2 Customer numbers Metro'!J54+'[18]27.3 Customer numbers YV'!J54+'[18]27.4 Customer numbers SG'!J54</f>
        <v>0</v>
      </c>
      <c r="K54" s="1602">
        <f>'[18]27.2 Customer numbers Metro'!K54+'[18]27.3 Customer numbers YV'!K54+'[18]27.4 Customer numbers SG'!K54</f>
        <v>0</v>
      </c>
      <c r="L54" s="1602">
        <f>'[18]27.2 Customer numbers Metro'!L54+'[18]27.3 Customer numbers YV'!L54+'[18]27.4 Customer numbers SG'!L54</f>
        <v>0</v>
      </c>
      <c r="M54" s="1602">
        <f>'[18]27.2 Customer numbers Metro'!M54+'[18]27.3 Customer numbers YV'!M54+'[18]27.4 Customer numbers SG'!M54</f>
        <v>0</v>
      </c>
      <c r="N54" s="1602">
        <f>'[18]27.2 Customer numbers Metro'!N54+'[18]27.3 Customer numbers YV'!N54+'[18]27.4 Customer numbers SG'!N54</f>
        <v>0</v>
      </c>
      <c r="O54" s="1602">
        <f>'[18]27.2 Customer numbers Metro'!O54+'[18]27.3 Customer numbers YV'!O54+'[18]27.4 Customer numbers SG'!O54</f>
        <v>0</v>
      </c>
      <c r="P54" s="1602">
        <f>'[18]27.2 Customer numbers Metro'!P54+'[18]27.3 Customer numbers YV'!P54+'[18]27.4 Customer numbers SG'!P54</f>
        <v>0</v>
      </c>
      <c r="Q54" s="1602">
        <f>'[18]27.2 Customer numbers Metro'!Q54+'[18]27.3 Customer numbers YV'!Q54+'[18]27.4 Customer numbers SG'!Q54</f>
        <v>0</v>
      </c>
      <c r="R54" s="1602">
        <f>'[18]27.2 Customer numbers Metro'!R54+'[18]27.3 Customer numbers YV'!R54+'[18]27.4 Customer numbers SG'!R54</f>
        <v>0</v>
      </c>
      <c r="S54" s="1266"/>
      <c r="T54" s="1266"/>
      <c r="U54" s="1266"/>
      <c r="V54" s="1266"/>
      <c r="W54" s="1266"/>
      <c r="X54" s="1266"/>
      <c r="Y54" s="1266"/>
      <c r="Z54" s="1266"/>
      <c r="AA54" s="1266"/>
      <c r="AB54" s="1266"/>
      <c r="AC54" s="1266"/>
      <c r="AD54" s="1266"/>
      <c r="AE54" s="1266"/>
      <c r="AF54" s="1266"/>
      <c r="AG54" s="1266"/>
      <c r="AH54" s="1266"/>
      <c r="AI54" s="1266"/>
      <c r="AJ54" s="1266"/>
    </row>
  </sheetData>
  <mergeCells count="18">
    <mergeCell ref="B26:B30"/>
    <mergeCell ref="B32:B36"/>
    <mergeCell ref="B41:B45"/>
    <mergeCell ref="B50:B54"/>
    <mergeCell ref="I16:M16"/>
    <mergeCell ref="N16:R16"/>
    <mergeCell ref="D17:R17"/>
    <mergeCell ref="D18:K18"/>
    <mergeCell ref="L18:R18"/>
    <mergeCell ref="B9:F9"/>
    <mergeCell ref="B16:C19"/>
    <mergeCell ref="D16:H16"/>
    <mergeCell ref="B6:F6"/>
    <mergeCell ref="B7:F7"/>
    <mergeCell ref="B11:F11"/>
    <mergeCell ref="B12:F12"/>
    <mergeCell ref="B8:F8"/>
    <mergeCell ref="B10:F10"/>
  </mergeCells>
  <pageMargins left="0.74803149606299213" right="0.74803149606299213" top="0.98425196850393704" bottom="0.98425196850393704" header="0.51181102362204722" footer="0.51181102362204722"/>
  <pageSetup paperSize="9" scale="37" orientation="landscape" r:id="rId1"/>
  <headerFooter alignWithMargins="0"/>
  <customProperties>
    <customPr name="layoutContexts" r:id="rId2"/>
    <customPr name="SaveUndoMode" r:id="rId3"/>
    <customPr name="screen" r:id="rId4"/>
  </customProperties>
  <drawing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9" tint="-0.249977111117893"/>
  </sheetPr>
  <dimension ref="A5:E20"/>
  <sheetViews>
    <sheetView showGridLines="0" zoomScaleNormal="100" workbookViewId="0"/>
  </sheetViews>
  <sheetFormatPr defaultRowHeight="12.75"/>
  <cols>
    <col min="1" max="1" width="7" customWidth="1"/>
    <col min="3" max="3" width="4.7109375" customWidth="1"/>
    <col min="5" max="5" width="95" customWidth="1"/>
    <col min="6" max="6" width="24" customWidth="1"/>
  </cols>
  <sheetData>
    <row r="5" spans="1:5" ht="13.5" thickBot="1"/>
    <row r="6" spans="1:5">
      <c r="D6" s="1334"/>
      <c r="E6" s="1335"/>
    </row>
    <row r="7" spans="1:5" ht="25.5" customHeight="1">
      <c r="A7" s="22"/>
      <c r="D7" s="4048" t="s">
        <v>482</v>
      </c>
      <c r="E7" s="4049"/>
    </row>
    <row r="8" spans="1:5" ht="12.75" customHeight="1">
      <c r="A8" s="19"/>
      <c r="D8" s="1336"/>
      <c r="E8" s="1337"/>
    </row>
    <row r="9" spans="1:5" ht="12.75" customHeight="1">
      <c r="A9" s="19"/>
      <c r="D9" s="1338"/>
      <c r="E9" s="1339"/>
    </row>
    <row r="10" spans="1:5" ht="12.75" customHeight="1">
      <c r="A10" s="19"/>
      <c r="D10" s="1345" t="s">
        <v>1</v>
      </c>
      <c r="E10" s="1343"/>
    </row>
    <row r="11" spans="1:5" ht="15">
      <c r="A11" s="19"/>
      <c r="D11" s="1345"/>
      <c r="E11" s="1343"/>
    </row>
    <row r="12" spans="1:5" ht="15">
      <c r="D12" s="1345" t="s">
        <v>74</v>
      </c>
      <c r="E12" s="1344"/>
    </row>
    <row r="13" spans="1:5" ht="30" customHeight="1">
      <c r="D13" s="1346">
        <v>1</v>
      </c>
      <c r="E13" s="1340" t="s">
        <v>483</v>
      </c>
    </row>
    <row r="14" spans="1:5" ht="30" customHeight="1">
      <c r="D14" s="1346">
        <v>2</v>
      </c>
      <c r="E14" s="1340" t="s">
        <v>477</v>
      </c>
    </row>
    <row r="15" spans="1:5" ht="30" customHeight="1">
      <c r="D15" s="1346">
        <v>3</v>
      </c>
      <c r="E15" s="1340" t="s">
        <v>478</v>
      </c>
    </row>
    <row r="16" spans="1:5" ht="30" customHeight="1">
      <c r="D16" s="1346">
        <v>4</v>
      </c>
      <c r="E16" s="1340" t="s">
        <v>479</v>
      </c>
    </row>
    <row r="17" spans="4:5" ht="30" customHeight="1">
      <c r="D17" s="1346">
        <v>5</v>
      </c>
      <c r="E17" s="1340" t="s">
        <v>480</v>
      </c>
    </row>
    <row r="18" spans="4:5" ht="30" customHeight="1">
      <c r="D18" s="1346">
        <v>6</v>
      </c>
      <c r="E18" s="1340" t="s">
        <v>481</v>
      </c>
    </row>
    <row r="19" spans="4:5" ht="13.5" thickBot="1">
      <c r="D19" s="1341"/>
      <c r="E19" s="1342"/>
    </row>
    <row r="20" spans="4:5">
      <c r="D20" s="1333"/>
      <c r="E20" s="1333"/>
    </row>
  </sheetData>
  <mergeCells count="1">
    <mergeCell ref="D7:E7"/>
  </mergeCells>
  <phoneticPr fontId="14" type="noConversion"/>
  <pageMargins left="0.75" right="0.75" top="1" bottom="1" header="0.5" footer="0.5"/>
  <pageSetup paperSize="9" orientation="landscape" r:id="rId1"/>
  <headerFooter alignWithMargins="0"/>
  <customProperties>
    <customPr name="layoutContexts" r:id="rId2"/>
  </customProperties>
  <drawing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autoPageBreaks="0"/>
  </sheetPr>
  <dimension ref="A1:ED54"/>
  <sheetViews>
    <sheetView showGridLines="0" topLeftCell="B13" zoomScale="80" zoomScaleNormal="80" workbookViewId="0">
      <selection activeCell="N52" activeCellId="3" sqref="N28 N34 N43 N52"/>
    </sheetView>
  </sheetViews>
  <sheetFormatPr defaultColWidth="9.140625" defaultRowHeight="12.75"/>
  <cols>
    <col min="1" max="1" width="16.28515625" style="3656" bestFit="1" customWidth="1"/>
    <col min="2" max="2" width="54.42578125" style="3656" customWidth="1"/>
    <col min="3" max="3" width="52.140625" style="3656" customWidth="1"/>
    <col min="4" max="17" width="15.7109375" style="3656" customWidth="1"/>
    <col min="18" max="18" width="14" style="2274" customWidth="1"/>
    <col min="19" max="36" width="8.7109375" style="2274" customWidth="1"/>
    <col min="37" max="16384" width="9.140625" style="3656"/>
  </cols>
  <sheetData>
    <row r="1" spans="1:134" s="2276" customFormat="1" ht="24.95" customHeight="1">
      <c r="B1" s="2272" t="str">
        <f>IF(dms_DataQuality="backcast",INDEX(dms_Worksheet_List,MATCH(dms_Model,dms_Model_List))&amp;" BACKCAST",INDEX(dms_Worksheet_List,MATCH(dms_Model,dms_Model_List)))</f>
        <v>REGULATORY REPORTING STATEMENT</v>
      </c>
      <c r="C1" s="3654"/>
      <c r="D1" s="3654"/>
      <c r="E1" s="3654"/>
      <c r="F1" s="3654"/>
      <c r="G1" s="3654"/>
      <c r="H1" s="3654"/>
      <c r="I1" s="3654"/>
      <c r="J1" s="3654"/>
      <c r="K1" s="3654"/>
      <c r="L1" s="3654"/>
      <c r="M1" s="3654"/>
      <c r="N1" s="3654"/>
      <c r="O1" s="3654"/>
      <c r="P1" s="3654"/>
      <c r="Q1" s="3654"/>
      <c r="R1" s="3654"/>
      <c r="S1" s="2274"/>
      <c r="T1" s="2274"/>
      <c r="U1" s="2274"/>
      <c r="V1" s="2274"/>
      <c r="W1" s="2274"/>
      <c r="X1" s="2274"/>
      <c r="Y1" s="2274"/>
      <c r="Z1" s="2274"/>
      <c r="AA1" s="2274"/>
      <c r="AB1" s="2274"/>
      <c r="AC1" s="2274"/>
      <c r="AD1" s="2274"/>
      <c r="AE1" s="2274"/>
      <c r="AF1" s="2274"/>
      <c r="AG1" s="2274"/>
      <c r="AH1" s="2274"/>
      <c r="AI1" s="2274"/>
      <c r="AJ1" s="2274"/>
    </row>
    <row r="2" spans="1:134" s="2276" customFormat="1" ht="24.95" customHeight="1">
      <c r="B2" s="2277" t="str">
        <f>INDEX(dms_TradingNameFull_List,MATCH(dms_TradingName,dms_TradingName_List))</f>
        <v>Multinet Gas (DB No.1) Pty Ltd (ACN 086 026 986), Multinet Gas (DB No.2) Pty Ltd (ACN 086 230 122)</v>
      </c>
      <c r="C2" s="2277"/>
      <c r="D2" s="2277"/>
      <c r="E2" s="2277"/>
      <c r="F2" s="2277"/>
      <c r="G2" s="2277"/>
      <c r="H2" s="2277"/>
      <c r="I2" s="2277"/>
      <c r="J2" s="2277"/>
      <c r="K2" s="2277"/>
      <c r="L2" s="2277"/>
      <c r="M2" s="2277"/>
      <c r="N2" s="2277"/>
      <c r="O2" s="2277"/>
      <c r="P2" s="2277"/>
      <c r="Q2" s="2277"/>
      <c r="R2" s="2277"/>
      <c r="S2" s="2274"/>
      <c r="T2" s="2274"/>
      <c r="U2" s="2274"/>
      <c r="V2" s="2274"/>
      <c r="W2" s="2274"/>
      <c r="X2" s="2274"/>
      <c r="Y2" s="2274"/>
      <c r="Z2" s="2274"/>
      <c r="AA2" s="2274"/>
      <c r="AB2" s="2274"/>
      <c r="AC2" s="2274"/>
      <c r="AD2" s="2274"/>
      <c r="AE2" s="2274"/>
      <c r="AF2" s="2274"/>
      <c r="AG2" s="2274"/>
      <c r="AH2" s="2274"/>
      <c r="AI2" s="2274"/>
      <c r="AJ2" s="2274"/>
    </row>
    <row r="3" spans="1:134" s="2276" customFormat="1" ht="24.95" customHeight="1">
      <c r="B3" s="2277" t="str">
        <f>IF(SUM(dms_SingleYear_Model)&gt;0,CRY,CONCATENATE(FRCP_y1," to ",dms_MultiYear_FinalYear_Result))</f>
        <v>2018 to 2022</v>
      </c>
      <c r="C3" s="2279"/>
      <c r="D3" s="2279"/>
      <c r="E3" s="2279"/>
      <c r="F3" s="2279"/>
      <c r="G3" s="2279"/>
      <c r="H3" s="2279"/>
      <c r="I3" s="2279"/>
      <c r="J3" s="2279"/>
      <c r="K3" s="2279"/>
      <c r="L3" s="2279"/>
      <c r="M3" s="2279"/>
      <c r="N3" s="2279"/>
      <c r="O3" s="2279"/>
      <c r="P3" s="2279"/>
      <c r="Q3" s="2279"/>
      <c r="R3" s="2279"/>
      <c r="S3" s="2274"/>
      <c r="T3" s="2274"/>
      <c r="U3" s="2274"/>
      <c r="V3" s="2274"/>
      <c r="W3" s="2274"/>
      <c r="X3" s="2274"/>
      <c r="Y3" s="2274"/>
      <c r="Z3" s="2274"/>
      <c r="AA3" s="2274"/>
      <c r="AB3" s="2274"/>
      <c r="AC3" s="2274"/>
      <c r="AD3" s="2274"/>
      <c r="AE3" s="2274"/>
      <c r="AF3" s="2274"/>
      <c r="AG3" s="2274"/>
      <c r="AH3" s="2274"/>
      <c r="AI3" s="2274"/>
      <c r="AJ3" s="2274"/>
    </row>
    <row r="4" spans="1:134" s="2276" customFormat="1" ht="24" customHeight="1">
      <c r="B4" s="2280" t="s">
        <v>386</v>
      </c>
      <c r="C4" s="3655"/>
      <c r="D4" s="3655"/>
      <c r="E4" s="3655"/>
      <c r="F4" s="3655"/>
      <c r="G4" s="3655"/>
      <c r="H4" s="3655"/>
      <c r="I4" s="3655"/>
      <c r="J4" s="3655"/>
      <c r="K4" s="3655"/>
      <c r="L4" s="3655"/>
      <c r="M4" s="3655"/>
      <c r="N4" s="3655"/>
      <c r="O4" s="3655"/>
      <c r="P4" s="3655"/>
      <c r="Q4" s="3655"/>
      <c r="R4" s="3655"/>
      <c r="S4" s="2274"/>
      <c r="T4" s="2274"/>
      <c r="U4" s="2274"/>
      <c r="V4" s="2274"/>
      <c r="W4" s="2274"/>
      <c r="X4" s="2274"/>
      <c r="Y4" s="2274"/>
      <c r="Z4" s="2274"/>
      <c r="AA4" s="2274"/>
      <c r="AB4" s="2274"/>
      <c r="AC4" s="2274"/>
      <c r="AD4" s="2274"/>
      <c r="AE4" s="2274"/>
      <c r="AF4" s="2274"/>
      <c r="AG4" s="2274"/>
      <c r="AH4" s="2274"/>
      <c r="AI4" s="2274"/>
      <c r="AJ4" s="2274"/>
    </row>
    <row r="5" spans="1:134" ht="23.25" customHeight="1">
      <c r="A5" s="391"/>
      <c r="B5" s="3558"/>
      <c r="C5" s="3558"/>
      <c r="D5" s="3558"/>
      <c r="E5" s="3558"/>
      <c r="F5" s="3558"/>
      <c r="G5" s="3558"/>
      <c r="H5" s="3558"/>
      <c r="I5" s="3558"/>
      <c r="J5" s="3558"/>
      <c r="K5" s="3558"/>
      <c r="L5" s="3558"/>
      <c r="M5" s="3558"/>
      <c r="N5" s="3558"/>
      <c r="O5" s="3558"/>
      <c r="P5" s="3558"/>
      <c r="Q5" s="2274"/>
    </row>
    <row r="6" spans="1:134" ht="28.5" customHeight="1">
      <c r="A6" s="3558"/>
      <c r="B6" s="4775" t="s">
        <v>61</v>
      </c>
      <c r="C6" s="4775"/>
      <c r="D6" s="4775"/>
      <c r="E6" s="4775"/>
      <c r="F6" s="4775"/>
      <c r="G6" s="2274"/>
      <c r="H6" s="2274"/>
      <c r="I6" s="2274"/>
      <c r="J6" s="2274"/>
      <c r="K6" s="2274"/>
      <c r="L6" s="2274"/>
      <c r="M6" s="2274"/>
    </row>
    <row r="7" spans="1:134" ht="20.25" customHeight="1">
      <c r="A7" s="3558"/>
      <c r="B7" s="4756" t="s">
        <v>8</v>
      </c>
      <c r="C7" s="4756"/>
      <c r="D7" s="4756"/>
      <c r="E7" s="4756"/>
      <c r="F7" s="4756"/>
      <c r="G7" s="2274"/>
      <c r="H7" s="2274"/>
      <c r="I7" s="2274"/>
      <c r="J7" s="2274"/>
      <c r="K7" s="2274"/>
      <c r="L7" s="2274"/>
      <c r="M7" s="2274"/>
    </row>
    <row r="8" spans="1:134" s="3573" customFormat="1" ht="36.75" customHeight="1">
      <c r="A8" s="3558"/>
      <c r="B8" s="4756" t="s">
        <v>749</v>
      </c>
      <c r="C8" s="4756"/>
      <c r="D8" s="4756"/>
      <c r="E8" s="4756"/>
      <c r="F8" s="4756"/>
      <c r="G8" s="2274"/>
      <c r="H8" s="2274"/>
      <c r="I8" s="2274"/>
      <c r="J8" s="2274"/>
      <c r="K8" s="2274"/>
      <c r="L8" s="2274"/>
      <c r="M8" s="3656"/>
      <c r="N8" s="3656"/>
      <c r="O8" s="3656"/>
      <c r="P8" s="3656"/>
      <c r="Q8" s="3656"/>
      <c r="R8" s="3656"/>
      <c r="S8" s="3558"/>
      <c r="T8" s="3558"/>
      <c r="U8" s="3656"/>
      <c r="V8" s="3656"/>
      <c r="W8" s="3656"/>
      <c r="X8" s="3656"/>
      <c r="Y8" s="3656"/>
      <c r="Z8" s="3656"/>
      <c r="AA8" s="3656"/>
      <c r="AB8" s="3656"/>
      <c r="AC8" s="3656"/>
      <c r="AD8" s="3656"/>
      <c r="AE8" s="3656"/>
      <c r="AF8" s="3656"/>
      <c r="AG8" s="3656"/>
      <c r="AH8" s="3656"/>
      <c r="AI8" s="3656"/>
      <c r="AJ8" s="3656"/>
      <c r="AK8" s="3656"/>
      <c r="AL8" s="3656"/>
      <c r="AM8" s="3656"/>
      <c r="AN8" s="3656"/>
      <c r="AO8" s="3656"/>
      <c r="AP8" s="3656"/>
      <c r="AQ8" s="3656"/>
      <c r="AR8" s="3656"/>
      <c r="AS8" s="3656"/>
      <c r="AT8" s="3656"/>
      <c r="AU8" s="3656"/>
      <c r="AV8" s="3656"/>
      <c r="AW8" s="3656"/>
      <c r="AX8" s="3656"/>
      <c r="AY8" s="3656"/>
      <c r="AZ8" s="3656"/>
      <c r="BA8" s="3656"/>
      <c r="BB8" s="3656"/>
      <c r="BC8" s="3656"/>
      <c r="BD8" s="3656"/>
      <c r="BE8" s="3656"/>
      <c r="BF8" s="3656"/>
      <c r="BG8" s="3656"/>
      <c r="BH8" s="3656"/>
      <c r="BI8" s="3656"/>
      <c r="BJ8" s="3656"/>
      <c r="BK8" s="3656"/>
      <c r="BL8" s="3656"/>
      <c r="BM8" s="3656"/>
      <c r="BN8" s="3656"/>
      <c r="BO8" s="3656"/>
      <c r="BP8" s="3656"/>
      <c r="BQ8" s="3656"/>
      <c r="BR8" s="3656"/>
      <c r="BS8" s="3656"/>
      <c r="BT8" s="3656"/>
      <c r="BU8" s="3656"/>
      <c r="BV8" s="3656"/>
      <c r="BW8" s="3656"/>
      <c r="BX8" s="3656"/>
      <c r="BY8" s="3656"/>
      <c r="BZ8" s="3656"/>
      <c r="CA8" s="3656"/>
      <c r="CB8" s="3656"/>
      <c r="CC8" s="3656"/>
      <c r="CD8" s="3656"/>
      <c r="CE8" s="3656"/>
      <c r="CF8" s="3656"/>
      <c r="CG8" s="3656"/>
      <c r="CH8" s="3656"/>
      <c r="CI8" s="3656"/>
      <c r="CJ8" s="3555"/>
      <c r="CK8" s="3555"/>
      <c r="CL8" s="3555"/>
      <c r="CM8" s="3555"/>
      <c r="CN8" s="3555"/>
      <c r="CO8" s="3555"/>
      <c r="CP8" s="3555"/>
      <c r="CQ8" s="3555"/>
      <c r="CR8" s="3555"/>
      <c r="CS8" s="3555"/>
      <c r="CT8" s="3555"/>
      <c r="CU8" s="3555"/>
      <c r="CV8" s="3555"/>
      <c r="CW8" s="3555"/>
      <c r="CX8" s="3555"/>
      <c r="CY8" s="3555"/>
      <c r="CZ8" s="3555"/>
      <c r="DA8" s="3555"/>
      <c r="DB8" s="3555"/>
      <c r="DC8" s="3555"/>
      <c r="DD8" s="3555"/>
      <c r="DE8" s="3555"/>
      <c r="DF8" s="3555"/>
      <c r="DG8" s="3555"/>
      <c r="DH8" s="3555"/>
      <c r="DI8" s="3555"/>
      <c r="DJ8" s="3555"/>
      <c r="DK8" s="3555"/>
      <c r="DL8" s="3555"/>
      <c r="DM8" s="3555"/>
      <c r="DN8" s="3555"/>
      <c r="DO8" s="3555"/>
      <c r="DP8" s="3555"/>
      <c r="DQ8" s="3555"/>
      <c r="DR8" s="3555"/>
      <c r="DS8" s="3555"/>
      <c r="DT8" s="3555"/>
    </row>
    <row r="9" spans="1:134" s="3573" customFormat="1" ht="18.75" customHeight="1">
      <c r="A9" s="3558"/>
      <c r="B9" s="4756" t="s">
        <v>748</v>
      </c>
      <c r="C9" s="4776"/>
      <c r="D9" s="4776"/>
      <c r="E9" s="4776"/>
      <c r="F9" s="4776"/>
      <c r="G9" s="2274"/>
      <c r="H9" s="2274"/>
      <c r="I9" s="2274"/>
      <c r="J9" s="2274"/>
      <c r="K9" s="2274"/>
      <c r="L9" s="2274"/>
      <c r="M9" s="3656"/>
      <c r="N9" s="3656"/>
      <c r="O9" s="3656"/>
      <c r="P9" s="3656"/>
      <c r="Q9" s="3656"/>
      <c r="R9" s="3656"/>
      <c r="S9" s="3558"/>
      <c r="T9" s="3558"/>
      <c r="U9" s="3656"/>
      <c r="V9" s="3656"/>
      <c r="W9" s="3656"/>
      <c r="X9" s="3656"/>
      <c r="Y9" s="3656"/>
      <c r="Z9" s="3656"/>
      <c r="AA9" s="3656"/>
      <c r="AB9" s="3656"/>
      <c r="AC9" s="3656"/>
      <c r="AD9" s="3656"/>
      <c r="AE9" s="3656"/>
      <c r="AF9" s="3656"/>
      <c r="AG9" s="3656"/>
      <c r="AH9" s="3656"/>
      <c r="AI9" s="3656"/>
      <c r="AJ9" s="3656"/>
      <c r="AK9" s="3656"/>
      <c r="AL9" s="3656"/>
      <c r="AM9" s="3656"/>
      <c r="AN9" s="3656"/>
      <c r="AO9" s="3656"/>
      <c r="AP9" s="3656"/>
      <c r="AQ9" s="3656"/>
      <c r="AR9" s="3656"/>
      <c r="AS9" s="3656"/>
      <c r="AT9" s="3656"/>
      <c r="AU9" s="3656"/>
      <c r="AV9" s="3656"/>
      <c r="AW9" s="3656"/>
      <c r="AX9" s="3656"/>
      <c r="AY9" s="3656"/>
      <c r="AZ9" s="3656"/>
      <c r="BA9" s="3656"/>
      <c r="BB9" s="3656"/>
      <c r="BC9" s="3656"/>
      <c r="BD9" s="3656"/>
      <c r="BE9" s="3656"/>
      <c r="BF9" s="3656"/>
      <c r="BG9" s="3656"/>
      <c r="BH9" s="3656"/>
      <c r="BI9" s="3656"/>
      <c r="BJ9" s="3656"/>
      <c r="BK9" s="3656"/>
      <c r="BL9" s="3656"/>
      <c r="BM9" s="3656"/>
      <c r="BN9" s="3656"/>
      <c r="BO9" s="3656"/>
      <c r="BP9" s="3656"/>
      <c r="BQ9" s="3656"/>
      <c r="BR9" s="3656"/>
      <c r="BS9" s="3656"/>
      <c r="BT9" s="3656"/>
      <c r="BU9" s="3656"/>
      <c r="BV9" s="3656"/>
      <c r="BW9" s="3656"/>
      <c r="BX9" s="3656"/>
      <c r="BY9" s="3656"/>
      <c r="BZ9" s="3656"/>
      <c r="CA9" s="3656"/>
      <c r="CB9" s="3656"/>
      <c r="CC9" s="3656"/>
      <c r="CD9" s="3656"/>
      <c r="CE9" s="3656"/>
      <c r="CF9" s="3656"/>
      <c r="CG9" s="3656"/>
      <c r="CH9" s="3656"/>
      <c r="CI9" s="3656"/>
      <c r="CJ9" s="3555"/>
      <c r="CK9" s="3555"/>
      <c r="CL9" s="3555"/>
      <c r="CM9" s="3555"/>
      <c r="CN9" s="3555"/>
      <c r="CO9" s="3555"/>
      <c r="CP9" s="3555"/>
      <c r="CQ9" s="3555"/>
      <c r="CR9" s="3555"/>
      <c r="CS9" s="3555"/>
      <c r="CT9" s="3555"/>
      <c r="CU9" s="3555"/>
      <c r="CV9" s="3555"/>
      <c r="CW9" s="3555"/>
      <c r="CX9" s="3555"/>
      <c r="CY9" s="3555"/>
      <c r="CZ9" s="3555"/>
      <c r="DA9" s="3555"/>
      <c r="DB9" s="3555"/>
      <c r="DC9" s="3555"/>
      <c r="DD9" s="3555"/>
      <c r="DE9" s="3555"/>
      <c r="DF9" s="3555"/>
      <c r="DG9" s="3555"/>
      <c r="DH9" s="3555"/>
      <c r="DI9" s="3555"/>
      <c r="DJ9" s="3555"/>
      <c r="DK9" s="3555"/>
      <c r="DL9" s="3555"/>
      <c r="DM9" s="3555"/>
      <c r="DN9" s="3555"/>
      <c r="DO9" s="3555"/>
      <c r="DP9" s="3555"/>
      <c r="DQ9" s="3555"/>
      <c r="DR9" s="3555"/>
      <c r="DS9" s="3555"/>
      <c r="DT9" s="3555"/>
    </row>
    <row r="10" spans="1:134" s="3573" customFormat="1" ht="30.75" customHeight="1">
      <c r="A10" s="3558"/>
      <c r="B10" s="4777" t="s">
        <v>0</v>
      </c>
      <c r="C10" s="4777"/>
      <c r="D10" s="4777"/>
      <c r="E10" s="4777"/>
      <c r="F10" s="4777"/>
      <c r="G10" s="2274"/>
      <c r="H10" s="2274"/>
      <c r="I10" s="2274"/>
      <c r="J10" s="2274"/>
      <c r="K10" s="2274"/>
      <c r="L10" s="2274"/>
      <c r="M10" s="3656"/>
      <c r="N10" s="3656"/>
      <c r="O10" s="3656"/>
      <c r="P10" s="3656"/>
      <c r="Q10" s="3656"/>
      <c r="R10" s="3656"/>
      <c r="S10" s="3558"/>
      <c r="T10" s="3558"/>
      <c r="U10" s="3656"/>
      <c r="V10" s="3656"/>
      <c r="W10" s="3656"/>
      <c r="X10" s="3656"/>
      <c r="Y10" s="3656"/>
      <c r="Z10" s="3656"/>
      <c r="AA10" s="3656"/>
      <c r="AB10" s="3656"/>
      <c r="AC10" s="3656"/>
      <c r="AD10" s="3656"/>
      <c r="AE10" s="3656"/>
      <c r="AF10" s="3656"/>
      <c r="AG10" s="3656"/>
      <c r="AH10" s="3656"/>
      <c r="AI10" s="3656"/>
      <c r="AJ10" s="3656"/>
      <c r="AK10" s="3656"/>
      <c r="AL10" s="3656"/>
      <c r="AM10" s="3656"/>
      <c r="AN10" s="3656"/>
      <c r="AO10" s="3656"/>
      <c r="AP10" s="3656"/>
      <c r="AQ10" s="3656"/>
      <c r="AR10" s="3656"/>
      <c r="AS10" s="3656"/>
      <c r="AT10" s="3656"/>
      <c r="AU10" s="3656"/>
      <c r="AV10" s="3656"/>
      <c r="AW10" s="3656"/>
      <c r="AX10" s="3656"/>
      <c r="AY10" s="3656"/>
      <c r="AZ10" s="3656"/>
      <c r="BA10" s="3656"/>
      <c r="BB10" s="3656"/>
      <c r="BC10" s="3656"/>
      <c r="BD10" s="3656"/>
      <c r="BE10" s="3656"/>
      <c r="BF10" s="3656"/>
      <c r="BG10" s="3656"/>
      <c r="BH10" s="3656"/>
      <c r="BI10" s="3656"/>
      <c r="BJ10" s="3656"/>
      <c r="BK10" s="3656"/>
      <c r="BL10" s="3656"/>
      <c r="BM10" s="3656"/>
      <c r="BN10" s="3656"/>
      <c r="BO10" s="3656"/>
      <c r="BP10" s="3656"/>
      <c r="BQ10" s="3656"/>
      <c r="BR10" s="3656"/>
      <c r="BS10" s="3656"/>
      <c r="BT10" s="3656"/>
      <c r="BU10" s="3656"/>
      <c r="BV10" s="3656"/>
      <c r="BW10" s="3656"/>
      <c r="BX10" s="3656"/>
      <c r="BY10" s="3656"/>
      <c r="BZ10" s="3656"/>
      <c r="CA10" s="3656"/>
      <c r="CB10" s="3656"/>
      <c r="CC10" s="3656"/>
      <c r="CD10" s="3656"/>
      <c r="CE10" s="3656"/>
      <c r="CF10" s="3656"/>
      <c r="CG10" s="3656"/>
      <c r="CH10" s="3656"/>
      <c r="CI10" s="3656"/>
      <c r="CJ10" s="3555"/>
      <c r="CK10" s="3555"/>
      <c r="CL10" s="3555"/>
      <c r="CM10" s="3555"/>
      <c r="CN10" s="3555"/>
      <c r="CO10" s="3555"/>
      <c r="CP10" s="3555"/>
      <c r="CQ10" s="3555"/>
      <c r="CR10" s="3555"/>
      <c r="CS10" s="3555"/>
      <c r="CT10" s="3555"/>
      <c r="CU10" s="3555"/>
      <c r="CV10" s="3555"/>
      <c r="CW10" s="3555"/>
      <c r="CX10" s="3555"/>
      <c r="CY10" s="3555"/>
      <c r="CZ10" s="3555"/>
      <c r="DA10" s="3555"/>
      <c r="DB10" s="3555"/>
      <c r="DC10" s="3555"/>
      <c r="DD10" s="3555"/>
      <c r="DE10" s="3555"/>
      <c r="DF10" s="3555"/>
      <c r="DG10" s="3555"/>
      <c r="DH10" s="3555"/>
      <c r="DI10" s="3555"/>
      <c r="DJ10" s="3555"/>
      <c r="DK10" s="3555"/>
      <c r="DL10" s="3555"/>
      <c r="DM10" s="3555"/>
      <c r="DN10" s="3555"/>
      <c r="DO10" s="3555"/>
      <c r="DP10" s="3555"/>
      <c r="DQ10" s="3555"/>
      <c r="DR10" s="3555"/>
      <c r="DS10" s="3555"/>
      <c r="DT10" s="3555"/>
    </row>
    <row r="11" spans="1:134" s="3573" customFormat="1" ht="39" customHeight="1">
      <c r="A11" s="3558"/>
      <c r="B11" s="4756" t="s">
        <v>757</v>
      </c>
      <c r="C11" s="4756"/>
      <c r="D11" s="4756"/>
      <c r="E11" s="4756"/>
      <c r="F11" s="4756"/>
      <c r="G11" s="2274"/>
      <c r="H11" s="2274"/>
      <c r="I11" s="2274"/>
      <c r="J11" s="2274"/>
      <c r="K11" s="2274"/>
      <c r="L11" s="2274"/>
      <c r="M11" s="2274"/>
      <c r="N11" s="3656"/>
      <c r="O11" s="3656"/>
      <c r="P11" s="3656"/>
      <c r="Q11" s="3656"/>
      <c r="R11" s="2274"/>
      <c r="S11" s="2274"/>
      <c r="T11" s="2274"/>
      <c r="U11" s="2274"/>
      <c r="V11" s="2274"/>
      <c r="W11" s="2274"/>
      <c r="X11" s="2274"/>
      <c r="Y11" s="2274"/>
      <c r="Z11" s="2274"/>
      <c r="AA11" s="2274"/>
      <c r="AB11" s="2274"/>
      <c r="AC11" s="2274"/>
      <c r="AD11" s="2274"/>
      <c r="AE11" s="2274"/>
      <c r="AF11" s="2274"/>
      <c r="AG11" s="2274"/>
      <c r="AH11" s="2274"/>
      <c r="AI11" s="2274"/>
      <c r="AJ11" s="2274"/>
      <c r="AK11" s="3656"/>
      <c r="AL11" s="3656"/>
      <c r="AM11" s="3656"/>
      <c r="AN11" s="3656"/>
      <c r="AO11" s="3656"/>
      <c r="AP11" s="3656"/>
      <c r="AQ11" s="3656"/>
      <c r="AR11" s="3656"/>
      <c r="AS11" s="3656"/>
      <c r="AT11" s="3656"/>
      <c r="AU11" s="3656"/>
      <c r="AV11" s="3656"/>
      <c r="AW11" s="3656"/>
      <c r="AX11" s="3656"/>
      <c r="AY11" s="3656"/>
      <c r="AZ11" s="3656"/>
      <c r="BA11" s="3656"/>
      <c r="BB11" s="3656"/>
      <c r="BC11" s="3656"/>
      <c r="BD11" s="3656"/>
      <c r="BE11" s="3656"/>
      <c r="BF11" s="3656"/>
      <c r="BG11" s="3656"/>
      <c r="BH11" s="3656"/>
      <c r="BI11" s="3656"/>
      <c r="BJ11" s="3656"/>
      <c r="BK11" s="3656"/>
      <c r="BL11" s="3656"/>
      <c r="BM11" s="3656"/>
      <c r="BN11" s="3656"/>
      <c r="BO11" s="3656"/>
      <c r="BP11" s="3656"/>
      <c r="BQ11" s="3656"/>
      <c r="BR11" s="3656"/>
      <c r="BS11" s="3656"/>
      <c r="BT11" s="3656"/>
      <c r="BU11" s="3656"/>
      <c r="BV11" s="3656"/>
      <c r="BW11" s="3656"/>
      <c r="BX11" s="3656"/>
      <c r="BY11" s="3656"/>
      <c r="BZ11" s="3656"/>
      <c r="CA11" s="3656"/>
      <c r="CB11" s="3656"/>
      <c r="CC11" s="3656"/>
      <c r="CD11" s="3656"/>
      <c r="CE11" s="3656"/>
      <c r="CF11" s="3656"/>
      <c r="CG11" s="3656"/>
      <c r="CH11" s="3656"/>
      <c r="CI11" s="3555"/>
      <c r="CJ11" s="3555"/>
      <c r="CK11" s="3555"/>
      <c r="CL11" s="3555"/>
      <c r="CM11" s="3555"/>
      <c r="CN11" s="3555"/>
      <c r="CO11" s="3555"/>
      <c r="CP11" s="3555"/>
      <c r="CQ11" s="3555"/>
      <c r="CR11" s="3555"/>
      <c r="CS11" s="3555"/>
      <c r="CT11" s="3555"/>
      <c r="CU11" s="3555"/>
      <c r="CV11" s="3555"/>
      <c r="CW11" s="3555"/>
      <c r="CX11" s="3555"/>
      <c r="CY11" s="3555"/>
      <c r="CZ11" s="3555"/>
      <c r="DA11" s="3555"/>
      <c r="DB11" s="3555"/>
      <c r="DC11" s="3555"/>
      <c r="DD11" s="3555"/>
      <c r="DE11" s="3555"/>
      <c r="DF11" s="3555"/>
      <c r="DG11" s="3555"/>
      <c r="DH11" s="3555"/>
      <c r="DI11" s="3555"/>
      <c r="DJ11" s="3555"/>
      <c r="DK11" s="3555"/>
      <c r="DL11" s="3555"/>
      <c r="DM11" s="3555"/>
      <c r="DN11" s="3555"/>
      <c r="DO11" s="3555"/>
      <c r="DP11" s="3555"/>
      <c r="DQ11" s="3555"/>
      <c r="DR11" s="3555"/>
      <c r="DS11" s="3555"/>
    </row>
    <row r="12" spans="1:134" s="2274" customFormat="1" ht="28.5" customHeight="1">
      <c r="A12" s="3558"/>
      <c r="B12" s="4756"/>
      <c r="C12" s="4756"/>
      <c r="D12" s="4756"/>
      <c r="E12" s="4756"/>
      <c r="F12" s="4756"/>
      <c r="N12" s="3656"/>
      <c r="O12" s="3656"/>
      <c r="P12" s="3656"/>
      <c r="Q12" s="3656"/>
      <c r="AK12" s="3656"/>
      <c r="AL12" s="3656"/>
      <c r="AM12" s="3656"/>
      <c r="AN12" s="3656"/>
      <c r="AO12" s="3656"/>
      <c r="AP12" s="3656"/>
      <c r="AQ12" s="3656"/>
      <c r="AR12" s="3656"/>
      <c r="AS12" s="3656"/>
      <c r="AT12" s="3656"/>
      <c r="AU12" s="3656"/>
      <c r="AV12" s="3656"/>
      <c r="AW12" s="3656"/>
      <c r="AX12" s="3656"/>
      <c r="AY12" s="3656"/>
      <c r="AZ12" s="3656"/>
      <c r="BA12" s="3656"/>
      <c r="BB12" s="3656"/>
      <c r="BC12" s="3656"/>
      <c r="BD12" s="3656"/>
      <c r="BE12" s="3656"/>
      <c r="BF12" s="3656"/>
      <c r="BG12" s="3656"/>
      <c r="BH12" s="3656"/>
      <c r="BI12" s="3656"/>
      <c r="BJ12" s="3656"/>
      <c r="BK12" s="3656"/>
      <c r="BL12" s="3656"/>
      <c r="BM12" s="3656"/>
      <c r="BN12" s="3656"/>
      <c r="BO12" s="3656"/>
      <c r="BP12" s="3656"/>
      <c r="BQ12" s="3656"/>
      <c r="BR12" s="3656"/>
      <c r="BS12" s="3656"/>
      <c r="BT12" s="3656"/>
      <c r="BU12" s="3656"/>
      <c r="BV12" s="3656"/>
      <c r="BW12" s="3656"/>
      <c r="BX12" s="3656"/>
      <c r="BY12" s="3656"/>
      <c r="BZ12" s="3656"/>
      <c r="CA12" s="3656"/>
      <c r="CB12" s="3656"/>
      <c r="CC12" s="3656"/>
      <c r="CD12" s="3656"/>
      <c r="CE12" s="3656"/>
      <c r="CF12" s="3656"/>
      <c r="CG12" s="3656"/>
      <c r="CH12" s="3656"/>
      <c r="CI12" s="3656"/>
      <c r="CJ12" s="3656"/>
      <c r="CK12" s="3656"/>
      <c r="CL12" s="3656"/>
      <c r="CM12" s="3656"/>
      <c r="CN12" s="3656"/>
      <c r="CO12" s="3656"/>
      <c r="CP12" s="3656"/>
      <c r="CQ12" s="3656"/>
      <c r="CR12" s="3656"/>
      <c r="CS12" s="3656"/>
      <c r="CT12" s="3656"/>
      <c r="CU12" s="3656"/>
      <c r="CV12" s="3656"/>
      <c r="CW12" s="3656"/>
      <c r="CX12" s="3656"/>
      <c r="CY12" s="3656"/>
      <c r="CZ12" s="3656"/>
      <c r="DA12" s="3656"/>
      <c r="DB12" s="3656"/>
      <c r="DC12" s="3656"/>
      <c r="DD12" s="3656"/>
    </row>
    <row r="13" spans="1:134">
      <c r="A13" s="3558"/>
      <c r="DE13" s="2274"/>
      <c r="DF13" s="2274"/>
      <c r="DG13" s="2274"/>
      <c r="DH13" s="2274"/>
      <c r="DI13" s="2274"/>
      <c r="DJ13" s="2274"/>
      <c r="DK13" s="2274"/>
      <c r="DL13" s="2274"/>
      <c r="DM13" s="2274"/>
      <c r="DN13" s="2274"/>
      <c r="DO13" s="2274"/>
      <c r="DP13" s="2274"/>
      <c r="DQ13" s="2274"/>
      <c r="DR13" s="2274"/>
      <c r="DS13" s="2274"/>
      <c r="DT13" s="2274"/>
      <c r="DU13" s="2274"/>
      <c r="DV13" s="2274"/>
      <c r="DW13" s="2274"/>
      <c r="DX13" s="2274"/>
      <c r="DY13" s="2274"/>
      <c r="DZ13" s="2274"/>
      <c r="EA13" s="2274"/>
      <c r="EB13" s="2274"/>
      <c r="EC13" s="2274"/>
      <c r="ED13" s="2274"/>
    </row>
    <row r="14" spans="1:134" s="3555" customFormat="1" ht="12.75" customHeight="1" thickBot="1">
      <c r="A14" s="3558"/>
      <c r="B14" s="3656"/>
      <c r="C14" s="3656"/>
      <c r="D14" s="3656"/>
      <c r="E14" s="3656"/>
      <c r="F14" s="3656"/>
      <c r="G14" s="3656"/>
      <c r="H14" s="3656"/>
      <c r="I14" s="3656"/>
      <c r="J14" s="3656"/>
      <c r="K14" s="3656"/>
      <c r="L14" s="3656"/>
      <c r="M14" s="3656"/>
      <c r="N14" s="3656"/>
      <c r="O14" s="3656"/>
      <c r="P14" s="3656"/>
      <c r="Q14" s="3656"/>
      <c r="R14" s="2274"/>
      <c r="S14" s="2274"/>
      <c r="T14" s="2274"/>
      <c r="U14" s="2274"/>
      <c r="V14" s="2274"/>
      <c r="W14" s="2274"/>
      <c r="X14" s="2274"/>
      <c r="Y14" s="2274"/>
      <c r="Z14" s="2274"/>
      <c r="AA14" s="2274"/>
      <c r="AB14" s="2274"/>
      <c r="AC14" s="2274"/>
      <c r="AD14" s="2274"/>
      <c r="AE14" s="2274"/>
      <c r="AF14" s="2274"/>
      <c r="AG14" s="2274"/>
      <c r="AH14" s="2274"/>
      <c r="AI14" s="2274"/>
      <c r="AJ14" s="2274"/>
      <c r="AK14" s="3656"/>
      <c r="AL14" s="3656"/>
      <c r="AM14" s="3656"/>
      <c r="AN14" s="3656"/>
      <c r="AO14" s="3656"/>
      <c r="AP14" s="3656"/>
      <c r="AQ14" s="3656"/>
      <c r="AR14" s="3656"/>
      <c r="AS14" s="3656"/>
      <c r="AT14" s="3656"/>
      <c r="AU14" s="3656"/>
      <c r="AV14" s="3656"/>
      <c r="AW14" s="3656"/>
      <c r="AX14" s="3656"/>
      <c r="AY14" s="3656"/>
      <c r="AZ14" s="3656"/>
      <c r="BA14" s="3656"/>
      <c r="BB14" s="3656"/>
      <c r="BC14" s="3656"/>
      <c r="BD14" s="3656"/>
      <c r="BE14" s="3656"/>
      <c r="BF14" s="3656"/>
      <c r="BG14" s="3656"/>
      <c r="BH14" s="3656"/>
      <c r="BI14" s="3656"/>
      <c r="BJ14" s="3656"/>
      <c r="BK14" s="3656"/>
      <c r="BL14" s="3656"/>
      <c r="BM14" s="3656"/>
      <c r="BN14" s="3656"/>
      <c r="BO14" s="3656"/>
      <c r="BP14" s="3656"/>
      <c r="BQ14" s="3656"/>
      <c r="BR14" s="3656"/>
      <c r="BS14" s="3656"/>
      <c r="BT14" s="3656"/>
      <c r="BU14" s="3656"/>
      <c r="BV14" s="3656"/>
      <c r="BW14" s="3656"/>
      <c r="BX14" s="3656"/>
      <c r="BY14" s="3656"/>
      <c r="BZ14" s="3656"/>
      <c r="CA14" s="3656"/>
      <c r="CB14" s="3656"/>
      <c r="CC14" s="3656"/>
      <c r="CD14" s="3656"/>
      <c r="CE14" s="3656"/>
      <c r="CF14" s="3656"/>
      <c r="CG14" s="3656"/>
      <c r="CH14" s="3656"/>
      <c r="CI14" s="3656"/>
      <c r="CJ14" s="3656"/>
      <c r="CK14" s="3656"/>
      <c r="CL14" s="3656"/>
      <c r="CM14" s="3656"/>
      <c r="CN14" s="3656"/>
      <c r="CO14" s="3656"/>
      <c r="CP14" s="3656"/>
      <c r="CQ14" s="3656"/>
      <c r="CR14" s="3656"/>
      <c r="CS14" s="3656"/>
      <c r="CT14" s="3656"/>
      <c r="CU14" s="3656"/>
      <c r="CV14" s="3656"/>
      <c r="CW14" s="3656"/>
      <c r="CX14" s="3656"/>
      <c r="CY14" s="3656"/>
      <c r="CZ14" s="3656"/>
      <c r="DA14" s="3656"/>
      <c r="DB14" s="3656"/>
      <c r="DC14" s="3656"/>
      <c r="DD14" s="3656"/>
      <c r="DE14" s="2274"/>
      <c r="DF14" s="2274"/>
      <c r="DG14" s="2274"/>
      <c r="DH14" s="2274"/>
      <c r="DI14" s="2274"/>
      <c r="DJ14" s="2274"/>
      <c r="DK14" s="2274"/>
      <c r="DL14" s="2274"/>
      <c r="DM14" s="2274"/>
      <c r="DN14" s="2274"/>
      <c r="DO14" s="2274"/>
      <c r="DP14" s="2274"/>
      <c r="DQ14" s="2274"/>
      <c r="DR14" s="2274"/>
      <c r="DS14" s="2274"/>
      <c r="DT14" s="2274"/>
      <c r="DU14" s="2274"/>
      <c r="DV14" s="2274"/>
      <c r="DW14" s="2274"/>
      <c r="DX14" s="2274"/>
      <c r="DY14" s="2274"/>
      <c r="DZ14" s="2274"/>
      <c r="EA14" s="2274"/>
      <c r="EB14" s="2274"/>
      <c r="EC14" s="2274"/>
      <c r="ED14" s="2274"/>
    </row>
    <row r="15" spans="1:134" s="3555" customFormat="1" ht="12.75" customHeight="1" thickBot="1">
      <c r="A15" s="3558"/>
      <c r="B15" s="3545" t="s">
        <v>553</v>
      </c>
      <c r="C15" s="3545"/>
      <c r="D15" s="3657"/>
      <c r="E15" s="3657"/>
      <c r="F15" s="3657"/>
      <c r="G15" s="3657"/>
      <c r="H15" s="3657"/>
      <c r="I15" s="3657"/>
      <c r="J15" s="3657"/>
      <c r="K15" s="3658"/>
      <c r="L15" s="3658"/>
      <c r="M15" s="3658"/>
      <c r="N15" s="3658"/>
      <c r="O15" s="3658"/>
      <c r="P15" s="3658"/>
      <c r="Q15" s="3658"/>
      <c r="R15" s="3658"/>
      <c r="S15" s="2274"/>
      <c r="T15" s="2274"/>
      <c r="U15" s="2274"/>
      <c r="V15" s="2274"/>
      <c r="W15" s="2274"/>
      <c r="X15" s="2274"/>
      <c r="Y15" s="2274"/>
      <c r="Z15" s="2274"/>
      <c r="AA15" s="2274"/>
      <c r="AB15" s="2274"/>
      <c r="AC15" s="2274"/>
      <c r="AD15" s="2274"/>
      <c r="AE15" s="2274"/>
      <c r="AF15" s="2274"/>
      <c r="AG15" s="2274"/>
      <c r="AH15" s="2274"/>
      <c r="AI15" s="2274"/>
      <c r="AJ15" s="2274"/>
      <c r="AK15" s="3656"/>
      <c r="AL15" s="3656"/>
      <c r="AM15" s="3656"/>
      <c r="AN15" s="3656"/>
      <c r="AO15" s="3656"/>
      <c r="AP15" s="3656"/>
      <c r="AQ15" s="3656"/>
      <c r="AR15" s="3656"/>
      <c r="AS15" s="3656"/>
      <c r="AT15" s="3656"/>
      <c r="AU15" s="3656"/>
      <c r="AV15" s="3656"/>
      <c r="AW15" s="3656"/>
      <c r="AX15" s="3656"/>
      <c r="AY15" s="3656"/>
      <c r="AZ15" s="3656"/>
      <c r="BA15" s="3656"/>
      <c r="BB15" s="3656"/>
      <c r="BC15" s="3656"/>
      <c r="BD15" s="3656"/>
      <c r="BE15" s="3656"/>
      <c r="BF15" s="3656"/>
      <c r="BG15" s="3656"/>
      <c r="BH15" s="3656"/>
      <c r="BI15" s="3656"/>
      <c r="BJ15" s="3656"/>
      <c r="BK15" s="3656"/>
      <c r="BL15" s="3656"/>
      <c r="BM15" s="3656"/>
      <c r="BN15" s="3656"/>
      <c r="BO15" s="3656"/>
      <c r="BP15" s="3656"/>
      <c r="BQ15" s="3656"/>
      <c r="BR15" s="3656"/>
      <c r="BS15" s="3656"/>
      <c r="BT15" s="3656"/>
      <c r="BU15" s="3656"/>
      <c r="BV15" s="3656"/>
      <c r="BW15" s="3656"/>
      <c r="BX15" s="3656"/>
      <c r="BY15" s="3656"/>
      <c r="BZ15" s="3656"/>
      <c r="CA15" s="3656"/>
      <c r="CB15" s="3656"/>
      <c r="CC15" s="3656"/>
      <c r="CD15" s="3656"/>
      <c r="CE15" s="3656"/>
      <c r="CF15" s="3656"/>
      <c r="CG15" s="3656"/>
      <c r="CH15" s="3656"/>
      <c r="CI15" s="3656"/>
      <c r="CJ15" s="3656"/>
      <c r="CK15" s="3656"/>
      <c r="CL15" s="3656"/>
      <c r="CM15" s="3656"/>
      <c r="CN15" s="3656"/>
      <c r="CO15" s="3656"/>
      <c r="CP15" s="3656"/>
      <c r="CQ15" s="3656"/>
      <c r="CR15" s="3656"/>
      <c r="CS15" s="3656"/>
      <c r="CT15" s="3656"/>
      <c r="CU15" s="3656"/>
      <c r="CV15" s="3656"/>
      <c r="CW15" s="3656"/>
      <c r="CX15" s="3656"/>
      <c r="CY15" s="3656"/>
      <c r="CZ15" s="3656"/>
      <c r="DA15" s="3656"/>
      <c r="DB15" s="3656"/>
      <c r="DC15" s="3656"/>
      <c r="DD15" s="3656"/>
      <c r="DE15" s="2274"/>
      <c r="DF15" s="2274"/>
      <c r="DG15" s="2274"/>
      <c r="DH15" s="2274"/>
      <c r="DI15" s="2274"/>
      <c r="DJ15" s="2274"/>
      <c r="DK15" s="2274"/>
      <c r="DL15" s="2274"/>
      <c r="DM15" s="2274"/>
      <c r="DN15" s="2274"/>
      <c r="DO15" s="2274"/>
      <c r="DP15" s="2274"/>
      <c r="DQ15" s="2274"/>
      <c r="DR15" s="2274"/>
      <c r="DS15" s="2274"/>
      <c r="DT15" s="2274"/>
      <c r="DU15" s="2274"/>
      <c r="DV15" s="2274"/>
      <c r="DW15" s="2274"/>
      <c r="DX15" s="2274"/>
      <c r="DY15" s="2274"/>
      <c r="DZ15" s="2274"/>
      <c r="EA15" s="2274"/>
      <c r="EB15" s="2274"/>
      <c r="EC15" s="2274"/>
      <c r="ED15" s="2274"/>
    </row>
    <row r="16" spans="1:134">
      <c r="B16" s="4757"/>
      <c r="C16" s="4758"/>
      <c r="D16" s="4763" t="s">
        <v>36</v>
      </c>
      <c r="E16" s="4764"/>
      <c r="F16" s="4764"/>
      <c r="G16" s="4764"/>
      <c r="H16" s="4764"/>
      <c r="I16" s="4765" t="s">
        <v>37</v>
      </c>
      <c r="J16" s="4766"/>
      <c r="K16" s="4766"/>
      <c r="L16" s="4766"/>
      <c r="M16" s="4766"/>
      <c r="N16" s="4767" t="s">
        <v>75</v>
      </c>
      <c r="O16" s="4767"/>
      <c r="P16" s="4767"/>
      <c r="Q16" s="4767"/>
      <c r="R16" s="4768"/>
    </row>
    <row r="17" spans="2:18">
      <c r="B17" s="4759"/>
      <c r="C17" s="4760"/>
      <c r="D17" s="4769" t="s">
        <v>706</v>
      </c>
      <c r="E17" s="4770"/>
      <c r="F17" s="4770"/>
      <c r="G17" s="4770"/>
      <c r="H17" s="4770"/>
      <c r="I17" s="4770"/>
      <c r="J17" s="4770"/>
      <c r="K17" s="4770"/>
      <c r="L17" s="4770"/>
      <c r="M17" s="4770"/>
      <c r="N17" s="4770"/>
      <c r="O17" s="4770"/>
      <c r="P17" s="4770"/>
      <c r="Q17" s="4770"/>
      <c r="R17" s="4771"/>
    </row>
    <row r="18" spans="2:18">
      <c r="B18" s="4759"/>
      <c r="C18" s="4760"/>
      <c r="D18" s="4769" t="s">
        <v>56</v>
      </c>
      <c r="E18" s="4770"/>
      <c r="F18" s="4770"/>
      <c r="G18" s="4770"/>
      <c r="H18" s="4770"/>
      <c r="I18" s="4770"/>
      <c r="J18" s="4770"/>
      <c r="K18" s="4770"/>
      <c r="L18" s="4772" t="s">
        <v>57</v>
      </c>
      <c r="M18" s="4773"/>
      <c r="N18" s="4773"/>
      <c r="O18" s="4773"/>
      <c r="P18" s="4773"/>
      <c r="Q18" s="4773"/>
      <c r="R18" s="4774"/>
    </row>
    <row r="19" spans="2:18" ht="13.5" thickBot="1">
      <c r="B19" s="4761"/>
      <c r="C19" s="4762"/>
      <c r="D19" s="3659">
        <f t="array" ref="D19:H19">PRCP</f>
        <v>2008</v>
      </c>
      <c r="E19" s="3660">
        <v>2009</v>
      </c>
      <c r="F19" s="3660">
        <v>2010</v>
      </c>
      <c r="G19" s="3660">
        <v>2011</v>
      </c>
      <c r="H19" s="3660">
        <v>2012</v>
      </c>
      <c r="I19" s="3661">
        <f>CRCP_y1</f>
        <v>2013</v>
      </c>
      <c r="J19" s="3661">
        <f>CRCP_y2</f>
        <v>2014</v>
      </c>
      <c r="K19" s="3661">
        <f>CRCP_y3</f>
        <v>2015</v>
      </c>
      <c r="L19" s="3661">
        <f>CRCP_y4</f>
        <v>2016</v>
      </c>
      <c r="M19" s="3661">
        <f>CRCP_y5</f>
        <v>2017</v>
      </c>
      <c r="N19" s="3660" t="str">
        <f t="array" ref="N19:R19">FRCP</f>
        <v>2018</v>
      </c>
      <c r="O19" s="3660">
        <v>2019</v>
      </c>
      <c r="P19" s="3660">
        <v>2020</v>
      </c>
      <c r="Q19" s="3660">
        <v>2021</v>
      </c>
      <c r="R19" s="3662">
        <v>2022</v>
      </c>
    </row>
    <row r="20" spans="2:18" ht="13.5" thickBot="1">
      <c r="B20" s="3663"/>
      <c r="C20" s="3664"/>
      <c r="D20" s="3665"/>
      <c r="E20" s="3665"/>
      <c r="F20" s="3665"/>
      <c r="G20" s="3665"/>
      <c r="H20" s="3665"/>
      <c r="I20" s="3666"/>
      <c r="J20" s="3666"/>
      <c r="K20" s="3666"/>
      <c r="L20" s="3666"/>
      <c r="M20" s="3666"/>
      <c r="N20" s="3665"/>
      <c r="O20" s="3665"/>
      <c r="P20" s="3665"/>
      <c r="Q20" s="3665"/>
      <c r="R20" s="3665"/>
    </row>
    <row r="21" spans="2:18" ht="15.75" thickBot="1">
      <c r="B21" s="3207" t="s">
        <v>554</v>
      </c>
      <c r="C21" s="3667"/>
      <c r="D21" s="3668"/>
      <c r="E21" s="3668"/>
      <c r="F21" s="3668"/>
      <c r="G21" s="3668"/>
      <c r="H21" s="3668"/>
      <c r="I21" s="3669"/>
      <c r="J21" s="3669"/>
      <c r="K21" s="3669"/>
      <c r="L21" s="3669"/>
      <c r="M21" s="3669"/>
      <c r="N21" s="3668"/>
      <c r="O21" s="3668"/>
      <c r="P21" s="3668"/>
      <c r="Q21" s="3668"/>
      <c r="R21" s="3670"/>
    </row>
    <row r="22" spans="2:18" ht="15.75" thickBot="1">
      <c r="B22" s="3671" t="s">
        <v>1619</v>
      </c>
      <c r="C22" s="3672"/>
      <c r="D22" s="3672"/>
      <c r="E22" s="3672"/>
      <c r="F22" s="3672"/>
      <c r="G22" s="3672"/>
      <c r="H22" s="3672"/>
      <c r="I22" s="3672"/>
      <c r="J22" s="3672"/>
      <c r="K22" s="3672"/>
      <c r="L22" s="3672"/>
      <c r="M22" s="3672"/>
      <c r="N22" s="3672"/>
      <c r="O22" s="3672"/>
      <c r="P22" s="3672"/>
      <c r="Q22" s="3672"/>
      <c r="R22" s="3673"/>
    </row>
    <row r="23" spans="2:18" ht="15.75" thickBot="1">
      <c r="B23" s="3674" t="s">
        <v>1620</v>
      </c>
      <c r="C23" s="3675"/>
      <c r="D23" s="3675"/>
      <c r="E23" s="3675"/>
      <c r="F23" s="3675"/>
      <c r="G23" s="3675"/>
      <c r="H23" s="3675"/>
      <c r="I23" s="3675"/>
      <c r="J23" s="3675"/>
      <c r="K23" s="3675"/>
      <c r="L23" s="3675"/>
      <c r="M23" s="3675"/>
      <c r="N23" s="3675"/>
      <c r="O23" s="3675"/>
      <c r="P23" s="3675"/>
      <c r="Q23" s="3675"/>
      <c r="R23" s="3676"/>
    </row>
    <row r="24" spans="2:18" ht="15.75" thickBot="1">
      <c r="B24" s="3677" t="str">
        <f>CONCATENATE("Table 27.1.1"," - ", B23)</f>
        <v>Table 27.1.1 - Tariff V</v>
      </c>
      <c r="C24" s="3675"/>
      <c r="D24" s="3675"/>
      <c r="E24" s="3675"/>
      <c r="F24" s="3675"/>
      <c r="G24" s="3675"/>
      <c r="H24" s="3675"/>
      <c r="I24" s="3675"/>
      <c r="J24" s="3675"/>
      <c r="K24" s="3675"/>
      <c r="L24" s="3675"/>
      <c r="M24" s="3675"/>
      <c r="N24" s="3675"/>
      <c r="O24" s="3675"/>
      <c r="P24" s="3675"/>
      <c r="Q24" s="3675"/>
      <c r="R24" s="3676"/>
    </row>
    <row r="25" spans="2:18" ht="15.75" thickBot="1">
      <c r="B25" s="3678" t="str">
        <f>CONCATENATE("Residential customers"," : ", B23)</f>
        <v>Residential customers : Tariff V</v>
      </c>
      <c r="C25" s="3679"/>
      <c r="D25" s="3679"/>
      <c r="E25" s="3679"/>
      <c r="F25" s="3679"/>
      <c r="G25" s="3679"/>
      <c r="H25" s="3679"/>
      <c r="I25" s="3679"/>
      <c r="J25" s="3679"/>
      <c r="K25" s="3679"/>
      <c r="L25" s="3679"/>
      <c r="M25" s="3679"/>
      <c r="N25" s="3679"/>
      <c r="O25" s="3679"/>
      <c r="P25" s="3679"/>
      <c r="Q25" s="3679"/>
      <c r="R25" s="3680"/>
    </row>
    <row r="26" spans="2:18" ht="13.5" thickBot="1">
      <c r="B26" s="4753" t="s">
        <v>746</v>
      </c>
      <c r="C26" s="3642" t="s">
        <v>744</v>
      </c>
      <c r="D26" s="1602">
        <f>'27.2 Customer numbers Metro'!D26+'27.3 Customer numbers YV'!D26+'27.4 Customer numbers SG'!D26</f>
        <v>635148</v>
      </c>
      <c r="E26" s="480">
        <f>D27</f>
        <v>640187</v>
      </c>
      <c r="F26" s="480">
        <f>E27</f>
        <v>646520</v>
      </c>
      <c r="G26" s="480">
        <f>F27</f>
        <v>651551</v>
      </c>
      <c r="H26" s="480">
        <f>G27</f>
        <v>656512</v>
      </c>
      <c r="I26" s="1602">
        <f>'27.2 Customer numbers Metro'!I26+'27.3 Customer numbers YV'!I26+'27.4 Customer numbers SG'!I26</f>
        <v>661744</v>
      </c>
      <c r="J26" s="480">
        <f>I27</f>
        <v>666324</v>
      </c>
      <c r="K26" s="480">
        <f>J27</f>
        <v>671048</v>
      </c>
      <c r="L26" s="480">
        <f>K27</f>
        <v>675018</v>
      </c>
      <c r="M26" s="480">
        <f>L27</f>
        <v>678068.50666847732</v>
      </c>
      <c r="N26" s="1602">
        <f>'27.2 Customer numbers Metro'!N26+'27.3 Customer numbers YV'!N26+'27.4 Customer numbers SG'!N26</f>
        <v>681420</v>
      </c>
      <c r="O26" s="480">
        <f>N27</f>
        <v>685063.80371202121</v>
      </c>
      <c r="P26" s="480">
        <f>O27</f>
        <v>688840.12529261247</v>
      </c>
      <c r="Q26" s="480">
        <f>P27</f>
        <v>692594.03549417271</v>
      </c>
      <c r="R26" s="480">
        <f>Q27</f>
        <v>696331.82137670764</v>
      </c>
    </row>
    <row r="27" spans="2:18">
      <c r="B27" s="4754"/>
      <c r="C27" s="3681" t="s">
        <v>745</v>
      </c>
      <c r="D27" s="1602">
        <f>'27.2 Customer numbers Metro'!D27+'27.3 Customer numbers YV'!D27+'27.4 Customer numbers SG'!D27</f>
        <v>640187</v>
      </c>
      <c r="E27" s="1602">
        <f>'27.2 Customer numbers Metro'!E27+'27.3 Customer numbers YV'!E27+'27.4 Customer numbers SG'!E27</f>
        <v>646520</v>
      </c>
      <c r="F27" s="1602">
        <f>'27.2 Customer numbers Metro'!F27+'27.3 Customer numbers YV'!F27+'27.4 Customer numbers SG'!F27</f>
        <v>651551</v>
      </c>
      <c r="G27" s="1602">
        <f>'27.2 Customer numbers Metro'!G27+'27.3 Customer numbers YV'!G27+'27.4 Customer numbers SG'!G27</f>
        <v>656512</v>
      </c>
      <c r="H27" s="1602">
        <f>'27.2 Customer numbers Metro'!H27+'27.3 Customer numbers YV'!H27+'27.4 Customer numbers SG'!H27</f>
        <v>661744</v>
      </c>
      <c r="I27" s="1602">
        <f>'27.2 Customer numbers Metro'!I27+'27.3 Customer numbers YV'!I27+'27.4 Customer numbers SG'!I27</f>
        <v>666324</v>
      </c>
      <c r="J27" s="1602">
        <f>'27.2 Customer numbers Metro'!J27+'27.3 Customer numbers YV'!J27+'27.4 Customer numbers SG'!J27</f>
        <v>671048</v>
      </c>
      <c r="K27" s="1602">
        <f>'27.2 Customer numbers Metro'!K27+'27.3 Customer numbers YV'!K27+'27.4 Customer numbers SG'!K27</f>
        <v>675018</v>
      </c>
      <c r="L27" s="1602">
        <f>'27.2 Customer numbers Metro'!L27+'27.3 Customer numbers YV'!L27+'27.4 Customer numbers SG'!L27</f>
        <v>678068.50666847732</v>
      </c>
      <c r="M27" s="1602">
        <f>'27.2 Customer numbers Metro'!M27+'27.3 Customer numbers YV'!M27+'27.4 Customer numbers SG'!M27</f>
        <v>681420.10702551063</v>
      </c>
      <c r="N27" s="1602">
        <f>'27.2 Customer numbers Metro'!N27+'27.3 Customer numbers YV'!N27+'27.4 Customer numbers SG'!N27</f>
        <v>685063.80371202121</v>
      </c>
      <c r="O27" s="1602">
        <f>'27.2 Customer numbers Metro'!O27+'27.3 Customer numbers YV'!O27+'27.4 Customer numbers SG'!O27</f>
        <v>688840.12529261247</v>
      </c>
      <c r="P27" s="1602">
        <f>'27.2 Customer numbers Metro'!P27+'27.3 Customer numbers YV'!P27+'27.4 Customer numbers SG'!P27</f>
        <v>692594.03549417271</v>
      </c>
      <c r="Q27" s="1602">
        <f>'27.2 Customer numbers Metro'!Q27+'27.3 Customer numbers YV'!Q27+'27.4 Customer numbers SG'!Q27</f>
        <v>696331.82137670764</v>
      </c>
      <c r="R27" s="1602">
        <f>'27.2 Customer numbers Metro'!R27+'27.3 Customer numbers YV'!R27+'27.4 Customer numbers SG'!R27</f>
        <v>699909.88351385645</v>
      </c>
    </row>
    <row r="28" spans="2:18" ht="13.5" thickBot="1">
      <c r="B28" s="4754"/>
      <c r="C28" s="3681" t="s">
        <v>70</v>
      </c>
      <c r="D28" s="384">
        <f t="shared" ref="D28:R28" si="0">IF(ISERROR(AVERAGE(D26:D27)),0,AVERAGE(D26:D27))</f>
        <v>637667.5</v>
      </c>
      <c r="E28" s="384">
        <f t="shared" si="0"/>
        <v>643353.5</v>
      </c>
      <c r="F28" s="384">
        <f t="shared" si="0"/>
        <v>649035.5</v>
      </c>
      <c r="G28" s="384">
        <f t="shared" si="0"/>
        <v>654031.5</v>
      </c>
      <c r="H28" s="384">
        <f t="shared" si="0"/>
        <v>659128</v>
      </c>
      <c r="I28" s="384">
        <f t="shared" si="0"/>
        <v>664034</v>
      </c>
      <c r="J28" s="384">
        <f t="shared" si="0"/>
        <v>668686</v>
      </c>
      <c r="K28" s="384">
        <f t="shared" si="0"/>
        <v>673033</v>
      </c>
      <c r="L28" s="384">
        <f t="shared" si="0"/>
        <v>676543.25333423866</v>
      </c>
      <c r="M28" s="384">
        <f t="shared" si="0"/>
        <v>679744.30684699398</v>
      </c>
      <c r="N28" s="384">
        <f t="shared" si="0"/>
        <v>683241.90185601055</v>
      </c>
      <c r="O28" s="384">
        <f t="shared" si="0"/>
        <v>686951.9645023169</v>
      </c>
      <c r="P28" s="384">
        <f t="shared" si="0"/>
        <v>690717.08039339259</v>
      </c>
      <c r="Q28" s="384">
        <f t="shared" si="0"/>
        <v>694462.92843544018</v>
      </c>
      <c r="R28" s="384">
        <f t="shared" si="0"/>
        <v>698120.85244528204</v>
      </c>
    </row>
    <row r="29" spans="2:18" ht="13.5" thickBot="1">
      <c r="B29" s="4754"/>
      <c r="C29" s="3681" t="s">
        <v>71</v>
      </c>
      <c r="D29" s="1602">
        <f>'27.2 Customer numbers Metro'!D29+'27.3 Customer numbers YV'!D29+'27.4 Customer numbers SG'!D29</f>
        <v>7537</v>
      </c>
      <c r="E29" s="1602">
        <f>'27.2 Customer numbers Metro'!E29+'27.3 Customer numbers YV'!E29+'27.4 Customer numbers SG'!E29</f>
        <v>7743</v>
      </c>
      <c r="F29" s="1602">
        <f>'27.2 Customer numbers Metro'!F29+'27.3 Customer numbers YV'!F29+'27.4 Customer numbers SG'!F29</f>
        <v>6890</v>
      </c>
      <c r="G29" s="1602">
        <f>'27.2 Customer numbers Metro'!G29+'27.3 Customer numbers YV'!G29+'27.4 Customer numbers SG'!G29</f>
        <v>7670</v>
      </c>
      <c r="H29" s="1602">
        <f>'27.2 Customer numbers Metro'!H29+'27.3 Customer numbers YV'!H29+'27.4 Customer numbers SG'!H29</f>
        <v>7922.3435616085499</v>
      </c>
      <c r="I29" s="1602">
        <v>7592</v>
      </c>
      <c r="J29" s="1602">
        <v>8230</v>
      </c>
      <c r="K29" s="1602">
        <v>9115</v>
      </c>
      <c r="L29" s="1602">
        <v>8535</v>
      </c>
      <c r="M29" s="1602">
        <v>8669</v>
      </c>
      <c r="N29" s="1602">
        <v>8633</v>
      </c>
      <c r="O29" s="1602">
        <v>8173</v>
      </c>
      <c r="P29" s="1602">
        <v>7741</v>
      </c>
      <c r="Q29" s="1602">
        <v>7888</v>
      </c>
      <c r="R29" s="1602">
        <v>8169</v>
      </c>
    </row>
    <row r="30" spans="2:18" ht="13.5" thickBot="1">
      <c r="B30" s="4755"/>
      <c r="C30" s="3682" t="s">
        <v>60</v>
      </c>
      <c r="D30" s="1602">
        <f>'27.2 Customer numbers Metro'!D30+'27.3 Customer numbers YV'!D30+'27.4 Customer numbers SG'!D30</f>
        <v>3033</v>
      </c>
      <c r="E30" s="1602">
        <f>'27.2 Customer numbers Metro'!E30+'27.3 Customer numbers YV'!E30+'27.4 Customer numbers SG'!E30</f>
        <v>2672</v>
      </c>
      <c r="F30" s="1602">
        <f>'27.2 Customer numbers Metro'!F30+'27.3 Customer numbers YV'!F30+'27.4 Customer numbers SG'!F30</f>
        <v>3031</v>
      </c>
      <c r="G30" s="1602">
        <f>'27.2 Customer numbers Metro'!G30+'27.3 Customer numbers YV'!G30+'27.4 Customer numbers SG'!G30</f>
        <v>3546</v>
      </c>
      <c r="H30" s="1602">
        <f>'27.2 Customer numbers Metro'!H30+'27.3 Customer numbers YV'!H30+'27.4 Customer numbers SG'!H30</f>
        <v>2883.1800942775753</v>
      </c>
      <c r="I30" s="1602">
        <v>2706</v>
      </c>
      <c r="J30" s="1602">
        <v>3551</v>
      </c>
      <c r="K30" s="1602">
        <v>3731</v>
      </c>
      <c r="L30" s="1602">
        <v>5484.4933315226808</v>
      </c>
      <c r="M30" s="1602">
        <v>5317.3996429666877</v>
      </c>
      <c r="N30" s="1602">
        <v>4989.1962879787898</v>
      </c>
      <c r="O30" s="1602">
        <v>4396.6784194087377</v>
      </c>
      <c r="P30" s="1602">
        <v>3987.0897984397598</v>
      </c>
      <c r="Q30" s="1602">
        <v>4150.2141174650751</v>
      </c>
      <c r="R30" s="1602">
        <v>4590.9378628511913</v>
      </c>
    </row>
    <row r="31" spans="2:18" ht="15.75" thickBot="1">
      <c r="B31" s="3677" t="str">
        <f>CONCATENATE("Commercial/industrial customers"," : ",B23)</f>
        <v>Commercial/industrial customers : Tariff V</v>
      </c>
      <c r="C31" s="3672"/>
      <c r="D31" s="3672"/>
      <c r="E31" s="3672"/>
      <c r="F31" s="3672"/>
      <c r="G31" s="3672"/>
      <c r="H31" s="3672"/>
      <c r="I31" s="3672"/>
      <c r="J31" s="3672"/>
      <c r="K31" s="3672"/>
      <c r="L31" s="3672"/>
      <c r="M31" s="3672"/>
      <c r="N31" s="3672"/>
      <c r="O31" s="3672"/>
      <c r="P31" s="3672"/>
      <c r="Q31" s="3672"/>
      <c r="R31" s="3673"/>
    </row>
    <row r="32" spans="2:18" ht="13.5" thickBot="1">
      <c r="B32" s="4753" t="s">
        <v>747</v>
      </c>
      <c r="C32" s="3642" t="s">
        <v>744</v>
      </c>
      <c r="D32" s="1602">
        <f>'27.2 Customer numbers Metro'!D32+'27.3 Customer numbers YV'!D32+'27.4 Customer numbers SG'!D32</f>
        <v>16677</v>
      </c>
      <c r="E32" s="480">
        <f>D33</f>
        <v>16599</v>
      </c>
      <c r="F32" s="480">
        <f>E33</f>
        <v>16530</v>
      </c>
      <c r="G32" s="480">
        <f>F33</f>
        <v>16537</v>
      </c>
      <c r="H32" s="480">
        <f>G33</f>
        <v>16498</v>
      </c>
      <c r="I32" s="1602">
        <f>'27.2 Customer numbers Metro'!I32+'27.3 Customer numbers YV'!I32+'27.4 Customer numbers SG'!I32</f>
        <v>16287</v>
      </c>
      <c r="J32" s="480">
        <f>I33</f>
        <v>16211</v>
      </c>
      <c r="K32" s="480">
        <f>J33</f>
        <v>16186</v>
      </c>
      <c r="L32" s="480">
        <f>K33</f>
        <v>15914</v>
      </c>
      <c r="M32" s="480">
        <f>L33</f>
        <v>15680</v>
      </c>
      <c r="N32" s="1602">
        <f>'27.2 Customer numbers Metro'!N32+'27.3 Customer numbers YV'!N32+'27.4 Customer numbers SG'!N32</f>
        <v>15517</v>
      </c>
      <c r="O32" s="480">
        <f>N33</f>
        <v>15524.096383178001</v>
      </c>
      <c r="P32" s="480">
        <f>O33</f>
        <v>15388.011010389335</v>
      </c>
      <c r="Q32" s="480">
        <f>P33</f>
        <v>15289.628843954948</v>
      </c>
      <c r="R32" s="480">
        <f>Q33</f>
        <v>14973.531106043336</v>
      </c>
    </row>
    <row r="33" spans="2:18">
      <c r="B33" s="4754"/>
      <c r="C33" s="3681" t="s">
        <v>745</v>
      </c>
      <c r="D33" s="1602">
        <f>'27.2 Customer numbers Metro'!D33+'27.3 Customer numbers YV'!D33+'27.4 Customer numbers SG'!D33</f>
        <v>16599</v>
      </c>
      <c r="E33" s="1602">
        <f>'27.2 Customer numbers Metro'!E33+'27.3 Customer numbers YV'!E33+'27.4 Customer numbers SG'!E33</f>
        <v>16530</v>
      </c>
      <c r="F33" s="1602">
        <f>'27.2 Customer numbers Metro'!F33+'27.3 Customer numbers YV'!F33+'27.4 Customer numbers SG'!F33</f>
        <v>16537</v>
      </c>
      <c r="G33" s="1602">
        <f>'27.2 Customer numbers Metro'!G33+'27.3 Customer numbers YV'!G33+'27.4 Customer numbers SG'!G33</f>
        <v>16498</v>
      </c>
      <c r="H33" s="1602">
        <f>'27.2 Customer numbers Metro'!H33+'27.3 Customer numbers YV'!H33+'27.4 Customer numbers SG'!H33</f>
        <v>16274</v>
      </c>
      <c r="I33" s="1602">
        <f>'27.2 Customer numbers Metro'!I33+'27.3 Customer numbers YV'!I33+'27.4 Customer numbers SG'!I33</f>
        <v>16211</v>
      </c>
      <c r="J33" s="1602">
        <f>'27.2 Customer numbers Metro'!J33+'27.3 Customer numbers YV'!J33+'27.4 Customer numbers SG'!J33</f>
        <v>16186</v>
      </c>
      <c r="K33" s="1602">
        <f>'27.2 Customer numbers Metro'!K33+'27.3 Customer numbers YV'!K33+'27.4 Customer numbers SG'!K33</f>
        <v>15914</v>
      </c>
      <c r="L33" s="1602">
        <f>'27.2 Customer numbers Metro'!L33+'27.3 Customer numbers YV'!L33+'27.4 Customer numbers SG'!L33</f>
        <v>15680</v>
      </c>
      <c r="M33" s="1602">
        <f>'27.2 Customer numbers Metro'!M33+'27.3 Customer numbers YV'!M33+'27.4 Customer numbers SG'!M33</f>
        <v>15617.983166244572</v>
      </c>
      <c r="N33" s="1602">
        <f>'27.2 Customer numbers Metro'!N33+'27.3 Customer numbers YV'!N33+'27.4 Customer numbers SG'!N33</f>
        <v>15524.096383178001</v>
      </c>
      <c r="O33" s="1602">
        <f>'27.2 Customer numbers Metro'!O33+'27.3 Customer numbers YV'!O33+'27.4 Customer numbers SG'!O33</f>
        <v>15388.011010389335</v>
      </c>
      <c r="P33" s="1602">
        <f>'27.2 Customer numbers Metro'!P33+'27.3 Customer numbers YV'!P33+'27.4 Customer numbers SG'!P33</f>
        <v>15289.628843954948</v>
      </c>
      <c r="Q33" s="1602">
        <f>'27.2 Customer numbers Metro'!Q33+'27.3 Customer numbers YV'!Q33+'27.4 Customer numbers SG'!Q33</f>
        <v>14973.531106043336</v>
      </c>
      <c r="R33" s="1602">
        <f>'27.2 Customer numbers Metro'!R33+'27.3 Customer numbers YV'!R33+'27.4 Customer numbers SG'!R33</f>
        <v>14898.180545197594</v>
      </c>
    </row>
    <row r="34" spans="2:18" ht="13.5" thickBot="1">
      <c r="B34" s="4754"/>
      <c r="C34" s="3681" t="s">
        <v>70</v>
      </c>
      <c r="D34" s="384">
        <f t="shared" ref="D34:R34" si="1">IF(ISERROR(AVERAGE(D32:D33)),0,AVERAGE(D32:D33))</f>
        <v>16638</v>
      </c>
      <c r="E34" s="384">
        <f t="shared" si="1"/>
        <v>16564.5</v>
      </c>
      <c r="F34" s="384">
        <f t="shared" si="1"/>
        <v>16533.5</v>
      </c>
      <c r="G34" s="384">
        <f t="shared" si="1"/>
        <v>16517.5</v>
      </c>
      <c r="H34" s="384">
        <f t="shared" si="1"/>
        <v>16386</v>
      </c>
      <c r="I34" s="384">
        <f t="shared" si="1"/>
        <v>16249</v>
      </c>
      <c r="J34" s="384">
        <f t="shared" si="1"/>
        <v>16198.5</v>
      </c>
      <c r="K34" s="384">
        <f t="shared" si="1"/>
        <v>16050</v>
      </c>
      <c r="L34" s="384">
        <f t="shared" si="1"/>
        <v>15797</v>
      </c>
      <c r="M34" s="384">
        <f t="shared" si="1"/>
        <v>15648.991583122286</v>
      </c>
      <c r="N34" s="384">
        <f t="shared" si="1"/>
        <v>15520.548191589001</v>
      </c>
      <c r="O34" s="384">
        <f t="shared" si="1"/>
        <v>15456.053696783667</v>
      </c>
      <c r="P34" s="384">
        <f t="shared" si="1"/>
        <v>15338.819927172142</v>
      </c>
      <c r="Q34" s="384">
        <f t="shared" si="1"/>
        <v>15131.579974999142</v>
      </c>
      <c r="R34" s="384">
        <f t="shared" si="1"/>
        <v>14935.855825620465</v>
      </c>
    </row>
    <row r="35" spans="2:18" ht="13.5" thickBot="1">
      <c r="B35" s="4754"/>
      <c r="C35" s="3681" t="s">
        <v>71</v>
      </c>
      <c r="D35" s="1602">
        <f>'27.2 Customer numbers Metro'!D35+'27.3 Customer numbers YV'!D35+'27.4 Customer numbers SG'!D35</f>
        <v>133</v>
      </c>
      <c r="E35" s="1602">
        <f>'27.2 Customer numbers Metro'!E35+'27.3 Customer numbers YV'!E35+'27.4 Customer numbers SG'!E35</f>
        <v>147</v>
      </c>
      <c r="F35" s="1602">
        <f>'27.2 Customer numbers Metro'!F35+'27.3 Customer numbers YV'!F35+'27.4 Customer numbers SG'!F35</f>
        <v>147</v>
      </c>
      <c r="G35" s="1602">
        <f>'27.2 Customer numbers Metro'!G35+'27.3 Customer numbers YV'!G35+'27.4 Customer numbers SG'!G35</f>
        <v>120</v>
      </c>
      <c r="H35" s="1602">
        <f>'27.2 Customer numbers Metro'!H35+'27.3 Customer numbers YV'!H35+'27.4 Customer numbers SG'!H35</f>
        <v>195.87502631850799</v>
      </c>
      <c r="I35" s="1602">
        <v>406</v>
      </c>
      <c r="J35" s="1602">
        <v>439</v>
      </c>
      <c r="K35" s="1602">
        <v>455</v>
      </c>
      <c r="L35" s="1602">
        <v>410</v>
      </c>
      <c r="M35" s="1602">
        <v>414</v>
      </c>
      <c r="N35" s="1602">
        <v>420</v>
      </c>
      <c r="O35" s="1602">
        <v>418</v>
      </c>
      <c r="P35" s="1602">
        <v>431</v>
      </c>
      <c r="Q35" s="1602">
        <v>443</v>
      </c>
      <c r="R35" s="1602">
        <v>436</v>
      </c>
    </row>
    <row r="36" spans="2:18">
      <c r="B36" s="4755"/>
      <c r="C36" s="3682" t="s">
        <v>60</v>
      </c>
      <c r="D36" s="1602">
        <f>'27.2 Customer numbers Metro'!D36+'27.3 Customer numbers YV'!D36+'27.4 Customer numbers SG'!D36</f>
        <v>216</v>
      </c>
      <c r="E36" s="1602">
        <f>'27.2 Customer numbers Metro'!E36+'27.3 Customer numbers YV'!E36+'27.4 Customer numbers SG'!E36</f>
        <v>243</v>
      </c>
      <c r="F36" s="1602">
        <f>'27.2 Customer numbers Metro'!F36+'27.3 Customer numbers YV'!F36+'27.4 Customer numbers SG'!F36</f>
        <v>184</v>
      </c>
      <c r="G36" s="1602">
        <f>'27.2 Customer numbers Metro'!G36+'27.3 Customer numbers YV'!G36+'27.4 Customer numbers SG'!G36</f>
        <v>176</v>
      </c>
      <c r="H36" s="1602">
        <f>'27.2 Customer numbers Metro'!H36+'27.3 Customer numbers YV'!H36+'27.4 Customer numbers SG'!H36</f>
        <v>212.10728554790836</v>
      </c>
      <c r="I36" s="1602">
        <v>0</v>
      </c>
      <c r="J36" s="1602"/>
      <c r="K36" s="1602"/>
      <c r="L36" s="1602">
        <v>644</v>
      </c>
      <c r="M36" s="1602">
        <v>476.0168337554278</v>
      </c>
      <c r="N36" s="1602">
        <v>412.90361682199909</v>
      </c>
      <c r="O36" s="1602">
        <v>554.08537278866606</v>
      </c>
      <c r="P36" s="1602">
        <v>529.38216643438682</v>
      </c>
      <c r="Q36" s="1602">
        <v>759.09773791161206</v>
      </c>
      <c r="R36" s="1602">
        <v>511.35056084574171</v>
      </c>
    </row>
    <row r="37" spans="2:18" ht="13.5" thickBot="1">
      <c r="B37" s="3683"/>
      <c r="C37" s="3672"/>
      <c r="D37" s="3672"/>
      <c r="E37" s="3672"/>
      <c r="F37" s="3672"/>
      <c r="G37" s="3672"/>
      <c r="H37" s="3672"/>
      <c r="I37" s="3672"/>
      <c r="J37" s="3672"/>
      <c r="K37" s="3672"/>
      <c r="L37" s="3672"/>
      <c r="M37" s="3672"/>
      <c r="N37" s="3672"/>
      <c r="O37" s="3672"/>
      <c r="P37" s="3672"/>
      <c r="Q37" s="3672"/>
      <c r="R37" s="3673"/>
    </row>
    <row r="38" spans="2:18" ht="15.75" thickBot="1">
      <c r="B38" s="3674" t="s">
        <v>1621</v>
      </c>
      <c r="C38" s="3672"/>
      <c r="D38" s="3672"/>
      <c r="E38" s="3672"/>
      <c r="F38" s="3672"/>
      <c r="G38" s="3672"/>
      <c r="H38" s="3672"/>
      <c r="I38" s="3672"/>
      <c r="J38" s="3672"/>
      <c r="K38" s="3672"/>
      <c r="L38" s="3672"/>
      <c r="M38" s="3672"/>
      <c r="N38" s="3672"/>
      <c r="O38" s="3672"/>
      <c r="P38" s="3672"/>
      <c r="Q38" s="3672"/>
      <c r="R38" s="3673"/>
    </row>
    <row r="39" spans="2:18" ht="15.75" thickBot="1">
      <c r="B39" s="3677" t="str">
        <f>CONCATENATE("Table 27.1.2"," - ", B38)</f>
        <v>Table 27.1.2 - Tariff L</v>
      </c>
      <c r="C39" s="3672"/>
      <c r="D39" s="3672"/>
      <c r="E39" s="3672"/>
      <c r="F39" s="3672"/>
      <c r="G39" s="3672"/>
      <c r="H39" s="3672"/>
      <c r="I39" s="3672"/>
      <c r="J39" s="3672"/>
      <c r="K39" s="3672"/>
      <c r="L39" s="3672"/>
      <c r="M39" s="3672"/>
      <c r="N39" s="3672"/>
      <c r="O39" s="3672"/>
      <c r="P39" s="3672"/>
      <c r="Q39" s="3672"/>
      <c r="R39" s="3673"/>
    </row>
    <row r="40" spans="2:18" ht="15.75" thickBot="1">
      <c r="B40" s="3678" t="str">
        <f>CONCATENATE("Commercial/industrial customers"," : ",B38)</f>
        <v>Commercial/industrial customers : Tariff L</v>
      </c>
      <c r="C40" s="3679"/>
      <c r="D40" s="3679"/>
      <c r="E40" s="3679"/>
      <c r="F40" s="3679"/>
      <c r="G40" s="3679"/>
      <c r="H40" s="3679"/>
      <c r="I40" s="3679"/>
      <c r="J40" s="3679"/>
      <c r="K40" s="3679"/>
      <c r="L40" s="3679"/>
      <c r="M40" s="3679"/>
      <c r="N40" s="3679"/>
      <c r="O40" s="3679"/>
      <c r="P40" s="3679"/>
      <c r="Q40" s="3679"/>
      <c r="R40" s="3680"/>
    </row>
    <row r="41" spans="2:18" ht="13.5" thickBot="1">
      <c r="B41" s="4753" t="s">
        <v>747</v>
      </c>
      <c r="C41" s="3642" t="s">
        <v>744</v>
      </c>
      <c r="D41" s="1602">
        <f>'27.2 Customer numbers Metro'!D41+'27.3 Customer numbers YV'!D41+'27.4 Customer numbers SG'!D41</f>
        <v>16</v>
      </c>
      <c r="E41" s="480">
        <f>D42</f>
        <v>15</v>
      </c>
      <c r="F41" s="480">
        <f>E42</f>
        <v>15</v>
      </c>
      <c r="G41" s="480">
        <f>F42</f>
        <v>15</v>
      </c>
      <c r="H41" s="480">
        <f>G42</f>
        <v>15</v>
      </c>
      <c r="I41" s="1602">
        <f>'27.2 Customer numbers Metro'!I41+'27.3 Customer numbers YV'!I41+'27.4 Customer numbers SG'!I41</f>
        <v>16</v>
      </c>
      <c r="J41" s="480">
        <f>I42</f>
        <v>16</v>
      </c>
      <c r="K41" s="480">
        <f>J42</f>
        <v>15</v>
      </c>
      <c r="L41" s="480">
        <f>K42</f>
        <v>14</v>
      </c>
      <c r="M41" s="480">
        <f>L42</f>
        <v>14</v>
      </c>
      <c r="N41" s="1602">
        <v>14</v>
      </c>
      <c r="O41" s="480">
        <f>N42</f>
        <v>14</v>
      </c>
      <c r="P41" s="480">
        <f>O42</f>
        <v>14</v>
      </c>
      <c r="Q41" s="480">
        <f>P42</f>
        <v>14</v>
      </c>
      <c r="R41" s="480">
        <f>Q42</f>
        <v>14</v>
      </c>
    </row>
    <row r="42" spans="2:18">
      <c r="B42" s="4754"/>
      <c r="C42" s="3681" t="s">
        <v>745</v>
      </c>
      <c r="D42" s="1602">
        <f>'27.2 Customer numbers Metro'!D42+'27.3 Customer numbers YV'!D42+'27.4 Customer numbers SG'!D42</f>
        <v>15</v>
      </c>
      <c r="E42" s="1602">
        <f>'27.2 Customer numbers Metro'!E42+'27.3 Customer numbers YV'!E42+'27.4 Customer numbers SG'!E42</f>
        <v>15</v>
      </c>
      <c r="F42" s="1602">
        <f>'27.2 Customer numbers Metro'!F42+'27.3 Customer numbers YV'!F42+'27.4 Customer numbers SG'!F42</f>
        <v>15</v>
      </c>
      <c r="G42" s="1602">
        <f>'27.2 Customer numbers Metro'!G42+'27.3 Customer numbers YV'!G42+'27.4 Customer numbers SG'!G42</f>
        <v>15</v>
      </c>
      <c r="H42" s="1602">
        <f>'27.2 Customer numbers Metro'!H42+'27.3 Customer numbers YV'!H42+'27.4 Customer numbers SG'!H42</f>
        <v>16</v>
      </c>
      <c r="I42" s="1602">
        <f>'27.2 Customer numbers Metro'!I42+'27.3 Customer numbers YV'!I42+'27.4 Customer numbers SG'!I42</f>
        <v>16</v>
      </c>
      <c r="J42" s="1602">
        <f>'27.2 Customer numbers Metro'!J42+'27.3 Customer numbers YV'!J42+'27.4 Customer numbers SG'!J42</f>
        <v>15</v>
      </c>
      <c r="K42" s="1602">
        <f>'27.2 Customer numbers Metro'!K42+'27.3 Customer numbers YV'!K42+'27.4 Customer numbers SG'!K42</f>
        <v>14</v>
      </c>
      <c r="L42" s="1602">
        <f>'27.2 Customer numbers Metro'!L42+'27.3 Customer numbers YV'!L42+'27.4 Customer numbers SG'!L42</f>
        <v>14</v>
      </c>
      <c r="M42" s="1602">
        <f>'27.2 Customer numbers Metro'!M42+'27.3 Customer numbers YV'!M42+'27.4 Customer numbers SG'!M42</f>
        <v>14</v>
      </c>
      <c r="N42" s="1602">
        <f>'27.2 Customer numbers Metro'!N42+'27.3 Customer numbers YV'!N42+'27.4 Customer numbers SG'!N42</f>
        <v>14</v>
      </c>
      <c r="O42" s="1602">
        <f>'27.2 Customer numbers Metro'!O42+'27.3 Customer numbers YV'!O42+'27.4 Customer numbers SG'!O42</f>
        <v>14</v>
      </c>
      <c r="P42" s="1602">
        <f>'27.2 Customer numbers Metro'!P42+'27.3 Customer numbers YV'!P42+'27.4 Customer numbers SG'!P42</f>
        <v>14</v>
      </c>
      <c r="Q42" s="1602">
        <f>'27.2 Customer numbers Metro'!Q42+'27.3 Customer numbers YV'!Q42+'27.4 Customer numbers SG'!Q42</f>
        <v>14</v>
      </c>
      <c r="R42" s="1602">
        <f>'27.2 Customer numbers Metro'!R42+'27.3 Customer numbers YV'!R42+'27.4 Customer numbers SG'!R42</f>
        <v>14</v>
      </c>
    </row>
    <row r="43" spans="2:18" ht="13.5" thickBot="1">
      <c r="B43" s="4754"/>
      <c r="C43" s="3681" t="s">
        <v>70</v>
      </c>
      <c r="D43" s="384">
        <f t="shared" ref="D43:R43" si="2">IF(ISERROR(AVERAGE(D41:D42)),0,AVERAGE(D41:D42))</f>
        <v>15.5</v>
      </c>
      <c r="E43" s="384">
        <f t="shared" si="2"/>
        <v>15</v>
      </c>
      <c r="F43" s="384">
        <f t="shared" si="2"/>
        <v>15</v>
      </c>
      <c r="G43" s="384">
        <f t="shared" si="2"/>
        <v>15</v>
      </c>
      <c r="H43" s="384">
        <f t="shared" si="2"/>
        <v>15.5</v>
      </c>
      <c r="I43" s="384">
        <f t="shared" si="2"/>
        <v>16</v>
      </c>
      <c r="J43" s="384">
        <f t="shared" si="2"/>
        <v>15.5</v>
      </c>
      <c r="K43" s="384">
        <f t="shared" si="2"/>
        <v>14.5</v>
      </c>
      <c r="L43" s="384">
        <f t="shared" si="2"/>
        <v>14</v>
      </c>
      <c r="M43" s="384">
        <f t="shared" si="2"/>
        <v>14</v>
      </c>
      <c r="N43" s="384">
        <f t="shared" si="2"/>
        <v>14</v>
      </c>
      <c r="O43" s="384">
        <f t="shared" si="2"/>
        <v>14</v>
      </c>
      <c r="P43" s="384">
        <f t="shared" si="2"/>
        <v>14</v>
      </c>
      <c r="Q43" s="384">
        <f t="shared" si="2"/>
        <v>14</v>
      </c>
      <c r="R43" s="384">
        <f t="shared" si="2"/>
        <v>14</v>
      </c>
    </row>
    <row r="44" spans="2:18" ht="13.5" thickBot="1">
      <c r="B44" s="4754"/>
      <c r="C44" s="3681" t="s">
        <v>71</v>
      </c>
      <c r="D44" s="1602">
        <f>'27.2 Customer numbers Metro'!D44+'27.3 Customer numbers YV'!D44+'27.4 Customer numbers SG'!D44</f>
        <v>0</v>
      </c>
      <c r="E44" s="1602">
        <f>'27.2 Customer numbers Metro'!E44+'27.3 Customer numbers YV'!E44+'27.4 Customer numbers SG'!E44</f>
        <v>0</v>
      </c>
      <c r="F44" s="1602">
        <f>'27.2 Customer numbers Metro'!F44+'27.3 Customer numbers YV'!F44+'27.4 Customer numbers SG'!F44</f>
        <v>0</v>
      </c>
      <c r="G44" s="1602">
        <f>'27.2 Customer numbers Metro'!G44+'27.3 Customer numbers YV'!G44+'27.4 Customer numbers SG'!G44</f>
        <v>0</v>
      </c>
      <c r="H44" s="1602">
        <f>'27.2 Customer numbers Metro'!H44+'27.3 Customer numbers YV'!H44+'27.4 Customer numbers SG'!H44</f>
        <v>1</v>
      </c>
      <c r="I44" s="1602">
        <v>7</v>
      </c>
      <c r="J44" s="1602">
        <v>5</v>
      </c>
      <c r="K44" s="1602">
        <v>14</v>
      </c>
      <c r="L44" s="1602">
        <f>'27.2 Customer numbers Metro'!L44+'27.3 Customer numbers YV'!L44+'27.4 Customer numbers SG'!L44</f>
        <v>0</v>
      </c>
      <c r="M44" s="1602">
        <f>'27.2 Customer numbers Metro'!M44+'27.3 Customer numbers YV'!M44+'27.4 Customer numbers SG'!M44</f>
        <v>0</v>
      </c>
      <c r="N44" s="1602">
        <f>'27.2 Customer numbers Metro'!N44+'27.3 Customer numbers YV'!N44+'27.4 Customer numbers SG'!N44</f>
        <v>0</v>
      </c>
      <c r="O44" s="1602">
        <f>'27.2 Customer numbers Metro'!O44+'27.3 Customer numbers YV'!O44+'27.4 Customer numbers SG'!O44</f>
        <v>0</v>
      </c>
      <c r="P44" s="1602">
        <f>'27.2 Customer numbers Metro'!P44+'27.3 Customer numbers YV'!P44+'27.4 Customer numbers SG'!P44</f>
        <v>0</v>
      </c>
      <c r="Q44" s="1602">
        <f>'27.2 Customer numbers Metro'!Q44+'27.3 Customer numbers YV'!Q44+'27.4 Customer numbers SG'!Q44</f>
        <v>0</v>
      </c>
      <c r="R44" s="1602">
        <f>'27.2 Customer numbers Metro'!R44+'27.3 Customer numbers YV'!R44+'27.4 Customer numbers SG'!R44</f>
        <v>0</v>
      </c>
    </row>
    <row r="45" spans="2:18">
      <c r="B45" s="4755"/>
      <c r="C45" s="3682" t="s">
        <v>60</v>
      </c>
      <c r="D45" s="1602">
        <f>'27.2 Customer numbers Metro'!D45+'27.3 Customer numbers YV'!D45+'27.4 Customer numbers SG'!D45</f>
        <v>1</v>
      </c>
      <c r="E45" s="1602">
        <f>'27.2 Customer numbers Metro'!E45+'27.3 Customer numbers YV'!E45+'27.4 Customer numbers SG'!E45</f>
        <v>0</v>
      </c>
      <c r="F45" s="1602">
        <f>'27.2 Customer numbers Metro'!F45+'27.3 Customer numbers YV'!F45+'27.4 Customer numbers SG'!F45</f>
        <v>0</v>
      </c>
      <c r="G45" s="1602">
        <f>'27.2 Customer numbers Metro'!G45+'27.3 Customer numbers YV'!G45+'27.4 Customer numbers SG'!G45</f>
        <v>0</v>
      </c>
      <c r="H45" s="1602">
        <f>'27.2 Customer numbers Metro'!H45+'27.3 Customer numbers YV'!H45+'27.4 Customer numbers SG'!H45</f>
        <v>0</v>
      </c>
      <c r="I45" s="1602">
        <f>'27.2 Customer numbers Metro'!I45+'27.3 Customer numbers YV'!I45+'27.4 Customer numbers SG'!I45</f>
        <v>0</v>
      </c>
      <c r="J45" s="1602">
        <f>'27.2 Customer numbers Metro'!J45+'27.3 Customer numbers YV'!J45+'27.4 Customer numbers SG'!J45</f>
        <v>1</v>
      </c>
      <c r="K45" s="1602">
        <f>'27.2 Customer numbers Metro'!K45+'27.3 Customer numbers YV'!K45+'27.4 Customer numbers SG'!K45</f>
        <v>1</v>
      </c>
      <c r="L45" s="1602">
        <f>'27.2 Customer numbers Metro'!L45+'27.3 Customer numbers YV'!L45+'27.4 Customer numbers SG'!L45</f>
        <v>0</v>
      </c>
      <c r="M45" s="1602">
        <f>'27.2 Customer numbers Metro'!M45+'27.3 Customer numbers YV'!M45+'27.4 Customer numbers SG'!M45</f>
        <v>0</v>
      </c>
      <c r="N45" s="1602">
        <f>'27.2 Customer numbers Metro'!N45+'27.3 Customer numbers YV'!N45+'27.4 Customer numbers SG'!N45</f>
        <v>0</v>
      </c>
      <c r="O45" s="1602">
        <f>'27.2 Customer numbers Metro'!O45+'27.3 Customer numbers YV'!O45+'27.4 Customer numbers SG'!O45</f>
        <v>0</v>
      </c>
      <c r="P45" s="1602">
        <f>'27.2 Customer numbers Metro'!P45+'27.3 Customer numbers YV'!P45+'27.4 Customer numbers SG'!P45</f>
        <v>0</v>
      </c>
      <c r="Q45" s="1602">
        <f>'27.2 Customer numbers Metro'!Q45+'27.3 Customer numbers YV'!Q45+'27.4 Customer numbers SG'!Q45</f>
        <v>0</v>
      </c>
      <c r="R45" s="1602">
        <f>'27.2 Customer numbers Metro'!R45+'27.3 Customer numbers YV'!R45+'27.4 Customer numbers SG'!R45</f>
        <v>0</v>
      </c>
    </row>
    <row r="46" spans="2:18" ht="13.5" thickBot="1">
      <c r="B46" s="3683"/>
      <c r="C46" s="3672"/>
      <c r="D46" s="3672"/>
      <c r="E46" s="3672"/>
      <c r="F46" s="3672"/>
      <c r="G46" s="3672"/>
      <c r="H46" s="3672"/>
      <c r="I46" s="3672"/>
      <c r="J46" s="3672"/>
      <c r="K46" s="3672"/>
      <c r="L46" s="3672"/>
      <c r="M46" s="3672"/>
      <c r="N46" s="3672"/>
      <c r="O46" s="3672"/>
      <c r="P46" s="3672"/>
      <c r="Q46" s="3672"/>
      <c r="R46" s="3673"/>
    </row>
    <row r="47" spans="2:18" ht="15.75" thickBot="1">
      <c r="B47" s="3674" t="s">
        <v>1622</v>
      </c>
      <c r="C47" s="3672"/>
      <c r="D47" s="3672"/>
      <c r="E47" s="3672"/>
      <c r="F47" s="3672"/>
      <c r="G47" s="3672"/>
      <c r="H47" s="3672"/>
      <c r="I47" s="3672"/>
      <c r="J47" s="3672"/>
      <c r="K47" s="3672"/>
      <c r="L47" s="3672"/>
      <c r="M47" s="3672"/>
      <c r="N47" s="3672"/>
      <c r="O47" s="3672"/>
      <c r="P47" s="3672"/>
      <c r="Q47" s="3672"/>
      <c r="R47" s="3673"/>
    </row>
    <row r="48" spans="2:18" ht="15.75" thickBot="1">
      <c r="B48" s="3677" t="str">
        <f>CONCATENATE("Table 27.1.3"," - ", B47)</f>
        <v>Table 27.1.3 - Tariff D</v>
      </c>
      <c r="C48" s="3672"/>
      <c r="D48" s="3672"/>
      <c r="E48" s="3672"/>
      <c r="F48" s="3672"/>
      <c r="G48" s="3672"/>
      <c r="H48" s="3672"/>
      <c r="I48" s="3672"/>
      <c r="J48" s="3672"/>
      <c r="K48" s="3672"/>
      <c r="L48" s="3672"/>
      <c r="M48" s="3672"/>
      <c r="N48" s="3672"/>
      <c r="O48" s="3672"/>
      <c r="P48" s="3672"/>
      <c r="Q48" s="3672"/>
      <c r="R48" s="3673"/>
    </row>
    <row r="49" spans="2:18" ht="15.75" thickBot="1">
      <c r="B49" s="3678" t="str">
        <f>CONCATENATE("Commercial/industrial customers"," : ",B47)</f>
        <v>Commercial/industrial customers : Tariff D</v>
      </c>
      <c r="C49" s="3679"/>
      <c r="D49" s="3679"/>
      <c r="E49" s="3679"/>
      <c r="F49" s="3679"/>
      <c r="G49" s="3679"/>
      <c r="H49" s="3679"/>
      <c r="I49" s="3679"/>
      <c r="J49" s="3679"/>
      <c r="K49" s="3679"/>
      <c r="L49" s="3679"/>
      <c r="M49" s="3679"/>
      <c r="N49" s="3679"/>
      <c r="O49" s="3679"/>
      <c r="P49" s="3679"/>
      <c r="Q49" s="3679"/>
      <c r="R49" s="3680"/>
    </row>
    <row r="50" spans="2:18" ht="13.5" thickBot="1">
      <c r="B50" s="4753" t="s">
        <v>747</v>
      </c>
      <c r="C50" s="3642" t="s">
        <v>744</v>
      </c>
      <c r="D50" s="1602">
        <f>'27.2 Customer numbers Metro'!D50+'27.3 Customer numbers YV'!D50+'27.4 Customer numbers SG'!D50</f>
        <v>266</v>
      </c>
      <c r="E50" s="480">
        <f>D51</f>
        <v>262</v>
      </c>
      <c r="F50" s="480">
        <f>E51</f>
        <v>265</v>
      </c>
      <c r="G50" s="480">
        <f>F51</f>
        <v>270</v>
      </c>
      <c r="H50" s="480">
        <f>G51</f>
        <v>265</v>
      </c>
      <c r="I50" s="1602">
        <f>'27.2 Customer numbers Metro'!I50+'27.3 Customer numbers YV'!I50+'27.4 Customer numbers SG'!I50</f>
        <v>265</v>
      </c>
      <c r="J50" s="480">
        <f>I51</f>
        <v>265.85906040268458</v>
      </c>
      <c r="K50" s="480">
        <f>J51</f>
        <v>265.87969924812029</v>
      </c>
      <c r="L50" s="480">
        <f>K51</f>
        <v>268.92619657364889</v>
      </c>
      <c r="M50" s="480">
        <f>L51</f>
        <v>263.17817165390926</v>
      </c>
      <c r="N50" s="1602">
        <v>263</v>
      </c>
      <c r="O50" s="480">
        <f>N51</f>
        <v>262.62047329451622</v>
      </c>
      <c r="P50" s="480">
        <f>O51</f>
        <v>259.35773666267204</v>
      </c>
      <c r="Q50" s="480">
        <f>P51</f>
        <v>255.98034759482363</v>
      </c>
      <c r="R50" s="480">
        <f>Q51</f>
        <v>251.61618837745368</v>
      </c>
    </row>
    <row r="51" spans="2:18">
      <c r="B51" s="4754"/>
      <c r="C51" s="3681" t="s">
        <v>745</v>
      </c>
      <c r="D51" s="1602">
        <f>'27.2 Customer numbers Metro'!D51+'27.3 Customer numbers YV'!D51+'27.4 Customer numbers SG'!D51</f>
        <v>262</v>
      </c>
      <c r="E51" s="1602">
        <f>'27.2 Customer numbers Metro'!E51+'27.3 Customer numbers YV'!E51+'27.4 Customer numbers SG'!E51</f>
        <v>265</v>
      </c>
      <c r="F51" s="1602">
        <f>'27.2 Customer numbers Metro'!F51+'27.3 Customer numbers YV'!F51+'27.4 Customer numbers SG'!F51</f>
        <v>270</v>
      </c>
      <c r="G51" s="1602">
        <f>'27.2 Customer numbers Metro'!G51+'27.3 Customer numbers YV'!G51+'27.4 Customer numbers SG'!G51</f>
        <v>265</v>
      </c>
      <c r="H51" s="1602">
        <f>'27.2 Customer numbers Metro'!H51+'27.3 Customer numbers YV'!H51+'27.4 Customer numbers SG'!H51</f>
        <v>264.85906040268458</v>
      </c>
      <c r="I51" s="1602">
        <f>'27.2 Customer numbers Metro'!I51+'27.3 Customer numbers YV'!I51+'27.4 Customer numbers SG'!I51</f>
        <v>265.85906040268458</v>
      </c>
      <c r="J51" s="1602">
        <f>'27.2 Customer numbers Metro'!J51+'27.3 Customer numbers YV'!J51+'27.4 Customer numbers SG'!J51</f>
        <v>265.87969924812029</v>
      </c>
      <c r="K51" s="1602">
        <f>'27.2 Customer numbers Metro'!K51+'27.3 Customer numbers YV'!K51+'27.4 Customer numbers SG'!K51</f>
        <v>268.92619657364889</v>
      </c>
      <c r="L51" s="1602">
        <f>'27.2 Customer numbers Metro'!L51+'27.3 Customer numbers YV'!L51+'27.4 Customer numbers SG'!L51</f>
        <v>263.17817165390926</v>
      </c>
      <c r="M51" s="1602">
        <f>'27.2 Customer numbers Metro'!M51+'27.3 Customer numbers YV'!M51+'27.4 Customer numbers SG'!M51</f>
        <v>264.52779764033988</v>
      </c>
      <c r="N51" s="1602">
        <f>'27.2 Customer numbers Metro'!N51+'27.3 Customer numbers YV'!N51+'27.4 Customer numbers SG'!N51</f>
        <v>262.62047329451622</v>
      </c>
      <c r="O51" s="1602">
        <f>'27.2 Customer numbers Metro'!O51+'27.3 Customer numbers YV'!O51+'27.4 Customer numbers SG'!O51</f>
        <v>259.35773666267204</v>
      </c>
      <c r="P51" s="1602">
        <f>'27.2 Customer numbers Metro'!P51+'27.3 Customer numbers YV'!P51+'27.4 Customer numbers SG'!P51</f>
        <v>255.98034759482363</v>
      </c>
      <c r="Q51" s="1602">
        <f>'27.2 Customer numbers Metro'!Q51+'27.3 Customer numbers YV'!Q51+'27.4 Customer numbers SG'!Q51</f>
        <v>251.61618837745368</v>
      </c>
      <c r="R51" s="1602">
        <f>'27.2 Customer numbers Metro'!R51+'27.3 Customer numbers YV'!R51+'27.4 Customer numbers SG'!R51</f>
        <v>249.40245500564262</v>
      </c>
    </row>
    <row r="52" spans="2:18" ht="13.5" thickBot="1">
      <c r="B52" s="4754"/>
      <c r="C52" s="3681" t="s">
        <v>70</v>
      </c>
      <c r="D52" s="384">
        <f t="shared" ref="D52:R52" si="3">IF(ISERROR(AVERAGE(D50:D51)),0,AVERAGE(D50:D51))</f>
        <v>264</v>
      </c>
      <c r="E52" s="384">
        <f t="shared" si="3"/>
        <v>263.5</v>
      </c>
      <c r="F52" s="384">
        <f t="shared" si="3"/>
        <v>267.5</v>
      </c>
      <c r="G52" s="384">
        <f t="shared" si="3"/>
        <v>267.5</v>
      </c>
      <c r="H52" s="384">
        <f t="shared" si="3"/>
        <v>264.92953020134229</v>
      </c>
      <c r="I52" s="384">
        <f t="shared" si="3"/>
        <v>265.42953020134229</v>
      </c>
      <c r="J52" s="384">
        <f t="shared" si="3"/>
        <v>265.86937982540246</v>
      </c>
      <c r="K52" s="384">
        <f t="shared" si="3"/>
        <v>267.40294791088456</v>
      </c>
      <c r="L52" s="384">
        <f t="shared" si="3"/>
        <v>266.05218411377905</v>
      </c>
      <c r="M52" s="384">
        <f t="shared" si="3"/>
        <v>263.85298464712457</v>
      </c>
      <c r="N52" s="384">
        <f t="shared" si="3"/>
        <v>262.81023664725808</v>
      </c>
      <c r="O52" s="384">
        <f t="shared" si="3"/>
        <v>260.98910497859413</v>
      </c>
      <c r="P52" s="384">
        <f t="shared" si="3"/>
        <v>257.66904212874783</v>
      </c>
      <c r="Q52" s="384">
        <f t="shared" si="3"/>
        <v>253.79826798613865</v>
      </c>
      <c r="R52" s="384">
        <f t="shared" si="3"/>
        <v>250.50932169154817</v>
      </c>
    </row>
    <row r="53" spans="2:18" ht="13.5" thickBot="1">
      <c r="B53" s="4754"/>
      <c r="C53" s="3681" t="s">
        <v>71</v>
      </c>
      <c r="D53" s="1602">
        <f>'27.2 Customer numbers Metro'!D53+'27.3 Customer numbers YV'!D53+'27.4 Customer numbers SG'!D53</f>
        <v>130</v>
      </c>
      <c r="E53" s="1602">
        <f>'27.2 Customer numbers Metro'!E53+'27.3 Customer numbers YV'!E53+'27.4 Customer numbers SG'!E53</f>
        <v>22</v>
      </c>
      <c r="F53" s="1602">
        <f>'27.2 Customer numbers Metro'!F53+'27.3 Customer numbers YV'!F53+'27.4 Customer numbers SG'!F53</f>
        <v>6</v>
      </c>
      <c r="G53" s="1602">
        <f>'27.2 Customer numbers Metro'!G53+'27.3 Customer numbers YV'!G53+'27.4 Customer numbers SG'!G53</f>
        <v>0</v>
      </c>
      <c r="H53" s="1602">
        <f>'27.2 Customer numbers Metro'!H53+'27.3 Customer numbers YV'!H53+'27.4 Customer numbers SG'!H53</f>
        <v>0</v>
      </c>
      <c r="I53" s="1602">
        <f>'27.2 Customer numbers Metro'!I53+'27.3 Customer numbers YV'!I53+'27.4 Customer numbers SG'!I53</f>
        <v>0</v>
      </c>
      <c r="J53" s="1602">
        <f>'27.2 Customer numbers Metro'!J53+'27.3 Customer numbers YV'!J53+'27.4 Customer numbers SG'!J53</f>
        <v>0</v>
      </c>
      <c r="K53" s="1602">
        <f>'27.2 Customer numbers Metro'!K53+'27.3 Customer numbers YV'!K53+'27.4 Customer numbers SG'!K53</f>
        <v>0</v>
      </c>
      <c r="L53" s="1602">
        <f>'27.2 Customer numbers Metro'!L53+'27.3 Customer numbers YV'!L53+'27.4 Customer numbers SG'!L53</f>
        <v>0</v>
      </c>
      <c r="M53" s="1602">
        <f>'27.2 Customer numbers Metro'!M53+'27.3 Customer numbers YV'!M53+'27.4 Customer numbers SG'!M53</f>
        <v>0</v>
      </c>
      <c r="N53" s="1602">
        <f>'27.2 Customer numbers Metro'!N53+'27.3 Customer numbers YV'!N53+'27.4 Customer numbers SG'!N53</f>
        <v>0</v>
      </c>
      <c r="O53" s="1602">
        <f>'27.2 Customer numbers Metro'!O53+'27.3 Customer numbers YV'!O53+'27.4 Customer numbers SG'!O53</f>
        <v>0</v>
      </c>
      <c r="P53" s="1602">
        <f>'27.2 Customer numbers Metro'!P53+'27.3 Customer numbers YV'!P53+'27.4 Customer numbers SG'!P53</f>
        <v>0</v>
      </c>
      <c r="Q53" s="1602">
        <f>'27.2 Customer numbers Metro'!Q53+'27.3 Customer numbers YV'!Q53+'27.4 Customer numbers SG'!Q53</f>
        <v>0</v>
      </c>
      <c r="R53" s="1602">
        <f>'27.2 Customer numbers Metro'!R53+'27.3 Customer numbers YV'!R53+'27.4 Customer numbers SG'!R53</f>
        <v>0</v>
      </c>
    </row>
    <row r="54" spans="2:18">
      <c r="B54" s="4755"/>
      <c r="C54" s="3682" t="s">
        <v>60</v>
      </c>
      <c r="D54" s="1602">
        <f>'27.2 Customer numbers Metro'!D54+'27.3 Customer numbers YV'!D54+'27.4 Customer numbers SG'!D54</f>
        <v>126</v>
      </c>
      <c r="E54" s="1602">
        <f>'27.2 Customer numbers Metro'!E54+'27.3 Customer numbers YV'!E54+'27.4 Customer numbers SG'!E54</f>
        <v>24</v>
      </c>
      <c r="F54" s="1602">
        <f>'27.2 Customer numbers Metro'!F54+'27.3 Customer numbers YV'!F54+'27.4 Customer numbers SG'!F54</f>
        <v>11</v>
      </c>
      <c r="G54" s="1602">
        <f>'27.2 Customer numbers Metro'!G54+'27.3 Customer numbers YV'!G54+'27.4 Customer numbers SG'!G54</f>
        <v>0</v>
      </c>
      <c r="H54" s="1602">
        <f>'27.2 Customer numbers Metro'!H54+'27.3 Customer numbers YV'!H54+'27.4 Customer numbers SG'!H54</f>
        <v>0</v>
      </c>
      <c r="I54" s="1602">
        <f>'27.2 Customer numbers Metro'!I54+'27.3 Customer numbers YV'!I54+'27.4 Customer numbers SG'!I54</f>
        <v>0</v>
      </c>
      <c r="J54" s="1602">
        <f>'27.2 Customer numbers Metro'!J54+'27.3 Customer numbers YV'!J54+'27.4 Customer numbers SG'!J54</f>
        <v>0</v>
      </c>
      <c r="K54" s="1602">
        <f>'27.2 Customer numbers Metro'!K54+'27.3 Customer numbers YV'!K54+'27.4 Customer numbers SG'!K54</f>
        <v>0</v>
      </c>
      <c r="L54" s="1602">
        <f>'27.2 Customer numbers Metro'!L54+'27.3 Customer numbers YV'!L54+'27.4 Customer numbers SG'!L54</f>
        <v>0</v>
      </c>
      <c r="M54" s="1602">
        <f>'27.2 Customer numbers Metro'!M54+'27.3 Customer numbers YV'!M54+'27.4 Customer numbers SG'!M54</f>
        <v>0</v>
      </c>
      <c r="N54" s="1602">
        <f>'27.2 Customer numbers Metro'!N54+'27.3 Customer numbers YV'!N54+'27.4 Customer numbers SG'!N54</f>
        <v>0</v>
      </c>
      <c r="O54" s="1602">
        <f>'27.2 Customer numbers Metro'!O54+'27.3 Customer numbers YV'!O54+'27.4 Customer numbers SG'!O54</f>
        <v>0</v>
      </c>
      <c r="P54" s="1602">
        <f>'27.2 Customer numbers Metro'!P54+'27.3 Customer numbers YV'!P54+'27.4 Customer numbers SG'!P54</f>
        <v>0</v>
      </c>
      <c r="Q54" s="1602">
        <f>'27.2 Customer numbers Metro'!Q54+'27.3 Customer numbers YV'!Q54+'27.4 Customer numbers SG'!Q54</f>
        <v>0</v>
      </c>
      <c r="R54" s="1602">
        <f>'27.2 Customer numbers Metro'!R54+'27.3 Customer numbers YV'!R54+'27.4 Customer numbers SG'!R54</f>
        <v>0</v>
      </c>
    </row>
  </sheetData>
  <mergeCells count="18">
    <mergeCell ref="B11:F11"/>
    <mergeCell ref="B6:F6"/>
    <mergeCell ref="B7:F7"/>
    <mergeCell ref="B8:F8"/>
    <mergeCell ref="B9:F9"/>
    <mergeCell ref="B10:F10"/>
    <mergeCell ref="I16:M16"/>
    <mergeCell ref="N16:R16"/>
    <mergeCell ref="D17:R17"/>
    <mergeCell ref="D18:K18"/>
    <mergeCell ref="L18:R18"/>
    <mergeCell ref="B26:B30"/>
    <mergeCell ref="B32:B36"/>
    <mergeCell ref="B41:B45"/>
    <mergeCell ref="B50:B54"/>
    <mergeCell ref="B12:F12"/>
    <mergeCell ref="B16:C19"/>
    <mergeCell ref="D16:H16"/>
  </mergeCells>
  <pageMargins left="0.75" right="0.75" top="1" bottom="1" header="0.5" footer="0.5"/>
  <pageSetup paperSize="9" orientation="portrait" r:id="rId1"/>
  <headerFooter alignWithMargins="0"/>
  <customProperties>
    <customPr name="layoutContexts" r:id="rId2"/>
    <customPr name="SaveUndoMode" r:id="rId3"/>
  </customProperties>
  <drawing r:id="rId4"/>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D54"/>
  <sheetViews>
    <sheetView topLeftCell="B1" zoomScale="70" zoomScaleNormal="70" workbookViewId="0">
      <selection activeCell="P27" sqref="P27"/>
    </sheetView>
  </sheetViews>
  <sheetFormatPr defaultColWidth="9.140625" defaultRowHeight="12.75"/>
  <cols>
    <col min="1" max="1" width="16.28515625" style="3656" bestFit="1" customWidth="1"/>
    <col min="2" max="2" width="54.42578125" style="3656" customWidth="1"/>
    <col min="3" max="3" width="42.42578125" style="3656" customWidth="1"/>
    <col min="4" max="17" width="15.7109375" style="3656" customWidth="1"/>
    <col min="18" max="18" width="14" style="2274" customWidth="1"/>
    <col min="19" max="36" width="8.7109375" style="2274" customWidth="1"/>
    <col min="37" max="16384" width="9.140625" style="3656"/>
  </cols>
  <sheetData>
    <row r="1" spans="1:134" s="2276" customFormat="1" ht="24.95" customHeight="1">
      <c r="B1" s="2272" t="str">
        <f>IF(dms_DataQuality="backcast",INDEX(dms_Worksheet_List,MATCH(dms_Model,dms_Model_List))&amp;" BACKCAST",INDEX(dms_Worksheet_List,MATCH(dms_Model,dms_Model_List)))</f>
        <v>REGULATORY REPORTING STATEMENT</v>
      </c>
      <c r="C1" s="3654"/>
      <c r="D1" s="3654"/>
      <c r="E1" s="3654"/>
      <c r="F1" s="3654"/>
      <c r="G1" s="3654"/>
      <c r="H1" s="3654"/>
      <c r="I1" s="3654"/>
      <c r="J1" s="3654"/>
      <c r="K1" s="3654"/>
      <c r="L1" s="3654"/>
      <c r="M1" s="3654"/>
      <c r="N1" s="3654"/>
      <c r="O1" s="3654"/>
      <c r="P1" s="3654"/>
      <c r="Q1" s="3654"/>
      <c r="R1" s="3654"/>
      <c r="S1" s="2274"/>
      <c r="T1" s="2274"/>
      <c r="U1" s="2274"/>
      <c r="V1" s="2274"/>
      <c r="W1" s="2274"/>
      <c r="X1" s="2274"/>
      <c r="Y1" s="2274"/>
      <c r="Z1" s="2274"/>
      <c r="AA1" s="2274"/>
      <c r="AB1" s="2274"/>
      <c r="AC1" s="2274"/>
      <c r="AD1" s="2274"/>
      <c r="AE1" s="2274"/>
      <c r="AF1" s="2274"/>
      <c r="AG1" s="2274"/>
      <c r="AH1" s="2274"/>
      <c r="AI1" s="2274"/>
      <c r="AJ1" s="2274"/>
    </row>
    <row r="2" spans="1:134" s="2276" customFormat="1" ht="24.95" customHeight="1">
      <c r="B2" s="2277" t="str">
        <f>INDEX(dms_TradingNameFull_List,MATCH(dms_TradingName,dms_TradingName_List))</f>
        <v>Multinet Gas (DB No.1) Pty Ltd (ACN 086 026 986), Multinet Gas (DB No.2) Pty Ltd (ACN 086 230 122)</v>
      </c>
      <c r="C2" s="2277"/>
      <c r="D2" s="2277"/>
      <c r="E2" s="2277"/>
      <c r="F2" s="2277"/>
      <c r="G2" s="2277"/>
      <c r="H2" s="2277"/>
      <c r="I2" s="2277"/>
      <c r="J2" s="2277"/>
      <c r="K2" s="2277"/>
      <c r="L2" s="2277"/>
      <c r="M2" s="2277"/>
      <c r="N2" s="2277"/>
      <c r="O2" s="2277"/>
      <c r="P2" s="2277"/>
      <c r="Q2" s="2277"/>
      <c r="R2" s="2277"/>
      <c r="S2" s="2274"/>
      <c r="T2" s="2274"/>
      <c r="U2" s="2274"/>
      <c r="V2" s="2274"/>
      <c r="W2" s="2274"/>
      <c r="X2" s="2274"/>
      <c r="Y2" s="2274"/>
      <c r="Z2" s="2274"/>
      <c r="AA2" s="2274"/>
      <c r="AB2" s="2274"/>
      <c r="AC2" s="2274"/>
      <c r="AD2" s="2274"/>
      <c r="AE2" s="2274"/>
      <c r="AF2" s="2274"/>
      <c r="AG2" s="2274"/>
      <c r="AH2" s="2274"/>
      <c r="AI2" s="2274"/>
      <c r="AJ2" s="2274"/>
    </row>
    <row r="3" spans="1:134" s="2276" customFormat="1" ht="24.95" customHeight="1">
      <c r="B3" s="2277" t="str">
        <f>IF(SUM(dms_SingleYear_Model)&gt;0,CRY,CONCATENATE(FRCP_y1," to ",dms_MultiYear_FinalYear_Result))</f>
        <v>2018 to 2022</v>
      </c>
      <c r="C3" s="2279"/>
      <c r="D3" s="2279"/>
      <c r="E3" s="2279"/>
      <c r="F3" s="2279"/>
      <c r="G3" s="2279"/>
      <c r="H3" s="2279"/>
      <c r="I3" s="2279"/>
      <c r="J3" s="2279"/>
      <c r="K3" s="2279"/>
      <c r="L3" s="2279"/>
      <c r="M3" s="2279"/>
      <c r="N3" s="2279"/>
      <c r="O3" s="2279"/>
      <c r="P3" s="2279"/>
      <c r="Q3" s="2279"/>
      <c r="R3" s="2279"/>
      <c r="S3" s="2274"/>
      <c r="T3" s="2274"/>
      <c r="U3" s="2274"/>
      <c r="V3" s="2274"/>
      <c r="W3" s="2274"/>
      <c r="X3" s="2274"/>
      <c r="Y3" s="2274"/>
      <c r="Z3" s="2274"/>
      <c r="AA3" s="2274"/>
      <c r="AB3" s="2274"/>
      <c r="AC3" s="2274"/>
      <c r="AD3" s="2274"/>
      <c r="AE3" s="2274"/>
      <c r="AF3" s="2274"/>
      <c r="AG3" s="2274"/>
      <c r="AH3" s="2274"/>
      <c r="AI3" s="2274"/>
      <c r="AJ3" s="2274"/>
    </row>
    <row r="4" spans="1:134" s="2276" customFormat="1" ht="24" customHeight="1">
      <c r="B4" s="2280" t="s">
        <v>386</v>
      </c>
      <c r="C4" s="3655"/>
      <c r="D4" s="3655"/>
      <c r="E4" s="3655"/>
      <c r="F4" s="3655"/>
      <c r="G4" s="3655"/>
      <c r="H4" s="3655"/>
      <c r="I4" s="3655"/>
      <c r="J4" s="3655"/>
      <c r="K4" s="3655"/>
      <c r="L4" s="3655"/>
      <c r="M4" s="3655"/>
      <c r="N4" s="3655"/>
      <c r="O4" s="3655"/>
      <c r="P4" s="3655"/>
      <c r="Q4" s="3655"/>
      <c r="R4" s="3655"/>
      <c r="S4" s="2274"/>
      <c r="T4" s="2274"/>
      <c r="U4" s="2274"/>
      <c r="V4" s="2274"/>
      <c r="W4" s="2274"/>
      <c r="X4" s="2274"/>
      <c r="Y4" s="2274"/>
      <c r="Z4" s="2274"/>
      <c r="AA4" s="2274"/>
      <c r="AB4" s="2274"/>
      <c r="AC4" s="2274"/>
      <c r="AD4" s="2274"/>
      <c r="AE4" s="2274"/>
      <c r="AF4" s="2274"/>
      <c r="AG4" s="2274"/>
      <c r="AH4" s="2274"/>
      <c r="AI4" s="2274"/>
      <c r="AJ4" s="2274"/>
    </row>
    <row r="5" spans="1:134" ht="23.25" customHeight="1">
      <c r="A5" s="391"/>
      <c r="B5" s="3558"/>
      <c r="C5" s="3558"/>
      <c r="D5" s="3558"/>
      <c r="E5" s="3558"/>
      <c r="F5" s="3558"/>
      <c r="G5" s="3558"/>
      <c r="H5" s="3558"/>
      <c r="I5" s="3558"/>
      <c r="J5" s="3558"/>
      <c r="K5" s="3558"/>
      <c r="L5" s="3558"/>
      <c r="M5" s="3558"/>
      <c r="N5" s="3558"/>
      <c r="O5" s="3558"/>
      <c r="P5" s="3558"/>
      <c r="Q5" s="2274"/>
    </row>
    <row r="6" spans="1:134" ht="28.5" customHeight="1">
      <c r="A6" s="3558"/>
      <c r="B6" s="4775" t="s">
        <v>61</v>
      </c>
      <c r="C6" s="4775"/>
      <c r="D6" s="4775"/>
      <c r="E6" s="4775"/>
      <c r="F6" s="4775"/>
      <c r="G6" s="2274"/>
      <c r="H6" s="2274"/>
      <c r="I6" s="2274"/>
      <c r="J6" s="2274"/>
      <c r="K6" s="2274"/>
      <c r="L6" s="2274"/>
      <c r="M6" s="2274"/>
    </row>
    <row r="7" spans="1:134" ht="20.25" customHeight="1">
      <c r="A7" s="3558"/>
      <c r="B7" s="4756" t="s">
        <v>8</v>
      </c>
      <c r="C7" s="4756"/>
      <c r="D7" s="4756"/>
      <c r="E7" s="4756"/>
      <c r="F7" s="4756"/>
      <c r="G7" s="2274"/>
      <c r="H7" s="2274"/>
      <c r="I7" s="2274"/>
      <c r="J7" s="2274"/>
      <c r="K7" s="2274"/>
      <c r="L7" s="2274"/>
      <c r="M7" s="2274"/>
    </row>
    <row r="8" spans="1:134" s="3573" customFormat="1" ht="36.75" customHeight="1">
      <c r="A8" s="3558"/>
      <c r="B8" s="4756" t="s">
        <v>749</v>
      </c>
      <c r="C8" s="4756"/>
      <c r="D8" s="4756"/>
      <c r="E8" s="4756"/>
      <c r="F8" s="4756"/>
      <c r="G8" s="2274"/>
      <c r="H8" s="2274"/>
      <c r="I8" s="2274"/>
      <c r="J8" s="2274"/>
      <c r="K8" s="2274"/>
      <c r="L8" s="2274"/>
      <c r="M8" s="3656"/>
      <c r="N8" s="3656"/>
      <c r="O8" s="3656"/>
      <c r="P8" s="3656"/>
      <c r="Q8" s="3656"/>
      <c r="R8" s="3656"/>
      <c r="S8" s="3558"/>
      <c r="T8" s="3558"/>
      <c r="U8" s="3656"/>
      <c r="V8" s="3656"/>
      <c r="W8" s="3656"/>
      <c r="X8" s="3656"/>
      <c r="Y8" s="3656"/>
      <c r="Z8" s="3656"/>
      <c r="AA8" s="3656"/>
      <c r="AB8" s="3656"/>
      <c r="AC8" s="3656"/>
      <c r="AD8" s="3656"/>
      <c r="AE8" s="3656"/>
      <c r="AF8" s="3656"/>
      <c r="AG8" s="3656"/>
      <c r="AH8" s="3656"/>
      <c r="AI8" s="3656"/>
      <c r="AJ8" s="3656"/>
      <c r="AK8" s="3656"/>
      <c r="AL8" s="3656"/>
      <c r="AM8" s="3656"/>
      <c r="AN8" s="3656"/>
      <c r="AO8" s="3656"/>
      <c r="AP8" s="3656"/>
      <c r="AQ8" s="3656"/>
      <c r="AR8" s="3656"/>
      <c r="AS8" s="3656"/>
      <c r="AT8" s="3656"/>
      <c r="AU8" s="3656"/>
      <c r="AV8" s="3656"/>
      <c r="AW8" s="3656"/>
      <c r="AX8" s="3656"/>
      <c r="AY8" s="3656"/>
      <c r="AZ8" s="3656"/>
      <c r="BA8" s="3656"/>
      <c r="BB8" s="3656"/>
      <c r="BC8" s="3656"/>
      <c r="BD8" s="3656"/>
      <c r="BE8" s="3656"/>
      <c r="BF8" s="3656"/>
      <c r="BG8" s="3656"/>
      <c r="BH8" s="3656"/>
      <c r="BI8" s="3656"/>
      <c r="BJ8" s="3656"/>
      <c r="BK8" s="3656"/>
      <c r="BL8" s="3656"/>
      <c r="BM8" s="3656"/>
      <c r="BN8" s="3656"/>
      <c r="BO8" s="3656"/>
      <c r="BP8" s="3656"/>
      <c r="BQ8" s="3656"/>
      <c r="BR8" s="3656"/>
      <c r="BS8" s="3656"/>
      <c r="BT8" s="3656"/>
      <c r="BU8" s="3656"/>
      <c r="BV8" s="3656"/>
      <c r="BW8" s="3656"/>
      <c r="BX8" s="3656"/>
      <c r="BY8" s="3656"/>
      <c r="BZ8" s="3656"/>
      <c r="CA8" s="3656"/>
      <c r="CB8" s="3656"/>
      <c r="CC8" s="3656"/>
      <c r="CD8" s="3656"/>
      <c r="CE8" s="3656"/>
      <c r="CF8" s="3656"/>
      <c r="CG8" s="3656"/>
      <c r="CH8" s="3656"/>
      <c r="CI8" s="3656"/>
      <c r="CJ8" s="3555"/>
      <c r="CK8" s="3555"/>
      <c r="CL8" s="3555"/>
      <c r="CM8" s="3555"/>
      <c r="CN8" s="3555"/>
      <c r="CO8" s="3555"/>
      <c r="CP8" s="3555"/>
      <c r="CQ8" s="3555"/>
      <c r="CR8" s="3555"/>
      <c r="CS8" s="3555"/>
      <c r="CT8" s="3555"/>
      <c r="CU8" s="3555"/>
      <c r="CV8" s="3555"/>
      <c r="CW8" s="3555"/>
      <c r="CX8" s="3555"/>
      <c r="CY8" s="3555"/>
      <c r="CZ8" s="3555"/>
      <c r="DA8" s="3555"/>
      <c r="DB8" s="3555"/>
      <c r="DC8" s="3555"/>
      <c r="DD8" s="3555"/>
      <c r="DE8" s="3555"/>
      <c r="DF8" s="3555"/>
      <c r="DG8" s="3555"/>
      <c r="DH8" s="3555"/>
      <c r="DI8" s="3555"/>
      <c r="DJ8" s="3555"/>
      <c r="DK8" s="3555"/>
      <c r="DL8" s="3555"/>
      <c r="DM8" s="3555"/>
      <c r="DN8" s="3555"/>
      <c r="DO8" s="3555"/>
      <c r="DP8" s="3555"/>
      <c r="DQ8" s="3555"/>
      <c r="DR8" s="3555"/>
      <c r="DS8" s="3555"/>
      <c r="DT8" s="3555"/>
    </row>
    <row r="9" spans="1:134" s="3573" customFormat="1" ht="18.75" customHeight="1">
      <c r="A9" s="3558"/>
      <c r="B9" s="4756" t="s">
        <v>748</v>
      </c>
      <c r="C9" s="4776"/>
      <c r="D9" s="4776"/>
      <c r="E9" s="4776"/>
      <c r="F9" s="4776"/>
      <c r="G9" s="2274"/>
      <c r="H9" s="2274"/>
      <c r="I9" s="2274"/>
      <c r="J9" s="2274"/>
      <c r="K9" s="2274"/>
      <c r="L9" s="2274"/>
      <c r="M9" s="3656"/>
      <c r="N9" s="3656"/>
      <c r="O9" s="3656"/>
      <c r="P9" s="3656"/>
      <c r="Q9" s="3656"/>
      <c r="R9" s="3656"/>
      <c r="S9" s="3558"/>
      <c r="T9" s="3558"/>
      <c r="U9" s="3656"/>
      <c r="V9" s="3656"/>
      <c r="W9" s="3656"/>
      <c r="X9" s="3656"/>
      <c r="Y9" s="3656"/>
      <c r="Z9" s="3656"/>
      <c r="AA9" s="3656"/>
      <c r="AB9" s="3656"/>
      <c r="AC9" s="3656"/>
      <c r="AD9" s="3656"/>
      <c r="AE9" s="3656"/>
      <c r="AF9" s="3656"/>
      <c r="AG9" s="3656"/>
      <c r="AH9" s="3656"/>
      <c r="AI9" s="3656"/>
      <c r="AJ9" s="3656"/>
      <c r="AK9" s="3656"/>
      <c r="AL9" s="3656"/>
      <c r="AM9" s="3656"/>
      <c r="AN9" s="3656"/>
      <c r="AO9" s="3656"/>
      <c r="AP9" s="3656"/>
      <c r="AQ9" s="3656"/>
      <c r="AR9" s="3656"/>
      <c r="AS9" s="3656"/>
      <c r="AT9" s="3656"/>
      <c r="AU9" s="3656"/>
      <c r="AV9" s="3656"/>
      <c r="AW9" s="3656"/>
      <c r="AX9" s="3656"/>
      <c r="AY9" s="3656"/>
      <c r="AZ9" s="3656"/>
      <c r="BA9" s="3656"/>
      <c r="BB9" s="3656"/>
      <c r="BC9" s="3656"/>
      <c r="BD9" s="3656"/>
      <c r="BE9" s="3656"/>
      <c r="BF9" s="3656"/>
      <c r="BG9" s="3656"/>
      <c r="BH9" s="3656"/>
      <c r="BI9" s="3656"/>
      <c r="BJ9" s="3656"/>
      <c r="BK9" s="3656"/>
      <c r="BL9" s="3656"/>
      <c r="BM9" s="3656"/>
      <c r="BN9" s="3656"/>
      <c r="BO9" s="3656"/>
      <c r="BP9" s="3656"/>
      <c r="BQ9" s="3656"/>
      <c r="BR9" s="3656"/>
      <c r="BS9" s="3656"/>
      <c r="BT9" s="3656"/>
      <c r="BU9" s="3656"/>
      <c r="BV9" s="3656"/>
      <c r="BW9" s="3656"/>
      <c r="BX9" s="3656"/>
      <c r="BY9" s="3656"/>
      <c r="BZ9" s="3656"/>
      <c r="CA9" s="3656"/>
      <c r="CB9" s="3656"/>
      <c r="CC9" s="3656"/>
      <c r="CD9" s="3656"/>
      <c r="CE9" s="3656"/>
      <c r="CF9" s="3656"/>
      <c r="CG9" s="3656"/>
      <c r="CH9" s="3656"/>
      <c r="CI9" s="3656"/>
      <c r="CJ9" s="3555"/>
      <c r="CK9" s="3555"/>
      <c r="CL9" s="3555"/>
      <c r="CM9" s="3555"/>
      <c r="CN9" s="3555"/>
      <c r="CO9" s="3555"/>
      <c r="CP9" s="3555"/>
      <c r="CQ9" s="3555"/>
      <c r="CR9" s="3555"/>
      <c r="CS9" s="3555"/>
      <c r="CT9" s="3555"/>
      <c r="CU9" s="3555"/>
      <c r="CV9" s="3555"/>
      <c r="CW9" s="3555"/>
      <c r="CX9" s="3555"/>
      <c r="CY9" s="3555"/>
      <c r="CZ9" s="3555"/>
      <c r="DA9" s="3555"/>
      <c r="DB9" s="3555"/>
      <c r="DC9" s="3555"/>
      <c r="DD9" s="3555"/>
      <c r="DE9" s="3555"/>
      <c r="DF9" s="3555"/>
      <c r="DG9" s="3555"/>
      <c r="DH9" s="3555"/>
      <c r="DI9" s="3555"/>
      <c r="DJ9" s="3555"/>
      <c r="DK9" s="3555"/>
      <c r="DL9" s="3555"/>
      <c r="DM9" s="3555"/>
      <c r="DN9" s="3555"/>
      <c r="DO9" s="3555"/>
      <c r="DP9" s="3555"/>
      <c r="DQ9" s="3555"/>
      <c r="DR9" s="3555"/>
      <c r="DS9" s="3555"/>
      <c r="DT9" s="3555"/>
    </row>
    <row r="10" spans="1:134" s="3573" customFormat="1" ht="30.75" customHeight="1">
      <c r="A10" s="3558"/>
      <c r="B10" s="4777" t="s">
        <v>0</v>
      </c>
      <c r="C10" s="4777"/>
      <c r="D10" s="4777"/>
      <c r="E10" s="4777"/>
      <c r="F10" s="4777"/>
      <c r="G10" s="2274"/>
      <c r="H10" s="2274"/>
      <c r="I10" s="2274"/>
      <c r="J10" s="2274"/>
      <c r="K10" s="2274"/>
      <c r="L10" s="2274"/>
      <c r="M10" s="3656"/>
      <c r="N10" s="3656"/>
      <c r="O10" s="3656"/>
      <c r="P10" s="3656"/>
      <c r="Q10" s="3656"/>
      <c r="R10" s="3656"/>
      <c r="S10" s="3558"/>
      <c r="T10" s="3558"/>
      <c r="U10" s="3656"/>
      <c r="V10" s="3656"/>
      <c r="W10" s="3656"/>
      <c r="X10" s="3656"/>
      <c r="Y10" s="3656"/>
      <c r="Z10" s="3656"/>
      <c r="AA10" s="3656"/>
      <c r="AB10" s="3656"/>
      <c r="AC10" s="3656"/>
      <c r="AD10" s="3656"/>
      <c r="AE10" s="3656"/>
      <c r="AF10" s="3656"/>
      <c r="AG10" s="3656"/>
      <c r="AH10" s="3656"/>
      <c r="AI10" s="3656"/>
      <c r="AJ10" s="3656"/>
      <c r="AK10" s="3656"/>
      <c r="AL10" s="3656"/>
      <c r="AM10" s="3656"/>
      <c r="AN10" s="3656"/>
      <c r="AO10" s="3656"/>
      <c r="AP10" s="3656"/>
      <c r="AQ10" s="3656"/>
      <c r="AR10" s="3656"/>
      <c r="AS10" s="3656"/>
      <c r="AT10" s="3656"/>
      <c r="AU10" s="3656"/>
      <c r="AV10" s="3656"/>
      <c r="AW10" s="3656"/>
      <c r="AX10" s="3656"/>
      <c r="AY10" s="3656"/>
      <c r="AZ10" s="3656"/>
      <c r="BA10" s="3656"/>
      <c r="BB10" s="3656"/>
      <c r="BC10" s="3656"/>
      <c r="BD10" s="3656"/>
      <c r="BE10" s="3656"/>
      <c r="BF10" s="3656"/>
      <c r="BG10" s="3656"/>
      <c r="BH10" s="3656"/>
      <c r="BI10" s="3656"/>
      <c r="BJ10" s="3656"/>
      <c r="BK10" s="3656"/>
      <c r="BL10" s="3656"/>
      <c r="BM10" s="3656"/>
      <c r="BN10" s="3656"/>
      <c r="BO10" s="3656"/>
      <c r="BP10" s="3656"/>
      <c r="BQ10" s="3656"/>
      <c r="BR10" s="3656"/>
      <c r="BS10" s="3656"/>
      <c r="BT10" s="3656"/>
      <c r="BU10" s="3656"/>
      <c r="BV10" s="3656"/>
      <c r="BW10" s="3656"/>
      <c r="BX10" s="3656"/>
      <c r="BY10" s="3656"/>
      <c r="BZ10" s="3656"/>
      <c r="CA10" s="3656"/>
      <c r="CB10" s="3656"/>
      <c r="CC10" s="3656"/>
      <c r="CD10" s="3656"/>
      <c r="CE10" s="3656"/>
      <c r="CF10" s="3656"/>
      <c r="CG10" s="3656"/>
      <c r="CH10" s="3656"/>
      <c r="CI10" s="3656"/>
      <c r="CJ10" s="3555"/>
      <c r="CK10" s="3555"/>
      <c r="CL10" s="3555"/>
      <c r="CM10" s="3555"/>
      <c r="CN10" s="3555"/>
      <c r="CO10" s="3555"/>
      <c r="CP10" s="3555"/>
      <c r="CQ10" s="3555"/>
      <c r="CR10" s="3555"/>
      <c r="CS10" s="3555"/>
      <c r="CT10" s="3555"/>
      <c r="CU10" s="3555"/>
      <c r="CV10" s="3555"/>
      <c r="CW10" s="3555"/>
      <c r="CX10" s="3555"/>
      <c r="CY10" s="3555"/>
      <c r="CZ10" s="3555"/>
      <c r="DA10" s="3555"/>
      <c r="DB10" s="3555"/>
      <c r="DC10" s="3555"/>
      <c r="DD10" s="3555"/>
      <c r="DE10" s="3555"/>
      <c r="DF10" s="3555"/>
      <c r="DG10" s="3555"/>
      <c r="DH10" s="3555"/>
      <c r="DI10" s="3555"/>
      <c r="DJ10" s="3555"/>
      <c r="DK10" s="3555"/>
      <c r="DL10" s="3555"/>
      <c r="DM10" s="3555"/>
      <c r="DN10" s="3555"/>
      <c r="DO10" s="3555"/>
      <c r="DP10" s="3555"/>
      <c r="DQ10" s="3555"/>
      <c r="DR10" s="3555"/>
      <c r="DS10" s="3555"/>
      <c r="DT10" s="3555"/>
    </row>
    <row r="11" spans="1:134" s="3573" customFormat="1" ht="39" customHeight="1">
      <c r="A11" s="3558"/>
      <c r="B11" s="4756" t="s">
        <v>757</v>
      </c>
      <c r="C11" s="4756"/>
      <c r="D11" s="4756"/>
      <c r="E11" s="4756"/>
      <c r="F11" s="4756"/>
      <c r="G11" s="2274"/>
      <c r="H11" s="2274"/>
      <c r="I11" s="2274"/>
      <c r="J11" s="2274"/>
      <c r="K11" s="2274"/>
      <c r="L11" s="2274"/>
      <c r="M11" s="2274"/>
      <c r="N11" s="3656"/>
      <c r="O11" s="3656"/>
      <c r="P11" s="3656"/>
      <c r="Q11" s="3656"/>
      <c r="R11" s="2274"/>
      <c r="S11" s="2274"/>
      <c r="T11" s="2274"/>
      <c r="U11" s="2274"/>
      <c r="V11" s="2274"/>
      <c r="W11" s="2274"/>
      <c r="X11" s="2274"/>
      <c r="Y11" s="2274"/>
      <c r="Z11" s="2274"/>
      <c r="AA11" s="2274"/>
      <c r="AB11" s="2274"/>
      <c r="AC11" s="2274"/>
      <c r="AD11" s="2274"/>
      <c r="AE11" s="2274"/>
      <c r="AF11" s="2274"/>
      <c r="AG11" s="2274"/>
      <c r="AH11" s="2274"/>
      <c r="AI11" s="2274"/>
      <c r="AJ11" s="2274"/>
      <c r="AK11" s="3656"/>
      <c r="AL11" s="3656"/>
      <c r="AM11" s="3656"/>
      <c r="AN11" s="3656"/>
      <c r="AO11" s="3656"/>
      <c r="AP11" s="3656"/>
      <c r="AQ11" s="3656"/>
      <c r="AR11" s="3656"/>
      <c r="AS11" s="3656"/>
      <c r="AT11" s="3656"/>
      <c r="AU11" s="3656"/>
      <c r="AV11" s="3656"/>
      <c r="AW11" s="3656"/>
      <c r="AX11" s="3656"/>
      <c r="AY11" s="3656"/>
      <c r="AZ11" s="3656"/>
      <c r="BA11" s="3656"/>
      <c r="BB11" s="3656"/>
      <c r="BC11" s="3656"/>
      <c r="BD11" s="3656"/>
      <c r="BE11" s="3656"/>
      <c r="BF11" s="3656"/>
      <c r="BG11" s="3656"/>
      <c r="BH11" s="3656"/>
      <c r="BI11" s="3656"/>
      <c r="BJ11" s="3656"/>
      <c r="BK11" s="3656"/>
      <c r="BL11" s="3656"/>
      <c r="BM11" s="3656"/>
      <c r="BN11" s="3656"/>
      <c r="BO11" s="3656"/>
      <c r="BP11" s="3656"/>
      <c r="BQ11" s="3656"/>
      <c r="BR11" s="3656"/>
      <c r="BS11" s="3656"/>
      <c r="BT11" s="3656"/>
      <c r="BU11" s="3656"/>
      <c r="BV11" s="3656"/>
      <c r="BW11" s="3656"/>
      <c r="BX11" s="3656"/>
      <c r="BY11" s="3656"/>
      <c r="BZ11" s="3656"/>
      <c r="CA11" s="3656"/>
      <c r="CB11" s="3656"/>
      <c r="CC11" s="3656"/>
      <c r="CD11" s="3656"/>
      <c r="CE11" s="3656"/>
      <c r="CF11" s="3656"/>
      <c r="CG11" s="3656"/>
      <c r="CH11" s="3656"/>
      <c r="CI11" s="3555"/>
      <c r="CJ11" s="3555"/>
      <c r="CK11" s="3555"/>
      <c r="CL11" s="3555"/>
      <c r="CM11" s="3555"/>
      <c r="CN11" s="3555"/>
      <c r="CO11" s="3555"/>
      <c r="CP11" s="3555"/>
      <c r="CQ11" s="3555"/>
      <c r="CR11" s="3555"/>
      <c r="CS11" s="3555"/>
      <c r="CT11" s="3555"/>
      <c r="CU11" s="3555"/>
      <c r="CV11" s="3555"/>
      <c r="CW11" s="3555"/>
      <c r="CX11" s="3555"/>
      <c r="CY11" s="3555"/>
      <c r="CZ11" s="3555"/>
      <c r="DA11" s="3555"/>
      <c r="DB11" s="3555"/>
      <c r="DC11" s="3555"/>
      <c r="DD11" s="3555"/>
      <c r="DE11" s="3555"/>
      <c r="DF11" s="3555"/>
      <c r="DG11" s="3555"/>
      <c r="DH11" s="3555"/>
      <c r="DI11" s="3555"/>
      <c r="DJ11" s="3555"/>
      <c r="DK11" s="3555"/>
      <c r="DL11" s="3555"/>
      <c r="DM11" s="3555"/>
      <c r="DN11" s="3555"/>
      <c r="DO11" s="3555"/>
      <c r="DP11" s="3555"/>
      <c r="DQ11" s="3555"/>
      <c r="DR11" s="3555"/>
      <c r="DS11" s="3555"/>
    </row>
    <row r="12" spans="1:134" s="2274" customFormat="1" ht="28.5" customHeight="1">
      <c r="A12" s="3558"/>
      <c r="B12" s="4756"/>
      <c r="C12" s="4756"/>
      <c r="D12" s="4756"/>
      <c r="E12" s="4756"/>
      <c r="F12" s="4756"/>
      <c r="N12" s="3656"/>
      <c r="O12" s="3656"/>
      <c r="P12" s="3656"/>
      <c r="Q12" s="3656"/>
      <c r="AK12" s="3656"/>
      <c r="AL12" s="3656"/>
      <c r="AM12" s="3656"/>
      <c r="AN12" s="3656"/>
      <c r="AO12" s="3656"/>
      <c r="AP12" s="3656"/>
      <c r="AQ12" s="3656"/>
      <c r="AR12" s="3656"/>
      <c r="AS12" s="3656"/>
      <c r="AT12" s="3656"/>
      <c r="AU12" s="3656"/>
      <c r="AV12" s="3656"/>
      <c r="AW12" s="3656"/>
      <c r="AX12" s="3656"/>
      <c r="AY12" s="3656"/>
      <c r="AZ12" s="3656"/>
      <c r="BA12" s="3656"/>
      <c r="BB12" s="3656"/>
      <c r="BC12" s="3656"/>
      <c r="BD12" s="3656"/>
      <c r="BE12" s="3656"/>
      <c r="BF12" s="3656"/>
      <c r="BG12" s="3656"/>
      <c r="BH12" s="3656"/>
      <c r="BI12" s="3656"/>
      <c r="BJ12" s="3656"/>
      <c r="BK12" s="3656"/>
      <c r="BL12" s="3656"/>
      <c r="BM12" s="3656"/>
      <c r="BN12" s="3656"/>
      <c r="BO12" s="3656"/>
      <c r="BP12" s="3656"/>
      <c r="BQ12" s="3656"/>
      <c r="BR12" s="3656"/>
      <c r="BS12" s="3656"/>
      <c r="BT12" s="3656"/>
      <c r="BU12" s="3656"/>
      <c r="BV12" s="3656"/>
      <c r="BW12" s="3656"/>
      <c r="BX12" s="3656"/>
      <c r="BY12" s="3656"/>
      <c r="BZ12" s="3656"/>
      <c r="CA12" s="3656"/>
      <c r="CB12" s="3656"/>
      <c r="CC12" s="3656"/>
      <c r="CD12" s="3656"/>
      <c r="CE12" s="3656"/>
      <c r="CF12" s="3656"/>
      <c r="CG12" s="3656"/>
      <c r="CH12" s="3656"/>
      <c r="CI12" s="3656"/>
      <c r="CJ12" s="3656"/>
      <c r="CK12" s="3656"/>
      <c r="CL12" s="3656"/>
      <c r="CM12" s="3656"/>
      <c r="CN12" s="3656"/>
      <c r="CO12" s="3656"/>
      <c r="CP12" s="3656"/>
      <c r="CQ12" s="3656"/>
      <c r="CR12" s="3656"/>
      <c r="CS12" s="3656"/>
      <c r="CT12" s="3656"/>
      <c r="CU12" s="3656"/>
      <c r="CV12" s="3656"/>
      <c r="CW12" s="3656"/>
      <c r="CX12" s="3656"/>
      <c r="CY12" s="3656"/>
      <c r="CZ12" s="3656"/>
      <c r="DA12" s="3656"/>
      <c r="DB12" s="3656"/>
      <c r="DC12" s="3656"/>
      <c r="DD12" s="3656"/>
    </row>
    <row r="13" spans="1:134">
      <c r="A13" s="3558"/>
      <c r="DE13" s="2274"/>
      <c r="DF13" s="2274"/>
      <c r="DG13" s="2274"/>
      <c r="DH13" s="2274"/>
      <c r="DI13" s="2274"/>
      <c r="DJ13" s="2274"/>
      <c r="DK13" s="2274"/>
      <c r="DL13" s="2274"/>
      <c r="DM13" s="2274"/>
      <c r="DN13" s="2274"/>
      <c r="DO13" s="2274"/>
      <c r="DP13" s="2274"/>
      <c r="DQ13" s="2274"/>
      <c r="DR13" s="2274"/>
      <c r="DS13" s="2274"/>
      <c r="DT13" s="2274"/>
      <c r="DU13" s="2274"/>
      <c r="DV13" s="2274"/>
      <c r="DW13" s="2274"/>
      <c r="DX13" s="2274"/>
      <c r="DY13" s="2274"/>
      <c r="DZ13" s="2274"/>
      <c r="EA13" s="2274"/>
      <c r="EB13" s="2274"/>
      <c r="EC13" s="2274"/>
      <c r="ED13" s="2274"/>
    </row>
    <row r="14" spans="1:134" s="3555" customFormat="1" ht="12.75" customHeight="1" thickBot="1">
      <c r="A14" s="3558"/>
      <c r="B14" s="3656"/>
      <c r="C14" s="3656"/>
      <c r="D14" s="3656"/>
      <c r="E14" s="3656"/>
      <c r="F14" s="3656"/>
      <c r="G14" s="3656"/>
      <c r="H14" s="3656"/>
      <c r="I14" s="3656"/>
      <c r="J14" s="3656"/>
      <c r="K14" s="3656"/>
      <c r="L14" s="3656"/>
      <c r="M14" s="3656"/>
      <c r="N14" s="3656"/>
      <c r="O14" s="3656"/>
      <c r="P14" s="3656"/>
      <c r="Q14" s="3656"/>
      <c r="R14" s="2274"/>
      <c r="S14" s="2274"/>
      <c r="T14" s="2274"/>
      <c r="U14" s="2274"/>
      <c r="V14" s="2274"/>
      <c r="W14" s="2274"/>
      <c r="X14" s="2274"/>
      <c r="Y14" s="2274"/>
      <c r="Z14" s="2274"/>
      <c r="AA14" s="2274"/>
      <c r="AB14" s="2274"/>
      <c r="AC14" s="2274"/>
      <c r="AD14" s="2274"/>
      <c r="AE14" s="2274"/>
      <c r="AF14" s="2274"/>
      <c r="AG14" s="2274"/>
      <c r="AH14" s="2274"/>
      <c r="AI14" s="2274"/>
      <c r="AJ14" s="2274"/>
      <c r="AK14" s="3656"/>
      <c r="AL14" s="3656"/>
      <c r="AM14" s="3656"/>
      <c r="AN14" s="3656"/>
      <c r="AO14" s="3656"/>
      <c r="AP14" s="3656"/>
      <c r="AQ14" s="3656"/>
      <c r="AR14" s="3656"/>
      <c r="AS14" s="3656"/>
      <c r="AT14" s="3656"/>
      <c r="AU14" s="3656"/>
      <c r="AV14" s="3656"/>
      <c r="AW14" s="3656"/>
      <c r="AX14" s="3656"/>
      <c r="AY14" s="3656"/>
      <c r="AZ14" s="3656"/>
      <c r="BA14" s="3656"/>
      <c r="BB14" s="3656"/>
      <c r="BC14" s="3656"/>
      <c r="BD14" s="3656"/>
      <c r="BE14" s="3656"/>
      <c r="BF14" s="3656"/>
      <c r="BG14" s="3656"/>
      <c r="BH14" s="3656"/>
      <c r="BI14" s="3656"/>
      <c r="BJ14" s="3656"/>
      <c r="BK14" s="3656"/>
      <c r="BL14" s="3656"/>
      <c r="BM14" s="3656"/>
      <c r="BN14" s="3656"/>
      <c r="BO14" s="3656"/>
      <c r="BP14" s="3656"/>
      <c r="BQ14" s="3656"/>
      <c r="BR14" s="3656"/>
      <c r="BS14" s="3656"/>
      <c r="BT14" s="3656"/>
      <c r="BU14" s="3656"/>
      <c r="BV14" s="3656"/>
      <c r="BW14" s="3656"/>
      <c r="BX14" s="3656"/>
      <c r="BY14" s="3656"/>
      <c r="BZ14" s="3656"/>
      <c r="CA14" s="3656"/>
      <c r="CB14" s="3656"/>
      <c r="CC14" s="3656"/>
      <c r="CD14" s="3656"/>
      <c r="CE14" s="3656"/>
      <c r="CF14" s="3656"/>
      <c r="CG14" s="3656"/>
      <c r="CH14" s="3656"/>
      <c r="CI14" s="3656"/>
      <c r="CJ14" s="3656"/>
      <c r="CK14" s="3656"/>
      <c r="CL14" s="3656"/>
      <c r="CM14" s="3656"/>
      <c r="CN14" s="3656"/>
      <c r="CO14" s="3656"/>
      <c r="CP14" s="3656"/>
      <c r="CQ14" s="3656"/>
      <c r="CR14" s="3656"/>
      <c r="CS14" s="3656"/>
      <c r="CT14" s="3656"/>
      <c r="CU14" s="3656"/>
      <c r="CV14" s="3656"/>
      <c r="CW14" s="3656"/>
      <c r="CX14" s="3656"/>
      <c r="CY14" s="3656"/>
      <c r="CZ14" s="3656"/>
      <c r="DA14" s="3656"/>
      <c r="DB14" s="3656"/>
      <c r="DC14" s="3656"/>
      <c r="DD14" s="3656"/>
      <c r="DE14" s="2274"/>
      <c r="DF14" s="2274"/>
      <c r="DG14" s="2274"/>
      <c r="DH14" s="2274"/>
      <c r="DI14" s="2274"/>
      <c r="DJ14" s="2274"/>
      <c r="DK14" s="2274"/>
      <c r="DL14" s="2274"/>
      <c r="DM14" s="2274"/>
      <c r="DN14" s="2274"/>
      <c r="DO14" s="2274"/>
      <c r="DP14" s="2274"/>
      <c r="DQ14" s="2274"/>
      <c r="DR14" s="2274"/>
      <c r="DS14" s="2274"/>
      <c r="DT14" s="2274"/>
      <c r="DU14" s="2274"/>
      <c r="DV14" s="2274"/>
      <c r="DW14" s="2274"/>
      <c r="DX14" s="2274"/>
      <c r="DY14" s="2274"/>
      <c r="DZ14" s="2274"/>
      <c r="EA14" s="2274"/>
      <c r="EB14" s="2274"/>
      <c r="EC14" s="2274"/>
      <c r="ED14" s="2274"/>
    </row>
    <row r="15" spans="1:134" s="3555" customFormat="1" ht="12.75" customHeight="1" thickBot="1">
      <c r="A15" s="3558"/>
      <c r="B15" s="3545" t="s">
        <v>553</v>
      </c>
      <c r="C15" s="3545"/>
      <c r="D15" s="3657"/>
      <c r="E15" s="3657"/>
      <c r="F15" s="3657"/>
      <c r="G15" s="3657"/>
      <c r="H15" s="3657"/>
      <c r="I15" s="3657"/>
      <c r="J15" s="3657"/>
      <c r="K15" s="3658"/>
      <c r="L15" s="3658"/>
      <c r="M15" s="3658"/>
      <c r="N15" s="3658"/>
      <c r="O15" s="3658"/>
      <c r="P15" s="3658"/>
      <c r="Q15" s="3658"/>
      <c r="R15" s="3658"/>
      <c r="S15" s="2274"/>
      <c r="T15" s="2274"/>
      <c r="U15" s="2274"/>
      <c r="V15" s="2274"/>
      <c r="W15" s="2274"/>
      <c r="X15" s="2274"/>
      <c r="Y15" s="2274"/>
      <c r="Z15" s="2274"/>
      <c r="AA15" s="2274"/>
      <c r="AB15" s="2274"/>
      <c r="AC15" s="2274"/>
      <c r="AD15" s="2274"/>
      <c r="AE15" s="2274"/>
      <c r="AF15" s="2274"/>
      <c r="AG15" s="2274"/>
      <c r="AH15" s="2274"/>
      <c r="AI15" s="2274"/>
      <c r="AJ15" s="2274"/>
      <c r="AK15" s="3656"/>
      <c r="AL15" s="3656"/>
      <c r="AM15" s="3656"/>
      <c r="AN15" s="3656"/>
      <c r="AO15" s="3656"/>
      <c r="AP15" s="3656"/>
      <c r="AQ15" s="3656"/>
      <c r="AR15" s="3656"/>
      <c r="AS15" s="3656"/>
      <c r="AT15" s="3656"/>
      <c r="AU15" s="3656"/>
      <c r="AV15" s="3656"/>
      <c r="AW15" s="3656"/>
      <c r="AX15" s="3656"/>
      <c r="AY15" s="3656"/>
      <c r="AZ15" s="3656"/>
      <c r="BA15" s="3656"/>
      <c r="BB15" s="3656"/>
      <c r="BC15" s="3656"/>
      <c r="BD15" s="3656"/>
      <c r="BE15" s="3656"/>
      <c r="BF15" s="3656"/>
      <c r="BG15" s="3656"/>
      <c r="BH15" s="3656"/>
      <c r="BI15" s="3656"/>
      <c r="BJ15" s="3656"/>
      <c r="BK15" s="3656"/>
      <c r="BL15" s="3656"/>
      <c r="BM15" s="3656"/>
      <c r="BN15" s="3656"/>
      <c r="BO15" s="3656"/>
      <c r="BP15" s="3656"/>
      <c r="BQ15" s="3656"/>
      <c r="BR15" s="3656"/>
      <c r="BS15" s="3656"/>
      <c r="BT15" s="3656"/>
      <c r="BU15" s="3656"/>
      <c r="BV15" s="3656"/>
      <c r="BW15" s="3656"/>
      <c r="BX15" s="3656"/>
      <c r="BY15" s="3656"/>
      <c r="BZ15" s="3656"/>
      <c r="CA15" s="3656"/>
      <c r="CB15" s="3656"/>
      <c r="CC15" s="3656"/>
      <c r="CD15" s="3656"/>
      <c r="CE15" s="3656"/>
      <c r="CF15" s="3656"/>
      <c r="CG15" s="3656"/>
      <c r="CH15" s="3656"/>
      <c r="CI15" s="3656"/>
      <c r="CJ15" s="3656"/>
      <c r="CK15" s="3656"/>
      <c r="CL15" s="3656"/>
      <c r="CM15" s="3656"/>
      <c r="CN15" s="3656"/>
      <c r="CO15" s="3656"/>
      <c r="CP15" s="3656"/>
      <c r="CQ15" s="3656"/>
      <c r="CR15" s="3656"/>
      <c r="CS15" s="3656"/>
      <c r="CT15" s="3656"/>
      <c r="CU15" s="3656"/>
      <c r="CV15" s="3656"/>
      <c r="CW15" s="3656"/>
      <c r="CX15" s="3656"/>
      <c r="CY15" s="3656"/>
      <c r="CZ15" s="3656"/>
      <c r="DA15" s="3656"/>
      <c r="DB15" s="3656"/>
      <c r="DC15" s="3656"/>
      <c r="DD15" s="3656"/>
      <c r="DE15" s="2274"/>
      <c r="DF15" s="2274"/>
      <c r="DG15" s="2274"/>
      <c r="DH15" s="2274"/>
      <c r="DI15" s="2274"/>
      <c r="DJ15" s="2274"/>
      <c r="DK15" s="2274"/>
      <c r="DL15" s="2274"/>
      <c r="DM15" s="2274"/>
      <c r="DN15" s="2274"/>
      <c r="DO15" s="2274"/>
      <c r="DP15" s="2274"/>
      <c r="DQ15" s="2274"/>
      <c r="DR15" s="2274"/>
      <c r="DS15" s="2274"/>
      <c r="DT15" s="2274"/>
      <c r="DU15" s="2274"/>
      <c r="DV15" s="2274"/>
      <c r="DW15" s="2274"/>
      <c r="DX15" s="2274"/>
      <c r="DY15" s="2274"/>
      <c r="DZ15" s="2274"/>
      <c r="EA15" s="2274"/>
      <c r="EB15" s="2274"/>
      <c r="EC15" s="2274"/>
      <c r="ED15" s="2274"/>
    </row>
    <row r="16" spans="1:134">
      <c r="B16" s="4778"/>
      <c r="C16" s="4779"/>
      <c r="D16" s="4763" t="s">
        <v>36</v>
      </c>
      <c r="E16" s="4764"/>
      <c r="F16" s="4764"/>
      <c r="G16" s="4764"/>
      <c r="H16" s="4764"/>
      <c r="I16" s="4765" t="s">
        <v>37</v>
      </c>
      <c r="J16" s="4766"/>
      <c r="K16" s="4766"/>
      <c r="L16" s="4766"/>
      <c r="M16" s="4766"/>
      <c r="N16" s="4767" t="s">
        <v>75</v>
      </c>
      <c r="O16" s="4767"/>
      <c r="P16" s="4767"/>
      <c r="Q16" s="4767"/>
      <c r="R16" s="4768"/>
    </row>
    <row r="17" spans="2:18">
      <c r="B17" s="4780"/>
      <c r="C17" s="4781"/>
      <c r="D17" s="4769" t="s">
        <v>706</v>
      </c>
      <c r="E17" s="4770"/>
      <c r="F17" s="4770"/>
      <c r="G17" s="4770"/>
      <c r="H17" s="4770"/>
      <c r="I17" s="4770"/>
      <c r="J17" s="4770"/>
      <c r="K17" s="4770"/>
      <c r="L17" s="4770"/>
      <c r="M17" s="4770"/>
      <c r="N17" s="4770"/>
      <c r="O17" s="4770"/>
      <c r="P17" s="4770"/>
      <c r="Q17" s="4770"/>
      <c r="R17" s="4771"/>
    </row>
    <row r="18" spans="2:18">
      <c r="B18" s="4780"/>
      <c r="C18" s="4781"/>
      <c r="D18" s="4769" t="s">
        <v>56</v>
      </c>
      <c r="E18" s="4770"/>
      <c r="F18" s="4770"/>
      <c r="G18" s="4770"/>
      <c r="H18" s="4770"/>
      <c r="I18" s="4770"/>
      <c r="J18" s="4770"/>
      <c r="K18" s="4770"/>
      <c r="L18" s="4772" t="s">
        <v>57</v>
      </c>
      <c r="M18" s="4773"/>
      <c r="N18" s="4773"/>
      <c r="O18" s="4773"/>
      <c r="P18" s="4773"/>
      <c r="Q18" s="4773"/>
      <c r="R18" s="4774"/>
    </row>
    <row r="19" spans="2:18" ht="13.5" thickBot="1">
      <c r="B19" s="4782"/>
      <c r="C19" s="4783"/>
      <c r="D19" s="3659">
        <f t="array" ref="D19:H19">PRCP</f>
        <v>2008</v>
      </c>
      <c r="E19" s="3660">
        <v>2009</v>
      </c>
      <c r="F19" s="3660">
        <v>2010</v>
      </c>
      <c r="G19" s="3660">
        <v>2011</v>
      </c>
      <c r="H19" s="3660">
        <v>2012</v>
      </c>
      <c r="I19" s="3661">
        <f>CRCP_y1</f>
        <v>2013</v>
      </c>
      <c r="J19" s="3661">
        <f>CRCP_y2</f>
        <v>2014</v>
      </c>
      <c r="K19" s="3661">
        <f>CRCP_y3</f>
        <v>2015</v>
      </c>
      <c r="L19" s="3661">
        <f>CRCP_y4</f>
        <v>2016</v>
      </c>
      <c r="M19" s="3661">
        <f>CRCP_y5</f>
        <v>2017</v>
      </c>
      <c r="N19" s="3660" t="str">
        <f t="array" ref="N19:R19">FRCP</f>
        <v>2018</v>
      </c>
      <c r="O19" s="3660">
        <v>2019</v>
      </c>
      <c r="P19" s="3660">
        <v>2020</v>
      </c>
      <c r="Q19" s="3660">
        <v>2021</v>
      </c>
      <c r="R19" s="3662">
        <v>2022</v>
      </c>
    </row>
    <row r="20" spans="2:18" ht="13.5" thickBot="1">
      <c r="B20" s="3663"/>
      <c r="C20" s="3664"/>
      <c r="D20" s="3665"/>
      <c r="E20" s="3665"/>
      <c r="F20" s="3665"/>
      <c r="G20" s="3665"/>
      <c r="H20" s="3665"/>
      <c r="I20" s="3666"/>
      <c r="J20" s="3666"/>
      <c r="K20" s="3666"/>
      <c r="L20" s="3666"/>
      <c r="M20" s="3666"/>
      <c r="N20" s="3665"/>
      <c r="O20" s="3665"/>
      <c r="P20" s="3665"/>
      <c r="Q20" s="3665"/>
      <c r="R20" s="3665"/>
    </row>
    <row r="21" spans="2:18" ht="15.75" thickBot="1">
      <c r="B21" s="3207" t="s">
        <v>554</v>
      </c>
      <c r="C21" s="3667"/>
      <c r="D21" s="3668"/>
      <c r="E21" s="3668"/>
      <c r="F21" s="3668"/>
      <c r="G21" s="3668"/>
      <c r="H21" s="3668"/>
      <c r="I21" s="3669"/>
      <c r="J21" s="3669"/>
      <c r="K21" s="3669"/>
      <c r="L21" s="3669"/>
      <c r="M21" s="3669"/>
      <c r="N21" s="3668"/>
      <c r="O21" s="3668"/>
      <c r="P21" s="3668"/>
      <c r="Q21" s="3668"/>
      <c r="R21" s="3670"/>
    </row>
    <row r="22" spans="2:18" ht="15.75" thickBot="1">
      <c r="B22" s="3671" t="s">
        <v>1623</v>
      </c>
      <c r="C22" s="3672"/>
      <c r="D22" s="3672"/>
      <c r="E22" s="3672"/>
      <c r="F22" s="3672"/>
      <c r="G22" s="3672"/>
      <c r="H22" s="3672"/>
      <c r="I22" s="3672"/>
      <c r="J22" s="3672"/>
      <c r="K22" s="3672"/>
      <c r="L22" s="3672"/>
      <c r="M22" s="3672"/>
      <c r="N22" s="3672"/>
      <c r="O22" s="3672"/>
      <c r="P22" s="3672"/>
      <c r="Q22" s="3672"/>
      <c r="R22" s="3673"/>
    </row>
    <row r="23" spans="2:18" ht="15.75" thickBot="1">
      <c r="B23" s="3674" t="s">
        <v>1624</v>
      </c>
      <c r="C23" s="3675"/>
      <c r="D23" s="3675"/>
      <c r="E23" s="3675"/>
      <c r="F23" s="3675"/>
      <c r="G23" s="3675"/>
      <c r="H23" s="3675"/>
      <c r="I23" s="3675"/>
      <c r="J23" s="3675"/>
      <c r="K23" s="3675"/>
      <c r="L23" s="3675"/>
      <c r="M23" s="3675"/>
      <c r="N23" s="3675"/>
      <c r="O23" s="3675"/>
      <c r="P23" s="3675"/>
      <c r="Q23" s="3675"/>
      <c r="R23" s="3676"/>
    </row>
    <row r="24" spans="2:18" ht="15.75" thickBot="1">
      <c r="B24" s="3677" t="str">
        <f>CONCATENATE("Table 27.2.1"," - ", B23)</f>
        <v>Table 27.2.1 - Tariff V Metro</v>
      </c>
      <c r="C24" s="3675"/>
      <c r="D24" s="3675"/>
      <c r="E24" s="3675"/>
      <c r="F24" s="3675"/>
      <c r="G24" s="3675"/>
      <c r="H24" s="3675"/>
      <c r="I24" s="3675"/>
      <c r="J24" s="3675"/>
      <c r="K24" s="3675"/>
      <c r="L24" s="3675"/>
      <c r="M24" s="3675"/>
      <c r="N24" s="3675"/>
      <c r="O24" s="3675"/>
      <c r="P24" s="3675"/>
      <c r="Q24" s="3675"/>
      <c r="R24" s="3676"/>
    </row>
    <row r="25" spans="2:18" ht="15.75" thickBot="1">
      <c r="B25" s="3678" t="str">
        <f>CONCATENATE("Residential customers"," : ", B23)</f>
        <v>Residential customers : Tariff V Metro</v>
      </c>
      <c r="C25" s="3679"/>
      <c r="D25" s="3679"/>
      <c r="E25" s="3679"/>
      <c r="F25" s="3679"/>
      <c r="G25" s="3679"/>
      <c r="H25" s="3679"/>
      <c r="I25" s="3679"/>
      <c r="J25" s="3679"/>
      <c r="K25" s="3679"/>
      <c r="L25" s="3679"/>
      <c r="M25" s="3679"/>
      <c r="N25" s="3679"/>
      <c r="O25" s="3679"/>
      <c r="P25" s="3679"/>
      <c r="Q25" s="3679"/>
      <c r="R25" s="3680"/>
    </row>
    <row r="26" spans="2:18">
      <c r="B26" s="4753" t="s">
        <v>746</v>
      </c>
      <c r="C26" s="3642" t="s">
        <v>744</v>
      </c>
      <c r="D26" s="1602">
        <f>'[19]20 - Customer numbers Metro'!$D$34</f>
        <v>632067</v>
      </c>
      <c r="E26" s="480">
        <f>D27</f>
        <v>636571</v>
      </c>
      <c r="F26" s="480">
        <f>E27</f>
        <v>641642</v>
      </c>
      <c r="G26" s="480">
        <f>F27</f>
        <v>645501</v>
      </c>
      <c r="H26" s="480">
        <f>G27</f>
        <v>649625</v>
      </c>
      <c r="I26" s="1602">
        <v>654432</v>
      </c>
      <c r="J26" s="480">
        <f>I27</f>
        <v>659185</v>
      </c>
      <c r="K26" s="480">
        <f>J27</f>
        <v>663476</v>
      </c>
      <c r="L26" s="480">
        <f>K27</f>
        <v>666705</v>
      </c>
      <c r="M26" s="480">
        <f>L27</f>
        <v>669282</v>
      </c>
      <c r="N26" s="1602">
        <v>672273</v>
      </c>
      <c r="O26" s="480">
        <f>N27</f>
        <v>675488.83333923609</v>
      </c>
      <c r="P26" s="480">
        <f>O27</f>
        <v>678811.53486849694</v>
      </c>
      <c r="Q26" s="480">
        <f>P27</f>
        <v>682130.82501872699</v>
      </c>
      <c r="R26" s="480">
        <f>Q27</f>
        <v>685420.19084993168</v>
      </c>
    </row>
    <row r="27" spans="2:18">
      <c r="B27" s="4754"/>
      <c r="C27" s="3681" t="s">
        <v>745</v>
      </c>
      <c r="D27" s="499">
        <f>'[19]20 - Customer numbers Metro'!D35</f>
        <v>636571</v>
      </c>
      <c r="E27" s="499">
        <f>'[19]20 - Customer numbers Metro'!E35</f>
        <v>641642</v>
      </c>
      <c r="F27" s="499">
        <f>'[19]20 - Customer numbers Metro'!F35</f>
        <v>645501</v>
      </c>
      <c r="G27" s="499">
        <f>[20]Sheet1!AL45</f>
        <v>649625</v>
      </c>
      <c r="H27" s="499">
        <f>[20]Sheet1!AM45</f>
        <v>654432</v>
      </c>
      <c r="I27" s="499">
        <f>[20]Sheet1!AN45</f>
        <v>659185</v>
      </c>
      <c r="J27" s="499">
        <f>[20]Sheet1!AO45</f>
        <v>663476</v>
      </c>
      <c r="K27" s="499">
        <f>[20]Sheet1!AP45</f>
        <v>666705</v>
      </c>
      <c r="L27" s="499">
        <f>[20]Sheet1!AQ45</f>
        <v>669282</v>
      </c>
      <c r="M27" s="1603">
        <f>'[21]PTRM input'!F313</f>
        <v>672272.95469718054</v>
      </c>
      <c r="N27" s="1603">
        <f>'[21]PTRM input'!G313</f>
        <v>675488.83333923609</v>
      </c>
      <c r="O27" s="1603">
        <f>'[21]PTRM input'!H313</f>
        <v>678811.53486849694</v>
      </c>
      <c r="P27" s="1603">
        <f>'[21]PTRM input'!I313</f>
        <v>682130.82501872699</v>
      </c>
      <c r="Q27" s="1603">
        <f>'[21]PTRM input'!J313</f>
        <v>685420.19084993168</v>
      </c>
      <c r="R27" s="1603">
        <f>'[21]PTRM input'!K313</f>
        <v>688542.43293575023</v>
      </c>
    </row>
    <row r="28" spans="2:18">
      <c r="B28" s="4754"/>
      <c r="C28" s="3681" t="s">
        <v>70</v>
      </c>
      <c r="D28" s="384">
        <f t="shared" ref="D28:R28" si="0">IF(ISERROR(AVERAGE(D26:D27)),0,AVERAGE(D26:D27))</f>
        <v>634319</v>
      </c>
      <c r="E28" s="384">
        <f t="shared" si="0"/>
        <v>639106.5</v>
      </c>
      <c r="F28" s="384">
        <f t="shared" si="0"/>
        <v>643571.5</v>
      </c>
      <c r="G28" s="384">
        <f t="shared" si="0"/>
        <v>647563</v>
      </c>
      <c r="H28" s="384">
        <f t="shared" si="0"/>
        <v>652028.5</v>
      </c>
      <c r="I28" s="384">
        <f t="shared" si="0"/>
        <v>656808.5</v>
      </c>
      <c r="J28" s="384">
        <f t="shared" si="0"/>
        <v>661330.5</v>
      </c>
      <c r="K28" s="384">
        <f t="shared" si="0"/>
        <v>665090.5</v>
      </c>
      <c r="L28" s="384">
        <f t="shared" si="0"/>
        <v>667993.5</v>
      </c>
      <c r="M28" s="384">
        <f t="shared" si="0"/>
        <v>670777.47734859027</v>
      </c>
      <c r="N28" s="384">
        <f t="shared" si="0"/>
        <v>673880.91666961811</v>
      </c>
      <c r="O28" s="384">
        <f t="shared" si="0"/>
        <v>677150.18410386657</v>
      </c>
      <c r="P28" s="384">
        <f t="shared" si="0"/>
        <v>680471.17994361196</v>
      </c>
      <c r="Q28" s="384">
        <f t="shared" si="0"/>
        <v>683775.50793432933</v>
      </c>
      <c r="R28" s="384">
        <f t="shared" si="0"/>
        <v>686981.31189284101</v>
      </c>
    </row>
    <row r="29" spans="2:18">
      <c r="B29" s="4754"/>
      <c r="C29" s="3681" t="s">
        <v>71</v>
      </c>
      <c r="D29" s="499">
        <f>'[19]20 - Customer numbers Metro'!D38</f>
        <v>7537</v>
      </c>
      <c r="E29" s="499">
        <f>'[19]20 - Customer numbers Metro'!E38</f>
        <v>7743</v>
      </c>
      <c r="F29" s="499">
        <f>'[19]20 - Customer numbers Metro'!F38</f>
        <v>6890</v>
      </c>
      <c r="G29" s="499">
        <f>'[19]20 - Customer numbers Metro'!G38</f>
        <v>7670</v>
      </c>
      <c r="H29" s="499">
        <f>'[19]20 - Customer numbers Metro'!H38</f>
        <v>7922.3435616085499</v>
      </c>
      <c r="I29" s="499"/>
      <c r="J29" s="494"/>
      <c r="K29" s="494"/>
      <c r="L29" s="494"/>
      <c r="M29" s="1603"/>
      <c r="N29" s="499"/>
      <c r="O29" s="494"/>
      <c r="P29" s="494"/>
      <c r="Q29" s="494"/>
      <c r="R29" s="1603"/>
    </row>
    <row r="30" spans="2:18" ht="13.5" thickBot="1">
      <c r="B30" s="4755"/>
      <c r="C30" s="3682" t="s">
        <v>60</v>
      </c>
      <c r="D30" s="1604">
        <f>'[19]20 - Customer numbers Metro'!D39</f>
        <v>3033</v>
      </c>
      <c r="E30" s="1604">
        <f>'[19]20 - Customer numbers Metro'!E39</f>
        <v>2672</v>
      </c>
      <c r="F30" s="1604">
        <f>'[19]20 - Customer numbers Metro'!F39</f>
        <v>3031</v>
      </c>
      <c r="G30" s="1604">
        <f>'[19]20 - Customer numbers Metro'!G39</f>
        <v>3546</v>
      </c>
      <c r="H30" s="1604">
        <f>'[19]20 - Customer numbers Metro'!H39</f>
        <v>2883.1800942775753</v>
      </c>
      <c r="I30" s="1604"/>
      <c r="J30" s="1605"/>
      <c r="K30" s="1605"/>
      <c r="L30" s="1605"/>
      <c r="M30" s="1606"/>
      <c r="N30" s="1604"/>
      <c r="O30" s="1605"/>
      <c r="P30" s="1605"/>
      <c r="Q30" s="1605"/>
      <c r="R30" s="1606"/>
    </row>
    <row r="31" spans="2:18" ht="15.75" thickBot="1">
      <c r="B31" s="3677" t="str">
        <f>CONCATENATE("Commercial/industrial customers"," : ",B23)</f>
        <v>Commercial/industrial customers : Tariff V Metro</v>
      </c>
      <c r="C31" s="3672"/>
      <c r="D31" s="3684">
        <f t="shared" ref="D31:R31" si="1">D29-D30</f>
        <v>4504</v>
      </c>
      <c r="E31" s="3684">
        <f t="shared" si="1"/>
        <v>5071</v>
      </c>
      <c r="F31" s="3684">
        <f t="shared" si="1"/>
        <v>3859</v>
      </c>
      <c r="G31" s="3684">
        <f t="shared" si="1"/>
        <v>4124</v>
      </c>
      <c r="H31" s="3684">
        <f t="shared" si="1"/>
        <v>5039.1634673309745</v>
      </c>
      <c r="I31" s="3684">
        <f t="shared" si="1"/>
        <v>0</v>
      </c>
      <c r="J31" s="3684">
        <f t="shared" si="1"/>
        <v>0</v>
      </c>
      <c r="K31" s="3684">
        <f t="shared" si="1"/>
        <v>0</v>
      </c>
      <c r="L31" s="3684">
        <f t="shared" si="1"/>
        <v>0</v>
      </c>
      <c r="M31" s="3684">
        <f t="shared" si="1"/>
        <v>0</v>
      </c>
      <c r="N31" s="3684">
        <f t="shared" si="1"/>
        <v>0</v>
      </c>
      <c r="O31" s="3684">
        <f t="shared" si="1"/>
        <v>0</v>
      </c>
      <c r="P31" s="3684">
        <f t="shared" si="1"/>
        <v>0</v>
      </c>
      <c r="Q31" s="3684">
        <f t="shared" si="1"/>
        <v>0</v>
      </c>
      <c r="R31" s="3684">
        <f t="shared" si="1"/>
        <v>0</v>
      </c>
    </row>
    <row r="32" spans="2:18">
      <c r="B32" s="4753" t="s">
        <v>747</v>
      </c>
      <c r="C32" s="3642" t="s">
        <v>744</v>
      </c>
      <c r="D32" s="1602">
        <f>'[19]20 - Customer numbers Metro'!$D$42</f>
        <v>16654</v>
      </c>
      <c r="E32" s="480">
        <f>D33</f>
        <v>16571</v>
      </c>
      <c r="F32" s="480">
        <f>E33</f>
        <v>16475</v>
      </c>
      <c r="G32" s="480">
        <f>F33</f>
        <v>16438</v>
      </c>
      <c r="H32" s="480">
        <f>G33</f>
        <v>16382</v>
      </c>
      <c r="I32" s="1602">
        <v>16153</v>
      </c>
      <c r="J32" s="480">
        <f>I33</f>
        <v>16090</v>
      </c>
      <c r="K32" s="480">
        <f>J33</f>
        <v>16058</v>
      </c>
      <c r="L32" s="480">
        <f>K33</f>
        <v>15781</v>
      </c>
      <c r="M32" s="480">
        <f>L33</f>
        <v>15537</v>
      </c>
      <c r="N32" s="1602">
        <v>15466</v>
      </c>
      <c r="O32" s="480">
        <f>N33</f>
        <v>15370.670942251376</v>
      </c>
      <c r="P32" s="480">
        <f>O33</f>
        <v>15232.600429176538</v>
      </c>
      <c r="Q32" s="480">
        <f>P33</f>
        <v>15132.931353414238</v>
      </c>
      <c r="R32" s="480">
        <f>Q33</f>
        <v>14815.931339429459</v>
      </c>
    </row>
    <row r="33" spans="2:18">
      <c r="B33" s="4754"/>
      <c r="C33" s="3681" t="s">
        <v>745</v>
      </c>
      <c r="D33" s="499">
        <f>'[19]20 - Customer numbers Metro'!D43</f>
        <v>16571</v>
      </c>
      <c r="E33" s="499">
        <f>'[19]20 - Customer numbers Metro'!E43</f>
        <v>16475</v>
      </c>
      <c r="F33" s="499">
        <f>'[19]20 - Customer numbers Metro'!F43</f>
        <v>16438</v>
      </c>
      <c r="G33" s="499">
        <f>[20]Sheet1!AL48</f>
        <v>16382</v>
      </c>
      <c r="H33" s="499">
        <f>[20]Sheet1!AM48</f>
        <v>16153</v>
      </c>
      <c r="I33" s="499">
        <f>[20]Sheet1!AN48</f>
        <v>16090</v>
      </c>
      <c r="J33" s="499">
        <f>[20]Sheet1!AO48</f>
        <v>16058</v>
      </c>
      <c r="K33" s="499">
        <f>[20]Sheet1!AP48</f>
        <v>15781</v>
      </c>
      <c r="L33" s="499">
        <f>[20]Sheet1!AQ48</f>
        <v>15537</v>
      </c>
      <c r="M33" s="499">
        <f>'[21]PTRM input'!F320</f>
        <v>15466.287235457956</v>
      </c>
      <c r="N33" s="499">
        <f>'[21]PTRM input'!G320</f>
        <v>15370.670942251376</v>
      </c>
      <c r="O33" s="499">
        <f>'[21]PTRM input'!H320</f>
        <v>15232.600429176538</v>
      </c>
      <c r="P33" s="499">
        <f>'[21]PTRM input'!I320</f>
        <v>15132.931353414238</v>
      </c>
      <c r="Q33" s="499">
        <f>'[21]PTRM input'!J320</f>
        <v>14815.931339429459</v>
      </c>
      <c r="R33" s="499">
        <f>'[21]PTRM input'!K320</f>
        <v>14740.178770770712</v>
      </c>
    </row>
    <row r="34" spans="2:18">
      <c r="B34" s="4754"/>
      <c r="C34" s="3681" t="s">
        <v>70</v>
      </c>
      <c r="D34" s="384">
        <f t="shared" ref="D34:R34" si="2">IF(ISERROR(AVERAGE(D32:D33)),0,AVERAGE(D32:D33))</f>
        <v>16612.5</v>
      </c>
      <c r="E34" s="384">
        <f t="shared" si="2"/>
        <v>16523</v>
      </c>
      <c r="F34" s="384">
        <f t="shared" si="2"/>
        <v>16456.5</v>
      </c>
      <c r="G34" s="384">
        <f t="shared" si="2"/>
        <v>16410</v>
      </c>
      <c r="H34" s="384">
        <f t="shared" si="2"/>
        <v>16267.5</v>
      </c>
      <c r="I34" s="384">
        <f t="shared" si="2"/>
        <v>16121.5</v>
      </c>
      <c r="J34" s="384">
        <f t="shared" si="2"/>
        <v>16074</v>
      </c>
      <c r="K34" s="384">
        <f t="shared" si="2"/>
        <v>15919.5</v>
      </c>
      <c r="L34" s="384">
        <f t="shared" si="2"/>
        <v>15659</v>
      </c>
      <c r="M34" s="384">
        <f t="shared" si="2"/>
        <v>15501.643617728978</v>
      </c>
      <c r="N34" s="384">
        <f t="shared" si="2"/>
        <v>15418.335471125687</v>
      </c>
      <c r="O34" s="384">
        <f t="shared" si="2"/>
        <v>15301.635685713958</v>
      </c>
      <c r="P34" s="384">
        <f t="shared" si="2"/>
        <v>15182.765891295388</v>
      </c>
      <c r="Q34" s="384">
        <f t="shared" si="2"/>
        <v>14974.431346421849</v>
      </c>
      <c r="R34" s="384">
        <f t="shared" si="2"/>
        <v>14778.055055100085</v>
      </c>
    </row>
    <row r="35" spans="2:18">
      <c r="B35" s="4754"/>
      <c r="C35" s="3681" t="s">
        <v>71</v>
      </c>
      <c r="D35" s="499">
        <f>'[19]20 - Customer numbers Metro'!D46</f>
        <v>133</v>
      </c>
      <c r="E35" s="499">
        <f>'[19]20 - Customer numbers Metro'!E46</f>
        <v>147</v>
      </c>
      <c r="F35" s="499">
        <f>'[19]20 - Customer numbers Metro'!F46</f>
        <v>147</v>
      </c>
      <c r="G35" s="499">
        <f>'[19]20 - Customer numbers Metro'!G46</f>
        <v>120</v>
      </c>
      <c r="H35" s="499">
        <f>'[19]20 - Customer numbers Metro'!H46</f>
        <v>195.87502631850799</v>
      </c>
      <c r="I35" s="499"/>
      <c r="J35" s="494"/>
      <c r="K35" s="494"/>
      <c r="L35" s="494"/>
      <c r="M35" s="1603"/>
      <c r="N35" s="499"/>
      <c r="O35" s="494"/>
      <c r="P35" s="494"/>
      <c r="Q35" s="494"/>
      <c r="R35" s="1603"/>
    </row>
    <row r="36" spans="2:18" ht="13.5" thickBot="1">
      <c r="B36" s="4755"/>
      <c r="C36" s="3682" t="s">
        <v>60</v>
      </c>
      <c r="D36" s="1604">
        <f>'[19]20 - Customer numbers Metro'!D47</f>
        <v>216</v>
      </c>
      <c r="E36" s="1604">
        <f>'[19]20 - Customer numbers Metro'!E47</f>
        <v>243</v>
      </c>
      <c r="F36" s="1604">
        <f>'[19]20 - Customer numbers Metro'!F47</f>
        <v>184</v>
      </c>
      <c r="G36" s="1604">
        <v>176</v>
      </c>
      <c r="H36" s="1604">
        <f>'[19]20 - Customer numbers Metro'!H47</f>
        <v>212.10728554790836</v>
      </c>
      <c r="I36" s="1604"/>
      <c r="J36" s="1605"/>
      <c r="K36" s="1605"/>
      <c r="L36" s="1605"/>
      <c r="M36" s="1606"/>
      <c r="N36" s="1604"/>
      <c r="O36" s="1605"/>
      <c r="P36" s="1605"/>
      <c r="Q36" s="1605"/>
      <c r="R36" s="1606"/>
    </row>
    <row r="37" spans="2:18" ht="13.5" thickBot="1">
      <c r="B37" s="3683"/>
      <c r="C37" s="3672"/>
      <c r="D37" s="3684"/>
      <c r="E37" s="3684"/>
      <c r="F37" s="3684"/>
      <c r="G37" s="3684"/>
      <c r="H37" s="3684"/>
      <c r="I37" s="3672"/>
      <c r="J37" s="3672"/>
      <c r="K37" s="3672"/>
      <c r="L37" s="3672"/>
      <c r="M37" s="3672"/>
      <c r="N37" s="3672"/>
      <c r="O37" s="3672"/>
      <c r="P37" s="3672"/>
      <c r="Q37" s="3672"/>
      <c r="R37" s="3673"/>
    </row>
    <row r="38" spans="2:18" ht="15.75" thickBot="1">
      <c r="B38" s="3674" t="s">
        <v>1625</v>
      </c>
      <c r="C38" s="3672"/>
      <c r="D38" s="3672"/>
      <c r="E38" s="3672"/>
      <c r="F38" s="3672"/>
      <c r="G38" s="3672"/>
      <c r="H38" s="3672"/>
      <c r="I38" s="3672"/>
      <c r="J38" s="3672"/>
      <c r="K38" s="3672"/>
      <c r="L38" s="3672"/>
      <c r="M38" s="3672"/>
      <c r="N38" s="3672"/>
      <c r="O38" s="3672"/>
      <c r="P38" s="3672"/>
      <c r="Q38" s="3672"/>
      <c r="R38" s="3673"/>
    </row>
    <row r="39" spans="2:18" ht="15.75" thickBot="1">
      <c r="B39" s="3677" t="str">
        <f>CONCATENATE("Table 27.2.2"," - ", B38)</f>
        <v>Table 27.2.2 - Tariff L Metro</v>
      </c>
      <c r="C39" s="3672"/>
      <c r="D39" s="3672"/>
      <c r="E39" s="3672"/>
      <c r="F39" s="3672"/>
      <c r="G39" s="3672"/>
      <c r="H39" s="3672"/>
      <c r="I39" s="3672"/>
      <c r="J39" s="3672"/>
      <c r="K39" s="3672"/>
      <c r="L39" s="3672"/>
      <c r="M39" s="3672"/>
      <c r="N39" s="3672"/>
      <c r="O39" s="3672"/>
      <c r="P39" s="3672"/>
      <c r="Q39" s="3672"/>
      <c r="R39" s="3673"/>
    </row>
    <row r="40" spans="2:18" ht="15.75" thickBot="1">
      <c r="B40" s="3678" t="str">
        <f>CONCATENATE("Commercial/industrial customers"," : ",B38)</f>
        <v>Commercial/industrial customers : Tariff L Metro</v>
      </c>
      <c r="C40" s="3679"/>
      <c r="D40" s="3679"/>
      <c r="E40" s="3679"/>
      <c r="F40" s="3679"/>
      <c r="G40" s="3679"/>
      <c r="H40" s="3679"/>
      <c r="I40" s="3679"/>
      <c r="J40" s="3679"/>
      <c r="K40" s="3679"/>
      <c r="L40" s="3679"/>
      <c r="M40" s="3679"/>
      <c r="N40" s="3679"/>
      <c r="O40" s="3679"/>
      <c r="P40" s="3679"/>
      <c r="Q40" s="3679"/>
      <c r="R40" s="3680"/>
    </row>
    <row r="41" spans="2:18">
      <c r="B41" s="4753" t="s">
        <v>747</v>
      </c>
      <c r="C41" s="3642" t="s">
        <v>744</v>
      </c>
      <c r="D41" s="1602">
        <f>'[19]20 - Customer numbers Metro'!$D$60</f>
        <v>16</v>
      </c>
      <c r="E41" s="480">
        <f>D42</f>
        <v>15</v>
      </c>
      <c r="F41" s="480">
        <f>E42</f>
        <v>15</v>
      </c>
      <c r="G41" s="480">
        <f>F42</f>
        <v>15</v>
      </c>
      <c r="H41" s="480">
        <f>G42</f>
        <v>15</v>
      </c>
      <c r="I41" s="1602">
        <v>16</v>
      </c>
      <c r="J41" s="480">
        <f>I42</f>
        <v>16</v>
      </c>
      <c r="K41" s="480">
        <f>J42</f>
        <v>15</v>
      </c>
      <c r="L41" s="480">
        <f>K42</f>
        <v>14</v>
      </c>
      <c r="M41" s="480">
        <f>L42</f>
        <v>14</v>
      </c>
      <c r="N41" s="1602">
        <v>14</v>
      </c>
      <c r="O41" s="480">
        <f>N42</f>
        <v>14</v>
      </c>
      <c r="P41" s="480">
        <f>O42</f>
        <v>14</v>
      </c>
      <c r="Q41" s="480">
        <f>P42</f>
        <v>14</v>
      </c>
      <c r="R41" s="480">
        <f>Q42</f>
        <v>14</v>
      </c>
    </row>
    <row r="42" spans="2:18">
      <c r="B42" s="4754"/>
      <c r="C42" s="3681" t="s">
        <v>745</v>
      </c>
      <c r="D42" s="499">
        <f>'[19]20 - Customer numbers Metro'!D61</f>
        <v>15</v>
      </c>
      <c r="E42" s="499">
        <f>'[19]20 - Customer numbers Metro'!E61</f>
        <v>15</v>
      </c>
      <c r="F42" s="499">
        <f>'[19]20 - Customer numbers Metro'!F61</f>
        <v>15</v>
      </c>
      <c r="G42" s="499">
        <f>[20]Sheet1!AM49</f>
        <v>15</v>
      </c>
      <c r="H42" s="499">
        <f>[20]Sheet1!AN49</f>
        <v>16</v>
      </c>
      <c r="I42" s="499">
        <f>[20]Sheet1!AO49</f>
        <v>16</v>
      </c>
      <c r="J42" s="499">
        <f>[20]Sheet1!AP49</f>
        <v>15</v>
      </c>
      <c r="K42" s="499">
        <f>[20]Sheet1!AQ49</f>
        <v>14</v>
      </c>
      <c r="L42" s="499">
        <f>[20]Sheet1!AR49</f>
        <v>14</v>
      </c>
      <c r="M42" s="499">
        <f>[20]Sheet1!AS49</f>
        <v>14</v>
      </c>
      <c r="N42" s="499">
        <f>[20]Sheet1!AT49</f>
        <v>14</v>
      </c>
      <c r="O42" s="499">
        <f>[20]Sheet1!AU49</f>
        <v>14</v>
      </c>
      <c r="P42" s="499">
        <f>[20]Sheet1!AV49</f>
        <v>14</v>
      </c>
      <c r="Q42" s="499">
        <f>[20]Sheet1!AW49</f>
        <v>14</v>
      </c>
      <c r="R42" s="499">
        <f>[20]Sheet1!AX49</f>
        <v>14</v>
      </c>
    </row>
    <row r="43" spans="2:18">
      <c r="B43" s="4754"/>
      <c r="C43" s="3681" t="s">
        <v>70</v>
      </c>
      <c r="D43" s="384">
        <f t="shared" ref="D43:R43" si="3">IF(ISERROR(AVERAGE(D41:D42)),0,AVERAGE(D41:D42))</f>
        <v>15.5</v>
      </c>
      <c r="E43" s="384">
        <f t="shared" si="3"/>
        <v>15</v>
      </c>
      <c r="F43" s="384">
        <f t="shared" si="3"/>
        <v>15</v>
      </c>
      <c r="G43" s="384">
        <f t="shared" si="3"/>
        <v>15</v>
      </c>
      <c r="H43" s="384">
        <f t="shared" si="3"/>
        <v>15.5</v>
      </c>
      <c r="I43" s="384">
        <f t="shared" si="3"/>
        <v>16</v>
      </c>
      <c r="J43" s="384">
        <f t="shared" si="3"/>
        <v>15.5</v>
      </c>
      <c r="K43" s="384">
        <f t="shared" si="3"/>
        <v>14.5</v>
      </c>
      <c r="L43" s="384">
        <f t="shared" si="3"/>
        <v>14</v>
      </c>
      <c r="M43" s="384">
        <f t="shared" si="3"/>
        <v>14</v>
      </c>
      <c r="N43" s="384">
        <f t="shared" si="3"/>
        <v>14</v>
      </c>
      <c r="O43" s="384">
        <f t="shared" si="3"/>
        <v>14</v>
      </c>
      <c r="P43" s="384">
        <f t="shared" si="3"/>
        <v>14</v>
      </c>
      <c r="Q43" s="384">
        <f t="shared" si="3"/>
        <v>14</v>
      </c>
      <c r="R43" s="384">
        <f t="shared" si="3"/>
        <v>14</v>
      </c>
    </row>
    <row r="44" spans="2:18">
      <c r="B44" s="4754"/>
      <c r="C44" s="3681" t="s">
        <v>71</v>
      </c>
      <c r="D44" s="499">
        <f>'[19]20 - Customer numbers Metro'!D64</f>
        <v>0</v>
      </c>
      <c r="E44" s="499">
        <f>'[19]20 - Customer numbers Metro'!E64</f>
        <v>0</v>
      </c>
      <c r="F44" s="499">
        <f>'[19]20 - Customer numbers Metro'!F64</f>
        <v>0</v>
      </c>
      <c r="G44" s="499">
        <v>0</v>
      </c>
      <c r="H44" s="499">
        <v>1</v>
      </c>
      <c r="I44" s="499"/>
      <c r="J44" s="494"/>
      <c r="K44" s="494"/>
      <c r="L44" s="494"/>
      <c r="M44" s="1603"/>
      <c r="N44" s="499"/>
      <c r="O44" s="494"/>
      <c r="P44" s="494"/>
      <c r="Q44" s="494"/>
      <c r="R44" s="1603"/>
    </row>
    <row r="45" spans="2:18" ht="13.5" thickBot="1">
      <c r="B45" s="4755"/>
      <c r="C45" s="3682" t="s">
        <v>60</v>
      </c>
      <c r="D45" s="1604">
        <f>'[19]20 - Customer numbers Metro'!D65</f>
        <v>1</v>
      </c>
      <c r="E45" s="1604">
        <f>'[19]20 - Customer numbers Metro'!E65</f>
        <v>0</v>
      </c>
      <c r="F45" s="1604">
        <f>'[19]20 - Customer numbers Metro'!F65</f>
        <v>0</v>
      </c>
      <c r="G45" s="1604">
        <f>'[19]20 - Customer numbers Metro'!G65</f>
        <v>0</v>
      </c>
      <c r="H45" s="1604">
        <f>'[19]20 - Customer numbers Metro'!G65</f>
        <v>0</v>
      </c>
      <c r="I45" s="1604"/>
      <c r="J45" s="1605">
        <v>1</v>
      </c>
      <c r="K45" s="1605">
        <v>1</v>
      </c>
      <c r="L45" s="1605"/>
      <c r="M45" s="1606"/>
      <c r="N45" s="1604"/>
      <c r="O45" s="1605"/>
      <c r="P45" s="1605"/>
      <c r="Q45" s="1605"/>
      <c r="R45" s="1606"/>
    </row>
    <row r="46" spans="2:18" ht="13.5" thickBot="1">
      <c r="B46" s="3683"/>
      <c r="C46" s="3672"/>
      <c r="D46" s="3672"/>
      <c r="E46" s="3672"/>
      <c r="F46" s="3672"/>
      <c r="G46" s="3672"/>
      <c r="H46" s="3672"/>
      <c r="I46" s="3672"/>
      <c r="J46" s="3672"/>
      <c r="K46" s="3672"/>
      <c r="L46" s="3672"/>
      <c r="M46" s="3672"/>
      <c r="N46" s="3672"/>
      <c r="O46" s="3672"/>
      <c r="P46" s="3672"/>
      <c r="Q46" s="3672"/>
      <c r="R46" s="3673"/>
    </row>
    <row r="47" spans="2:18" ht="15.75" thickBot="1">
      <c r="B47" s="3674" t="s">
        <v>1626</v>
      </c>
      <c r="C47" s="3672"/>
      <c r="D47" s="3672"/>
      <c r="E47" s="3672"/>
      <c r="F47" s="3672"/>
      <c r="G47" s="3672"/>
      <c r="H47" s="3672"/>
      <c r="I47" s="3672"/>
      <c r="J47" s="3672"/>
      <c r="K47" s="3672"/>
      <c r="L47" s="3672"/>
      <c r="M47" s="3672"/>
      <c r="N47" s="3672"/>
      <c r="O47" s="3672"/>
      <c r="P47" s="3672"/>
      <c r="Q47" s="3672"/>
      <c r="R47" s="3673"/>
    </row>
    <row r="48" spans="2:18" ht="15.75" thickBot="1">
      <c r="B48" s="3677" t="str">
        <f>CONCATENATE("Table 27.2.3"," - ", B47)</f>
        <v>Table 27.2.3 - Tariff D Metro</v>
      </c>
      <c r="C48" s="3672"/>
      <c r="D48" s="3672"/>
      <c r="E48" s="3672"/>
      <c r="F48" s="3672"/>
      <c r="G48" s="3672"/>
      <c r="H48" s="3672"/>
      <c r="I48" s="3672"/>
      <c r="J48" s="3672"/>
      <c r="K48" s="3672"/>
      <c r="L48" s="3672"/>
      <c r="M48" s="3672"/>
      <c r="N48" s="3672"/>
      <c r="O48" s="3672"/>
      <c r="P48" s="3672"/>
      <c r="Q48" s="3672"/>
      <c r="R48" s="3673"/>
    </row>
    <row r="49" spans="2:18" ht="15.75" thickBot="1">
      <c r="B49" s="3678" t="str">
        <f>CONCATENATE("Commercial/industrial customers"," : ",B47)</f>
        <v>Commercial/industrial customers : Tariff D Metro</v>
      </c>
      <c r="C49" s="3679"/>
      <c r="D49" s="3679"/>
      <c r="E49" s="3679"/>
      <c r="F49" s="3679"/>
      <c r="G49" s="3679"/>
      <c r="H49" s="3679"/>
      <c r="I49" s="3679"/>
      <c r="J49" s="3679"/>
      <c r="K49" s="3679"/>
      <c r="L49" s="3679"/>
      <c r="M49" s="3679"/>
      <c r="N49" s="3679"/>
      <c r="O49" s="3679"/>
      <c r="P49" s="3679"/>
      <c r="Q49" s="3679"/>
      <c r="R49" s="3680"/>
    </row>
    <row r="50" spans="2:18">
      <c r="B50" s="4753" t="s">
        <v>747</v>
      </c>
      <c r="C50" s="3642" t="s">
        <v>744</v>
      </c>
      <c r="D50" s="1602">
        <f>'[19]20 - Customer numbers Metro'!$D$69</f>
        <v>266</v>
      </c>
      <c r="E50" s="480">
        <f>D51</f>
        <v>262</v>
      </c>
      <c r="F50" s="480">
        <f>E51</f>
        <v>264</v>
      </c>
      <c r="G50" s="480">
        <f>F51</f>
        <v>269</v>
      </c>
      <c r="H50" s="480">
        <f>G51</f>
        <v>264</v>
      </c>
      <c r="I50" s="1602">
        <v>264</v>
      </c>
      <c r="J50" s="480">
        <f>I51</f>
        <v>264.85906040268458</v>
      </c>
      <c r="K50" s="480">
        <f>J51</f>
        <v>263.87969924812029</v>
      </c>
      <c r="L50" s="480">
        <f>K51</f>
        <v>266.92619657364889</v>
      </c>
      <c r="M50" s="480">
        <f>L51</f>
        <v>261.17198537380381</v>
      </c>
      <c r="N50" s="1602">
        <v>263</v>
      </c>
      <c r="O50" s="480">
        <f>N51</f>
        <v>260.59763271167799</v>
      </c>
      <c r="P50" s="480">
        <f>O51</f>
        <v>257.34999380692375</v>
      </c>
      <c r="Q50" s="480">
        <f>P51</f>
        <v>253.97107814913289</v>
      </c>
      <c r="R50" s="480">
        <f>Q51</f>
        <v>249.62788807440262</v>
      </c>
    </row>
    <row r="51" spans="2:18">
      <c r="B51" s="4754"/>
      <c r="C51" s="3681" t="s">
        <v>745</v>
      </c>
      <c r="D51" s="499">
        <f>'[19]20 - Customer numbers Metro'!D70</f>
        <v>262</v>
      </c>
      <c r="E51" s="499">
        <f>'[19]20 - Customer numbers Metro'!E70</f>
        <v>264</v>
      </c>
      <c r="F51" s="499">
        <f>'[19]20 - Customer numbers Metro'!F70</f>
        <v>269</v>
      </c>
      <c r="G51" s="499">
        <f>[20]Sheet1!AL50</f>
        <v>264</v>
      </c>
      <c r="H51" s="499">
        <f>[20]Sheet1!AM50</f>
        <v>263.85906040268458</v>
      </c>
      <c r="I51" s="499">
        <f>[20]Sheet1!AN50</f>
        <v>264.85906040268458</v>
      </c>
      <c r="J51" s="499">
        <f>[20]Sheet1!AO50</f>
        <v>263.87969924812029</v>
      </c>
      <c r="K51" s="499">
        <f>[20]Sheet1!AP50</f>
        <v>266.92619657364889</v>
      </c>
      <c r="L51" s="499">
        <f>[20]Sheet1!AQ50</f>
        <v>261.17198537380381</v>
      </c>
      <c r="M51" s="499">
        <f>[20]Sheet1!AR50</f>
        <v>262.50212271463033</v>
      </c>
      <c r="N51" s="499">
        <f>[20]Sheet1!AS50</f>
        <v>260.59763271167799</v>
      </c>
      <c r="O51" s="499">
        <f>[20]Sheet1!AT50</f>
        <v>257.34999380692375</v>
      </c>
      <c r="P51" s="499">
        <f>[20]Sheet1!AU50</f>
        <v>253.97107814913289</v>
      </c>
      <c r="Q51" s="499">
        <f>[20]Sheet1!AV50</f>
        <v>249.62788807440262</v>
      </c>
      <c r="R51" s="499">
        <f>[20]Sheet1!AW50</f>
        <v>247.41696426956651</v>
      </c>
    </row>
    <row r="52" spans="2:18">
      <c r="B52" s="4754"/>
      <c r="C52" s="3681" t="s">
        <v>70</v>
      </c>
      <c r="D52" s="384">
        <f t="shared" ref="D52:R52" si="4">IF(ISERROR(AVERAGE(D50:D51)),0,AVERAGE(D50:D51))</f>
        <v>264</v>
      </c>
      <c r="E52" s="384">
        <f t="shared" si="4"/>
        <v>263</v>
      </c>
      <c r="F52" s="384">
        <f t="shared" si="4"/>
        <v>266.5</v>
      </c>
      <c r="G52" s="384">
        <f t="shared" si="4"/>
        <v>266.5</v>
      </c>
      <c r="H52" s="384">
        <f t="shared" si="4"/>
        <v>263.92953020134229</v>
      </c>
      <c r="I52" s="384">
        <f t="shared" si="4"/>
        <v>264.42953020134229</v>
      </c>
      <c r="J52" s="384">
        <f t="shared" si="4"/>
        <v>264.36937982540246</v>
      </c>
      <c r="K52" s="384">
        <f t="shared" si="4"/>
        <v>265.40294791088456</v>
      </c>
      <c r="L52" s="384">
        <f t="shared" si="4"/>
        <v>264.04909097372638</v>
      </c>
      <c r="M52" s="384">
        <f t="shared" si="4"/>
        <v>261.8370540442171</v>
      </c>
      <c r="N52" s="384">
        <f t="shared" si="4"/>
        <v>261.79881635583899</v>
      </c>
      <c r="O52" s="384">
        <f t="shared" si="4"/>
        <v>258.97381325930087</v>
      </c>
      <c r="P52" s="384">
        <f t="shared" si="4"/>
        <v>255.66053597802832</v>
      </c>
      <c r="Q52" s="384">
        <f t="shared" si="4"/>
        <v>251.79948311176776</v>
      </c>
      <c r="R52" s="384">
        <f t="shared" si="4"/>
        <v>248.52242617198456</v>
      </c>
    </row>
    <row r="53" spans="2:18">
      <c r="B53" s="4754"/>
      <c r="C53" s="3681" t="s">
        <v>71</v>
      </c>
      <c r="D53" s="499">
        <f>'[19]20 - Customer numbers Metro'!D73</f>
        <v>130</v>
      </c>
      <c r="E53" s="499">
        <f>'[19]20 - Customer numbers Metro'!E73</f>
        <v>22</v>
      </c>
      <c r="F53" s="499">
        <f>'[19]20 - Customer numbers Metro'!F73</f>
        <v>6</v>
      </c>
      <c r="G53" s="499"/>
      <c r="H53" s="499"/>
      <c r="I53" s="499"/>
      <c r="J53" s="494"/>
      <c r="K53" s="494"/>
      <c r="L53" s="494"/>
      <c r="M53" s="1603"/>
      <c r="N53" s="499"/>
      <c r="O53" s="494"/>
      <c r="P53" s="494"/>
      <c r="Q53" s="494"/>
      <c r="R53" s="1603"/>
    </row>
    <row r="54" spans="2:18" ht="13.5" thickBot="1">
      <c r="B54" s="4755"/>
      <c r="C54" s="3682" t="s">
        <v>60</v>
      </c>
      <c r="D54" s="1604">
        <f>'[19]20 - Customer numbers Metro'!D74</f>
        <v>126</v>
      </c>
      <c r="E54" s="1604">
        <f>'[19]20 - Customer numbers Metro'!E74</f>
        <v>24</v>
      </c>
      <c r="F54" s="1604">
        <f>'[19]20 - Customer numbers Metro'!F74</f>
        <v>11</v>
      </c>
      <c r="G54" s="1604"/>
      <c r="H54" s="1604"/>
      <c r="I54" s="1604"/>
      <c r="J54" s="1605"/>
      <c r="K54" s="1605"/>
      <c r="L54" s="1605"/>
      <c r="M54" s="1606"/>
      <c r="N54" s="1604"/>
      <c r="O54" s="1605"/>
      <c r="P54" s="1605"/>
      <c r="Q54" s="1605"/>
      <c r="R54" s="1606"/>
    </row>
  </sheetData>
  <mergeCells count="18">
    <mergeCell ref="B11:F11"/>
    <mergeCell ref="B6:F6"/>
    <mergeCell ref="B7:F7"/>
    <mergeCell ref="B8:F8"/>
    <mergeCell ref="B9:F9"/>
    <mergeCell ref="B10:F10"/>
    <mergeCell ref="I16:M16"/>
    <mergeCell ref="N16:R16"/>
    <mergeCell ref="D17:R17"/>
    <mergeCell ref="D18:K18"/>
    <mergeCell ref="L18:R18"/>
    <mergeCell ref="B26:B30"/>
    <mergeCell ref="B32:B36"/>
    <mergeCell ref="B41:B45"/>
    <mergeCell ref="B50:B54"/>
    <mergeCell ref="B12:F12"/>
    <mergeCell ref="B16:C19"/>
    <mergeCell ref="D16:H16"/>
  </mergeCells>
  <pageMargins left="0.7" right="0.7" top="0.75" bottom="0.75" header="0.3" footer="0.3"/>
  <customProperties>
    <customPr name="layoutContexts" r:id="rId1"/>
  </customProperties>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D54"/>
  <sheetViews>
    <sheetView zoomScale="60" zoomScaleNormal="60" workbookViewId="0">
      <selection activeCell="P26" sqref="P26:P27"/>
    </sheetView>
  </sheetViews>
  <sheetFormatPr defaultColWidth="9.140625" defaultRowHeight="12.75"/>
  <cols>
    <col min="1" max="1" width="16.28515625" style="3656" bestFit="1" customWidth="1"/>
    <col min="2" max="2" width="54.42578125" style="3656" customWidth="1"/>
    <col min="3" max="3" width="52.140625" style="3656" customWidth="1"/>
    <col min="4" max="17" width="15.7109375" style="3656" customWidth="1"/>
    <col min="18" max="18" width="14" style="2274" customWidth="1"/>
    <col min="19" max="36" width="8.7109375" style="2274" customWidth="1"/>
    <col min="37" max="16384" width="9.140625" style="3656"/>
  </cols>
  <sheetData>
    <row r="1" spans="1:134" s="2276" customFormat="1" ht="24.95" customHeight="1">
      <c r="B1" s="2272" t="str">
        <f>IF(dms_DataQuality="backcast",INDEX(dms_Worksheet_List,MATCH(dms_Model,dms_Model_List))&amp;" BACKCAST",INDEX(dms_Worksheet_List,MATCH(dms_Model,dms_Model_List)))</f>
        <v>REGULATORY REPORTING STATEMENT</v>
      </c>
      <c r="C1" s="3654"/>
      <c r="D1" s="3654"/>
      <c r="E1" s="3654"/>
      <c r="F1" s="3654"/>
      <c r="G1" s="3654"/>
      <c r="H1" s="3654"/>
      <c r="I1" s="3654"/>
      <c r="J1" s="3654"/>
      <c r="K1" s="3654"/>
      <c r="L1" s="3654"/>
      <c r="M1" s="3654"/>
      <c r="N1" s="3654"/>
      <c r="O1" s="3654"/>
      <c r="P1" s="3654"/>
      <c r="Q1" s="3654"/>
      <c r="R1" s="3654"/>
      <c r="S1" s="2274"/>
      <c r="T1" s="2274"/>
      <c r="U1" s="2274"/>
      <c r="V1" s="2274"/>
      <c r="W1" s="2274"/>
      <c r="X1" s="2274"/>
      <c r="Y1" s="2274"/>
      <c r="Z1" s="2274"/>
      <c r="AA1" s="2274"/>
      <c r="AB1" s="2274"/>
      <c r="AC1" s="2274"/>
      <c r="AD1" s="2274"/>
      <c r="AE1" s="2274"/>
      <c r="AF1" s="2274"/>
      <c r="AG1" s="2274"/>
      <c r="AH1" s="2274"/>
      <c r="AI1" s="2274"/>
      <c r="AJ1" s="2274"/>
    </row>
    <row r="2" spans="1:134" s="2276" customFormat="1" ht="24.95" customHeight="1">
      <c r="B2" s="2277" t="str">
        <f>INDEX(dms_TradingNameFull_List,MATCH(dms_TradingName,dms_TradingName_List))</f>
        <v>Multinet Gas (DB No.1) Pty Ltd (ACN 086 026 986), Multinet Gas (DB No.2) Pty Ltd (ACN 086 230 122)</v>
      </c>
      <c r="C2" s="2277"/>
      <c r="D2" s="2277"/>
      <c r="E2" s="2277"/>
      <c r="F2" s="2277"/>
      <c r="G2" s="2277"/>
      <c r="H2" s="2277"/>
      <c r="I2" s="2277"/>
      <c r="J2" s="2277"/>
      <c r="K2" s="2277"/>
      <c r="L2" s="2277"/>
      <c r="M2" s="2277"/>
      <c r="N2" s="2277"/>
      <c r="O2" s="2277"/>
      <c r="P2" s="2277"/>
      <c r="Q2" s="2277"/>
      <c r="R2" s="2277"/>
      <c r="S2" s="2274"/>
      <c r="T2" s="2274"/>
      <c r="U2" s="2274"/>
      <c r="V2" s="2274"/>
      <c r="W2" s="2274"/>
      <c r="X2" s="2274"/>
      <c r="Y2" s="2274"/>
      <c r="Z2" s="2274"/>
      <c r="AA2" s="2274"/>
      <c r="AB2" s="2274"/>
      <c r="AC2" s="2274"/>
      <c r="AD2" s="2274"/>
      <c r="AE2" s="2274"/>
      <c r="AF2" s="2274"/>
      <c r="AG2" s="2274"/>
      <c r="AH2" s="2274"/>
      <c r="AI2" s="2274"/>
      <c r="AJ2" s="2274"/>
    </row>
    <row r="3" spans="1:134" s="2276" customFormat="1" ht="24.95" customHeight="1">
      <c r="B3" s="2277" t="str">
        <f>IF(SUM(dms_SingleYear_Model)&gt;0,CRY,CONCATENATE(FRCP_y1," to ",dms_MultiYear_FinalYear_Result))</f>
        <v>2018 to 2022</v>
      </c>
      <c r="C3" s="2279"/>
      <c r="D3" s="2279"/>
      <c r="E3" s="2279"/>
      <c r="F3" s="2279"/>
      <c r="G3" s="2279"/>
      <c r="H3" s="2279"/>
      <c r="I3" s="2279"/>
      <c r="J3" s="2279"/>
      <c r="K3" s="2279"/>
      <c r="L3" s="2279"/>
      <c r="M3" s="2279"/>
      <c r="N3" s="2279"/>
      <c r="O3" s="2279"/>
      <c r="P3" s="2279"/>
      <c r="Q3" s="2279"/>
      <c r="R3" s="2279"/>
      <c r="S3" s="2274"/>
      <c r="T3" s="2274"/>
      <c r="U3" s="2274"/>
      <c r="V3" s="2274"/>
      <c r="W3" s="2274"/>
      <c r="X3" s="2274"/>
      <c r="Y3" s="2274"/>
      <c r="Z3" s="2274"/>
      <c r="AA3" s="2274"/>
      <c r="AB3" s="2274"/>
      <c r="AC3" s="2274"/>
      <c r="AD3" s="2274"/>
      <c r="AE3" s="2274"/>
      <c r="AF3" s="2274"/>
      <c r="AG3" s="2274"/>
      <c r="AH3" s="2274"/>
      <c r="AI3" s="2274"/>
      <c r="AJ3" s="2274"/>
    </row>
    <row r="4" spans="1:134" s="2276" customFormat="1" ht="24" customHeight="1">
      <c r="B4" s="2280" t="s">
        <v>386</v>
      </c>
      <c r="C4" s="3655"/>
      <c r="D4" s="3655"/>
      <c r="E4" s="3655"/>
      <c r="F4" s="3655"/>
      <c r="G4" s="3655"/>
      <c r="H4" s="3655"/>
      <c r="I4" s="3655"/>
      <c r="J4" s="3655"/>
      <c r="K4" s="3655"/>
      <c r="L4" s="3655"/>
      <c r="M4" s="3655"/>
      <c r="N4" s="3655"/>
      <c r="O4" s="3655"/>
      <c r="P4" s="3655"/>
      <c r="Q4" s="3655"/>
      <c r="R4" s="3655"/>
      <c r="S4" s="2274"/>
      <c r="T4" s="2274"/>
      <c r="U4" s="2274"/>
      <c r="V4" s="2274"/>
      <c r="W4" s="2274"/>
      <c r="X4" s="2274"/>
      <c r="Y4" s="2274"/>
      <c r="Z4" s="2274"/>
      <c r="AA4" s="2274"/>
      <c r="AB4" s="2274"/>
      <c r="AC4" s="2274"/>
      <c r="AD4" s="2274"/>
      <c r="AE4" s="2274"/>
      <c r="AF4" s="2274"/>
      <c r="AG4" s="2274"/>
      <c r="AH4" s="2274"/>
      <c r="AI4" s="2274"/>
      <c r="AJ4" s="2274"/>
    </row>
    <row r="5" spans="1:134" ht="23.25" customHeight="1">
      <c r="A5" s="391"/>
      <c r="B5" s="3558"/>
      <c r="C5" s="3558"/>
      <c r="D5" s="3558"/>
      <c r="E5" s="3558"/>
      <c r="F5" s="3558"/>
      <c r="G5" s="3558"/>
      <c r="H5" s="3558"/>
      <c r="I5" s="3558"/>
      <c r="J5" s="3558"/>
      <c r="K5" s="3558"/>
      <c r="L5" s="3558"/>
      <c r="M5" s="3558"/>
      <c r="N5" s="3558"/>
      <c r="O5" s="3558"/>
      <c r="P5" s="3558"/>
      <c r="Q5" s="2274"/>
    </row>
    <row r="6" spans="1:134" ht="28.5" customHeight="1">
      <c r="A6" s="3558"/>
      <c r="B6" s="4775" t="s">
        <v>61</v>
      </c>
      <c r="C6" s="4775"/>
      <c r="D6" s="4775"/>
      <c r="E6" s="4775"/>
      <c r="F6" s="4775"/>
      <c r="G6" s="2274"/>
      <c r="H6" s="2274"/>
      <c r="I6" s="2274"/>
      <c r="J6" s="2274"/>
      <c r="K6" s="2274"/>
      <c r="L6" s="2274"/>
      <c r="M6" s="2274"/>
    </row>
    <row r="7" spans="1:134" ht="20.25" customHeight="1">
      <c r="A7" s="3558"/>
      <c r="B7" s="4756" t="s">
        <v>8</v>
      </c>
      <c r="C7" s="4756"/>
      <c r="D7" s="4756"/>
      <c r="E7" s="4756"/>
      <c r="F7" s="4756"/>
      <c r="G7" s="2274"/>
      <c r="H7" s="2274"/>
      <c r="I7" s="2274"/>
      <c r="J7" s="2274"/>
      <c r="K7" s="2274"/>
      <c r="L7" s="2274"/>
      <c r="M7" s="2274"/>
    </row>
    <row r="8" spans="1:134" s="3573" customFormat="1" ht="36.75" customHeight="1">
      <c r="A8" s="3558"/>
      <c r="B8" s="4756" t="s">
        <v>749</v>
      </c>
      <c r="C8" s="4756"/>
      <c r="D8" s="4756"/>
      <c r="E8" s="4756"/>
      <c r="F8" s="4756"/>
      <c r="G8" s="2274"/>
      <c r="H8" s="2274"/>
      <c r="I8" s="2274"/>
      <c r="J8" s="2274"/>
      <c r="K8" s="2274"/>
      <c r="L8" s="2274"/>
      <c r="M8" s="3656"/>
      <c r="N8" s="3656"/>
      <c r="O8" s="3656"/>
      <c r="P8" s="3656"/>
      <c r="Q8" s="3656"/>
      <c r="R8" s="3656"/>
      <c r="S8" s="3558"/>
      <c r="T8" s="3558"/>
      <c r="U8" s="3656"/>
      <c r="V8" s="3656"/>
      <c r="W8" s="3656"/>
      <c r="X8" s="3656"/>
      <c r="Y8" s="3656"/>
      <c r="Z8" s="3656"/>
      <c r="AA8" s="3656"/>
      <c r="AB8" s="3656"/>
      <c r="AC8" s="3656"/>
      <c r="AD8" s="3656"/>
      <c r="AE8" s="3656"/>
      <c r="AF8" s="3656"/>
      <c r="AG8" s="3656"/>
      <c r="AH8" s="3656"/>
      <c r="AI8" s="3656"/>
      <c r="AJ8" s="3656"/>
      <c r="AK8" s="3656"/>
      <c r="AL8" s="3656"/>
      <c r="AM8" s="3656"/>
      <c r="AN8" s="3656"/>
      <c r="AO8" s="3656"/>
      <c r="AP8" s="3656"/>
      <c r="AQ8" s="3656"/>
      <c r="AR8" s="3656"/>
      <c r="AS8" s="3656"/>
      <c r="AT8" s="3656"/>
      <c r="AU8" s="3656"/>
      <c r="AV8" s="3656"/>
      <c r="AW8" s="3656"/>
      <c r="AX8" s="3656"/>
      <c r="AY8" s="3656"/>
      <c r="AZ8" s="3656"/>
      <c r="BA8" s="3656"/>
      <c r="BB8" s="3656"/>
      <c r="BC8" s="3656"/>
      <c r="BD8" s="3656"/>
      <c r="BE8" s="3656"/>
      <c r="BF8" s="3656"/>
      <c r="BG8" s="3656"/>
      <c r="BH8" s="3656"/>
      <c r="BI8" s="3656"/>
      <c r="BJ8" s="3656"/>
      <c r="BK8" s="3656"/>
      <c r="BL8" s="3656"/>
      <c r="BM8" s="3656"/>
      <c r="BN8" s="3656"/>
      <c r="BO8" s="3656"/>
      <c r="BP8" s="3656"/>
      <c r="BQ8" s="3656"/>
      <c r="BR8" s="3656"/>
      <c r="BS8" s="3656"/>
      <c r="BT8" s="3656"/>
      <c r="BU8" s="3656"/>
      <c r="BV8" s="3656"/>
      <c r="BW8" s="3656"/>
      <c r="BX8" s="3656"/>
      <c r="BY8" s="3656"/>
      <c r="BZ8" s="3656"/>
      <c r="CA8" s="3656"/>
      <c r="CB8" s="3656"/>
      <c r="CC8" s="3656"/>
      <c r="CD8" s="3656"/>
      <c r="CE8" s="3656"/>
      <c r="CF8" s="3656"/>
      <c r="CG8" s="3656"/>
      <c r="CH8" s="3656"/>
      <c r="CI8" s="3656"/>
      <c r="CJ8" s="3555"/>
      <c r="CK8" s="3555"/>
      <c r="CL8" s="3555"/>
      <c r="CM8" s="3555"/>
      <c r="CN8" s="3555"/>
      <c r="CO8" s="3555"/>
      <c r="CP8" s="3555"/>
      <c r="CQ8" s="3555"/>
      <c r="CR8" s="3555"/>
      <c r="CS8" s="3555"/>
      <c r="CT8" s="3555"/>
      <c r="CU8" s="3555"/>
      <c r="CV8" s="3555"/>
      <c r="CW8" s="3555"/>
      <c r="CX8" s="3555"/>
      <c r="CY8" s="3555"/>
      <c r="CZ8" s="3555"/>
      <c r="DA8" s="3555"/>
      <c r="DB8" s="3555"/>
      <c r="DC8" s="3555"/>
      <c r="DD8" s="3555"/>
      <c r="DE8" s="3555"/>
      <c r="DF8" s="3555"/>
      <c r="DG8" s="3555"/>
      <c r="DH8" s="3555"/>
      <c r="DI8" s="3555"/>
      <c r="DJ8" s="3555"/>
      <c r="DK8" s="3555"/>
      <c r="DL8" s="3555"/>
      <c r="DM8" s="3555"/>
      <c r="DN8" s="3555"/>
      <c r="DO8" s="3555"/>
      <c r="DP8" s="3555"/>
      <c r="DQ8" s="3555"/>
      <c r="DR8" s="3555"/>
      <c r="DS8" s="3555"/>
      <c r="DT8" s="3555"/>
    </row>
    <row r="9" spans="1:134" s="3573" customFormat="1" ht="18.75" customHeight="1">
      <c r="A9" s="3558"/>
      <c r="B9" s="4756" t="s">
        <v>748</v>
      </c>
      <c r="C9" s="4776"/>
      <c r="D9" s="4776"/>
      <c r="E9" s="4776"/>
      <c r="F9" s="4776"/>
      <c r="G9" s="2274"/>
      <c r="H9" s="2274"/>
      <c r="I9" s="2274"/>
      <c r="J9" s="2274"/>
      <c r="K9" s="2274"/>
      <c r="L9" s="2274"/>
      <c r="M9" s="3656"/>
      <c r="N9" s="3656"/>
      <c r="O9" s="3656"/>
      <c r="P9" s="3656"/>
      <c r="Q9" s="3656"/>
      <c r="R9" s="3656"/>
      <c r="S9" s="3558"/>
      <c r="T9" s="3558"/>
      <c r="U9" s="3656"/>
      <c r="V9" s="3656"/>
      <c r="W9" s="3656"/>
      <c r="X9" s="3656"/>
      <c r="Y9" s="3656"/>
      <c r="Z9" s="3656"/>
      <c r="AA9" s="3656"/>
      <c r="AB9" s="3656"/>
      <c r="AC9" s="3656"/>
      <c r="AD9" s="3656"/>
      <c r="AE9" s="3656"/>
      <c r="AF9" s="3656"/>
      <c r="AG9" s="3656"/>
      <c r="AH9" s="3656"/>
      <c r="AI9" s="3656"/>
      <c r="AJ9" s="3656"/>
      <c r="AK9" s="3656"/>
      <c r="AL9" s="3656"/>
      <c r="AM9" s="3656"/>
      <c r="AN9" s="3656"/>
      <c r="AO9" s="3656"/>
      <c r="AP9" s="3656"/>
      <c r="AQ9" s="3656"/>
      <c r="AR9" s="3656"/>
      <c r="AS9" s="3656"/>
      <c r="AT9" s="3656"/>
      <c r="AU9" s="3656"/>
      <c r="AV9" s="3656"/>
      <c r="AW9" s="3656"/>
      <c r="AX9" s="3656"/>
      <c r="AY9" s="3656"/>
      <c r="AZ9" s="3656"/>
      <c r="BA9" s="3656"/>
      <c r="BB9" s="3656"/>
      <c r="BC9" s="3656"/>
      <c r="BD9" s="3656"/>
      <c r="BE9" s="3656"/>
      <c r="BF9" s="3656"/>
      <c r="BG9" s="3656"/>
      <c r="BH9" s="3656"/>
      <c r="BI9" s="3656"/>
      <c r="BJ9" s="3656"/>
      <c r="BK9" s="3656"/>
      <c r="BL9" s="3656"/>
      <c r="BM9" s="3656"/>
      <c r="BN9" s="3656"/>
      <c r="BO9" s="3656"/>
      <c r="BP9" s="3656"/>
      <c r="BQ9" s="3656"/>
      <c r="BR9" s="3656"/>
      <c r="BS9" s="3656"/>
      <c r="BT9" s="3656"/>
      <c r="BU9" s="3656"/>
      <c r="BV9" s="3656"/>
      <c r="BW9" s="3656"/>
      <c r="BX9" s="3656"/>
      <c r="BY9" s="3656"/>
      <c r="BZ9" s="3656"/>
      <c r="CA9" s="3656"/>
      <c r="CB9" s="3656"/>
      <c r="CC9" s="3656"/>
      <c r="CD9" s="3656"/>
      <c r="CE9" s="3656"/>
      <c r="CF9" s="3656"/>
      <c r="CG9" s="3656"/>
      <c r="CH9" s="3656"/>
      <c r="CI9" s="3656"/>
      <c r="CJ9" s="3555"/>
      <c r="CK9" s="3555"/>
      <c r="CL9" s="3555"/>
      <c r="CM9" s="3555"/>
      <c r="CN9" s="3555"/>
      <c r="CO9" s="3555"/>
      <c r="CP9" s="3555"/>
      <c r="CQ9" s="3555"/>
      <c r="CR9" s="3555"/>
      <c r="CS9" s="3555"/>
      <c r="CT9" s="3555"/>
      <c r="CU9" s="3555"/>
      <c r="CV9" s="3555"/>
      <c r="CW9" s="3555"/>
      <c r="CX9" s="3555"/>
      <c r="CY9" s="3555"/>
      <c r="CZ9" s="3555"/>
      <c r="DA9" s="3555"/>
      <c r="DB9" s="3555"/>
      <c r="DC9" s="3555"/>
      <c r="DD9" s="3555"/>
      <c r="DE9" s="3555"/>
      <c r="DF9" s="3555"/>
      <c r="DG9" s="3555"/>
      <c r="DH9" s="3555"/>
      <c r="DI9" s="3555"/>
      <c r="DJ9" s="3555"/>
      <c r="DK9" s="3555"/>
      <c r="DL9" s="3555"/>
      <c r="DM9" s="3555"/>
      <c r="DN9" s="3555"/>
      <c r="DO9" s="3555"/>
      <c r="DP9" s="3555"/>
      <c r="DQ9" s="3555"/>
      <c r="DR9" s="3555"/>
      <c r="DS9" s="3555"/>
      <c r="DT9" s="3555"/>
    </row>
    <row r="10" spans="1:134" s="3573" customFormat="1" ht="30.75" customHeight="1">
      <c r="A10" s="3558"/>
      <c r="B10" s="4777" t="s">
        <v>0</v>
      </c>
      <c r="C10" s="4777"/>
      <c r="D10" s="4777"/>
      <c r="E10" s="4777"/>
      <c r="F10" s="4777"/>
      <c r="G10" s="2274"/>
      <c r="H10" s="2274"/>
      <c r="I10" s="2274"/>
      <c r="J10" s="2274"/>
      <c r="K10" s="2274"/>
      <c r="L10" s="2274"/>
      <c r="M10" s="3656"/>
      <c r="N10" s="3656"/>
      <c r="O10" s="3656"/>
      <c r="P10" s="3656"/>
      <c r="Q10" s="3656"/>
      <c r="R10" s="3656"/>
      <c r="S10" s="3558"/>
      <c r="T10" s="3558"/>
      <c r="U10" s="3656"/>
      <c r="V10" s="3656"/>
      <c r="W10" s="3656"/>
      <c r="X10" s="3656"/>
      <c r="Y10" s="3656"/>
      <c r="Z10" s="3656"/>
      <c r="AA10" s="3656"/>
      <c r="AB10" s="3656"/>
      <c r="AC10" s="3656"/>
      <c r="AD10" s="3656"/>
      <c r="AE10" s="3656"/>
      <c r="AF10" s="3656"/>
      <c r="AG10" s="3656"/>
      <c r="AH10" s="3656"/>
      <c r="AI10" s="3656"/>
      <c r="AJ10" s="3656"/>
      <c r="AK10" s="3656"/>
      <c r="AL10" s="3656"/>
      <c r="AM10" s="3656"/>
      <c r="AN10" s="3656"/>
      <c r="AO10" s="3656"/>
      <c r="AP10" s="3656"/>
      <c r="AQ10" s="3656"/>
      <c r="AR10" s="3656"/>
      <c r="AS10" s="3656"/>
      <c r="AT10" s="3656"/>
      <c r="AU10" s="3656"/>
      <c r="AV10" s="3656"/>
      <c r="AW10" s="3656"/>
      <c r="AX10" s="3656"/>
      <c r="AY10" s="3656"/>
      <c r="AZ10" s="3656"/>
      <c r="BA10" s="3656"/>
      <c r="BB10" s="3656"/>
      <c r="BC10" s="3656"/>
      <c r="BD10" s="3656"/>
      <c r="BE10" s="3656"/>
      <c r="BF10" s="3656"/>
      <c r="BG10" s="3656"/>
      <c r="BH10" s="3656"/>
      <c r="BI10" s="3656"/>
      <c r="BJ10" s="3656"/>
      <c r="BK10" s="3656"/>
      <c r="BL10" s="3656"/>
      <c r="BM10" s="3656"/>
      <c r="BN10" s="3656"/>
      <c r="BO10" s="3656"/>
      <c r="BP10" s="3656"/>
      <c r="BQ10" s="3656"/>
      <c r="BR10" s="3656"/>
      <c r="BS10" s="3656"/>
      <c r="BT10" s="3656"/>
      <c r="BU10" s="3656"/>
      <c r="BV10" s="3656"/>
      <c r="BW10" s="3656"/>
      <c r="BX10" s="3656"/>
      <c r="BY10" s="3656"/>
      <c r="BZ10" s="3656"/>
      <c r="CA10" s="3656"/>
      <c r="CB10" s="3656"/>
      <c r="CC10" s="3656"/>
      <c r="CD10" s="3656"/>
      <c r="CE10" s="3656"/>
      <c r="CF10" s="3656"/>
      <c r="CG10" s="3656"/>
      <c r="CH10" s="3656"/>
      <c r="CI10" s="3656"/>
      <c r="CJ10" s="3555"/>
      <c r="CK10" s="3555"/>
      <c r="CL10" s="3555"/>
      <c r="CM10" s="3555"/>
      <c r="CN10" s="3555"/>
      <c r="CO10" s="3555"/>
      <c r="CP10" s="3555"/>
      <c r="CQ10" s="3555"/>
      <c r="CR10" s="3555"/>
      <c r="CS10" s="3555"/>
      <c r="CT10" s="3555"/>
      <c r="CU10" s="3555"/>
      <c r="CV10" s="3555"/>
      <c r="CW10" s="3555"/>
      <c r="CX10" s="3555"/>
      <c r="CY10" s="3555"/>
      <c r="CZ10" s="3555"/>
      <c r="DA10" s="3555"/>
      <c r="DB10" s="3555"/>
      <c r="DC10" s="3555"/>
      <c r="DD10" s="3555"/>
      <c r="DE10" s="3555"/>
      <c r="DF10" s="3555"/>
      <c r="DG10" s="3555"/>
      <c r="DH10" s="3555"/>
      <c r="DI10" s="3555"/>
      <c r="DJ10" s="3555"/>
      <c r="DK10" s="3555"/>
      <c r="DL10" s="3555"/>
      <c r="DM10" s="3555"/>
      <c r="DN10" s="3555"/>
      <c r="DO10" s="3555"/>
      <c r="DP10" s="3555"/>
      <c r="DQ10" s="3555"/>
      <c r="DR10" s="3555"/>
      <c r="DS10" s="3555"/>
      <c r="DT10" s="3555"/>
    </row>
    <row r="11" spans="1:134" s="3573" customFormat="1" ht="39" customHeight="1">
      <c r="A11" s="3558"/>
      <c r="B11" s="4756" t="s">
        <v>757</v>
      </c>
      <c r="C11" s="4756"/>
      <c r="D11" s="4756"/>
      <c r="E11" s="4756"/>
      <c r="F11" s="4756"/>
      <c r="G11" s="2274"/>
      <c r="H11" s="2274"/>
      <c r="I11" s="2274"/>
      <c r="J11" s="2274"/>
      <c r="K11" s="2274"/>
      <c r="L11" s="2274"/>
      <c r="M11" s="2274"/>
      <c r="N11" s="3656"/>
      <c r="O11" s="3656"/>
      <c r="P11" s="3656"/>
      <c r="Q11" s="3656"/>
      <c r="R11" s="2274"/>
      <c r="S11" s="2274"/>
      <c r="T11" s="2274"/>
      <c r="U11" s="2274"/>
      <c r="V11" s="2274"/>
      <c r="W11" s="2274"/>
      <c r="X11" s="2274"/>
      <c r="Y11" s="2274"/>
      <c r="Z11" s="2274"/>
      <c r="AA11" s="2274"/>
      <c r="AB11" s="2274"/>
      <c r="AC11" s="2274"/>
      <c r="AD11" s="2274"/>
      <c r="AE11" s="2274"/>
      <c r="AF11" s="2274"/>
      <c r="AG11" s="2274"/>
      <c r="AH11" s="2274"/>
      <c r="AI11" s="2274"/>
      <c r="AJ11" s="2274"/>
      <c r="AK11" s="3656"/>
      <c r="AL11" s="3656"/>
      <c r="AM11" s="3656"/>
      <c r="AN11" s="3656"/>
      <c r="AO11" s="3656"/>
      <c r="AP11" s="3656"/>
      <c r="AQ11" s="3656"/>
      <c r="AR11" s="3656"/>
      <c r="AS11" s="3656"/>
      <c r="AT11" s="3656"/>
      <c r="AU11" s="3656"/>
      <c r="AV11" s="3656"/>
      <c r="AW11" s="3656"/>
      <c r="AX11" s="3656"/>
      <c r="AY11" s="3656"/>
      <c r="AZ11" s="3656"/>
      <c r="BA11" s="3656"/>
      <c r="BB11" s="3656"/>
      <c r="BC11" s="3656"/>
      <c r="BD11" s="3656"/>
      <c r="BE11" s="3656"/>
      <c r="BF11" s="3656"/>
      <c r="BG11" s="3656"/>
      <c r="BH11" s="3656"/>
      <c r="BI11" s="3656"/>
      <c r="BJ11" s="3656"/>
      <c r="BK11" s="3656"/>
      <c r="BL11" s="3656"/>
      <c r="BM11" s="3656"/>
      <c r="BN11" s="3656"/>
      <c r="BO11" s="3656"/>
      <c r="BP11" s="3656"/>
      <c r="BQ11" s="3656"/>
      <c r="BR11" s="3656"/>
      <c r="BS11" s="3656"/>
      <c r="BT11" s="3656"/>
      <c r="BU11" s="3656"/>
      <c r="BV11" s="3656"/>
      <c r="BW11" s="3656"/>
      <c r="BX11" s="3656"/>
      <c r="BY11" s="3656"/>
      <c r="BZ11" s="3656"/>
      <c r="CA11" s="3656"/>
      <c r="CB11" s="3656"/>
      <c r="CC11" s="3656"/>
      <c r="CD11" s="3656"/>
      <c r="CE11" s="3656"/>
      <c r="CF11" s="3656"/>
      <c r="CG11" s="3656"/>
      <c r="CH11" s="3656"/>
      <c r="CI11" s="3555"/>
      <c r="CJ11" s="3555"/>
      <c r="CK11" s="3555"/>
      <c r="CL11" s="3555"/>
      <c r="CM11" s="3555"/>
      <c r="CN11" s="3555"/>
      <c r="CO11" s="3555"/>
      <c r="CP11" s="3555"/>
      <c r="CQ11" s="3555"/>
      <c r="CR11" s="3555"/>
      <c r="CS11" s="3555"/>
      <c r="CT11" s="3555"/>
      <c r="CU11" s="3555"/>
      <c r="CV11" s="3555"/>
      <c r="CW11" s="3555"/>
      <c r="CX11" s="3555"/>
      <c r="CY11" s="3555"/>
      <c r="CZ11" s="3555"/>
      <c r="DA11" s="3555"/>
      <c r="DB11" s="3555"/>
      <c r="DC11" s="3555"/>
      <c r="DD11" s="3555"/>
      <c r="DE11" s="3555"/>
      <c r="DF11" s="3555"/>
      <c r="DG11" s="3555"/>
      <c r="DH11" s="3555"/>
      <c r="DI11" s="3555"/>
      <c r="DJ11" s="3555"/>
      <c r="DK11" s="3555"/>
      <c r="DL11" s="3555"/>
      <c r="DM11" s="3555"/>
      <c r="DN11" s="3555"/>
      <c r="DO11" s="3555"/>
      <c r="DP11" s="3555"/>
      <c r="DQ11" s="3555"/>
      <c r="DR11" s="3555"/>
      <c r="DS11" s="3555"/>
    </row>
    <row r="12" spans="1:134" s="2274" customFormat="1" ht="28.5" customHeight="1">
      <c r="A12" s="3558"/>
      <c r="B12" s="4756"/>
      <c r="C12" s="4756"/>
      <c r="D12" s="4756"/>
      <c r="E12" s="4756"/>
      <c r="F12" s="4756"/>
      <c r="N12" s="3656"/>
      <c r="O12" s="3656"/>
      <c r="P12" s="3656"/>
      <c r="Q12" s="3656"/>
      <c r="AK12" s="3656"/>
      <c r="AL12" s="3656"/>
      <c r="AM12" s="3656"/>
      <c r="AN12" s="3656"/>
      <c r="AO12" s="3656"/>
      <c r="AP12" s="3656"/>
      <c r="AQ12" s="3656"/>
      <c r="AR12" s="3656"/>
      <c r="AS12" s="3656"/>
      <c r="AT12" s="3656"/>
      <c r="AU12" s="3656"/>
      <c r="AV12" s="3656"/>
      <c r="AW12" s="3656"/>
      <c r="AX12" s="3656"/>
      <c r="AY12" s="3656"/>
      <c r="AZ12" s="3656"/>
      <c r="BA12" s="3656"/>
      <c r="BB12" s="3656"/>
      <c r="BC12" s="3656"/>
      <c r="BD12" s="3656"/>
      <c r="BE12" s="3656"/>
      <c r="BF12" s="3656"/>
      <c r="BG12" s="3656"/>
      <c r="BH12" s="3656"/>
      <c r="BI12" s="3656"/>
      <c r="BJ12" s="3656"/>
      <c r="BK12" s="3656"/>
      <c r="BL12" s="3656"/>
      <c r="BM12" s="3656"/>
      <c r="BN12" s="3656"/>
      <c r="BO12" s="3656"/>
      <c r="BP12" s="3656"/>
      <c r="BQ12" s="3656"/>
      <c r="BR12" s="3656"/>
      <c r="BS12" s="3656"/>
      <c r="BT12" s="3656"/>
      <c r="BU12" s="3656"/>
      <c r="BV12" s="3656"/>
      <c r="BW12" s="3656"/>
      <c r="BX12" s="3656"/>
      <c r="BY12" s="3656"/>
      <c r="BZ12" s="3656"/>
      <c r="CA12" s="3656"/>
      <c r="CB12" s="3656"/>
      <c r="CC12" s="3656"/>
      <c r="CD12" s="3656"/>
      <c r="CE12" s="3656"/>
      <c r="CF12" s="3656"/>
      <c r="CG12" s="3656"/>
      <c r="CH12" s="3656"/>
      <c r="CI12" s="3656"/>
      <c r="CJ12" s="3656"/>
      <c r="CK12" s="3656"/>
      <c r="CL12" s="3656"/>
      <c r="CM12" s="3656"/>
      <c r="CN12" s="3656"/>
      <c r="CO12" s="3656"/>
      <c r="CP12" s="3656"/>
      <c r="CQ12" s="3656"/>
      <c r="CR12" s="3656"/>
      <c r="CS12" s="3656"/>
      <c r="CT12" s="3656"/>
      <c r="CU12" s="3656"/>
      <c r="CV12" s="3656"/>
      <c r="CW12" s="3656"/>
      <c r="CX12" s="3656"/>
      <c r="CY12" s="3656"/>
      <c r="CZ12" s="3656"/>
      <c r="DA12" s="3656"/>
      <c r="DB12" s="3656"/>
      <c r="DC12" s="3656"/>
      <c r="DD12" s="3656"/>
    </row>
    <row r="13" spans="1:134">
      <c r="A13" s="3558"/>
      <c r="DE13" s="2274"/>
      <c r="DF13" s="2274"/>
      <c r="DG13" s="2274"/>
      <c r="DH13" s="2274"/>
      <c r="DI13" s="2274"/>
      <c r="DJ13" s="2274"/>
      <c r="DK13" s="2274"/>
      <c r="DL13" s="2274"/>
      <c r="DM13" s="2274"/>
      <c r="DN13" s="2274"/>
      <c r="DO13" s="2274"/>
      <c r="DP13" s="2274"/>
      <c r="DQ13" s="2274"/>
      <c r="DR13" s="2274"/>
      <c r="DS13" s="2274"/>
      <c r="DT13" s="2274"/>
      <c r="DU13" s="2274"/>
      <c r="DV13" s="2274"/>
      <c r="DW13" s="2274"/>
      <c r="DX13" s="2274"/>
      <c r="DY13" s="2274"/>
      <c r="DZ13" s="2274"/>
      <c r="EA13" s="2274"/>
      <c r="EB13" s="2274"/>
      <c r="EC13" s="2274"/>
      <c r="ED13" s="2274"/>
    </row>
    <row r="14" spans="1:134" s="3555" customFormat="1" ht="12.75" customHeight="1" thickBot="1">
      <c r="A14" s="3558"/>
      <c r="B14" s="3656"/>
      <c r="C14" s="3656"/>
      <c r="D14" s="3656"/>
      <c r="E14" s="3656"/>
      <c r="F14" s="3656"/>
      <c r="G14" s="3656"/>
      <c r="H14" s="3656"/>
      <c r="I14" s="3656"/>
      <c r="J14" s="3656"/>
      <c r="K14" s="3656"/>
      <c r="L14" s="3656"/>
      <c r="M14" s="3656"/>
      <c r="N14" s="3656"/>
      <c r="O14" s="3656"/>
      <c r="P14" s="3656"/>
      <c r="Q14" s="3656"/>
      <c r="R14" s="2274"/>
      <c r="S14" s="2274"/>
      <c r="T14" s="2274"/>
      <c r="U14" s="2274"/>
      <c r="V14" s="2274"/>
      <c r="W14" s="2274"/>
      <c r="X14" s="2274"/>
      <c r="Y14" s="2274"/>
      <c r="Z14" s="2274"/>
      <c r="AA14" s="2274"/>
      <c r="AB14" s="2274"/>
      <c r="AC14" s="2274"/>
      <c r="AD14" s="2274"/>
      <c r="AE14" s="2274"/>
      <c r="AF14" s="2274"/>
      <c r="AG14" s="2274"/>
      <c r="AH14" s="2274"/>
      <c r="AI14" s="2274"/>
      <c r="AJ14" s="2274"/>
      <c r="AK14" s="3656"/>
      <c r="AL14" s="3656"/>
      <c r="AM14" s="3656"/>
      <c r="AN14" s="3656"/>
      <c r="AO14" s="3656"/>
      <c r="AP14" s="3656"/>
      <c r="AQ14" s="3656"/>
      <c r="AR14" s="3656"/>
      <c r="AS14" s="3656"/>
      <c r="AT14" s="3656"/>
      <c r="AU14" s="3656"/>
      <c r="AV14" s="3656"/>
      <c r="AW14" s="3656"/>
      <c r="AX14" s="3656"/>
      <c r="AY14" s="3656"/>
      <c r="AZ14" s="3656"/>
      <c r="BA14" s="3656"/>
      <c r="BB14" s="3656"/>
      <c r="BC14" s="3656"/>
      <c r="BD14" s="3656"/>
      <c r="BE14" s="3656"/>
      <c r="BF14" s="3656"/>
      <c r="BG14" s="3656"/>
      <c r="BH14" s="3656"/>
      <c r="BI14" s="3656"/>
      <c r="BJ14" s="3656"/>
      <c r="BK14" s="3656"/>
      <c r="BL14" s="3656"/>
      <c r="BM14" s="3656"/>
      <c r="BN14" s="3656"/>
      <c r="BO14" s="3656"/>
      <c r="BP14" s="3656"/>
      <c r="BQ14" s="3656"/>
      <c r="BR14" s="3656"/>
      <c r="BS14" s="3656"/>
      <c r="BT14" s="3656"/>
      <c r="BU14" s="3656"/>
      <c r="BV14" s="3656"/>
      <c r="BW14" s="3656"/>
      <c r="BX14" s="3656"/>
      <c r="BY14" s="3656"/>
      <c r="BZ14" s="3656"/>
      <c r="CA14" s="3656"/>
      <c r="CB14" s="3656"/>
      <c r="CC14" s="3656"/>
      <c r="CD14" s="3656"/>
      <c r="CE14" s="3656"/>
      <c r="CF14" s="3656"/>
      <c r="CG14" s="3656"/>
      <c r="CH14" s="3656"/>
      <c r="CI14" s="3656"/>
      <c r="CJ14" s="3656"/>
      <c r="CK14" s="3656"/>
      <c r="CL14" s="3656"/>
      <c r="CM14" s="3656"/>
      <c r="CN14" s="3656"/>
      <c r="CO14" s="3656"/>
      <c r="CP14" s="3656"/>
      <c r="CQ14" s="3656"/>
      <c r="CR14" s="3656"/>
      <c r="CS14" s="3656"/>
      <c r="CT14" s="3656"/>
      <c r="CU14" s="3656"/>
      <c r="CV14" s="3656"/>
      <c r="CW14" s="3656"/>
      <c r="CX14" s="3656"/>
      <c r="CY14" s="3656"/>
      <c r="CZ14" s="3656"/>
      <c r="DA14" s="3656"/>
      <c r="DB14" s="3656"/>
      <c r="DC14" s="3656"/>
      <c r="DD14" s="3656"/>
      <c r="DE14" s="2274"/>
      <c r="DF14" s="2274"/>
      <c r="DG14" s="2274"/>
      <c r="DH14" s="2274"/>
      <c r="DI14" s="2274"/>
      <c r="DJ14" s="2274"/>
      <c r="DK14" s="2274"/>
      <c r="DL14" s="2274"/>
      <c r="DM14" s="2274"/>
      <c r="DN14" s="2274"/>
      <c r="DO14" s="2274"/>
      <c r="DP14" s="2274"/>
      <c r="DQ14" s="2274"/>
      <c r="DR14" s="2274"/>
      <c r="DS14" s="2274"/>
      <c r="DT14" s="2274"/>
      <c r="DU14" s="2274"/>
      <c r="DV14" s="2274"/>
      <c r="DW14" s="2274"/>
      <c r="DX14" s="2274"/>
      <c r="DY14" s="2274"/>
      <c r="DZ14" s="2274"/>
      <c r="EA14" s="2274"/>
      <c r="EB14" s="2274"/>
      <c r="EC14" s="2274"/>
      <c r="ED14" s="2274"/>
    </row>
    <row r="15" spans="1:134" s="3555" customFormat="1" ht="12.75" customHeight="1" thickBot="1">
      <c r="A15" s="3558"/>
      <c r="B15" s="3545" t="s">
        <v>553</v>
      </c>
      <c r="C15" s="3545"/>
      <c r="D15" s="3657"/>
      <c r="E15" s="3657"/>
      <c r="F15" s="3657"/>
      <c r="G15" s="3657"/>
      <c r="H15" s="3657"/>
      <c r="I15" s="3657"/>
      <c r="J15" s="3657"/>
      <c r="K15" s="3658"/>
      <c r="L15" s="3658"/>
      <c r="M15" s="3658"/>
      <c r="N15" s="3658"/>
      <c r="O15" s="3658"/>
      <c r="P15" s="3658"/>
      <c r="Q15" s="3658"/>
      <c r="R15" s="3658"/>
      <c r="S15" s="2274"/>
      <c r="T15" s="2274"/>
      <c r="U15" s="2274"/>
      <c r="V15" s="2274"/>
      <c r="W15" s="2274"/>
      <c r="X15" s="2274"/>
      <c r="Y15" s="2274"/>
      <c r="Z15" s="2274"/>
      <c r="AA15" s="2274"/>
      <c r="AB15" s="2274"/>
      <c r="AC15" s="2274"/>
      <c r="AD15" s="2274"/>
      <c r="AE15" s="2274"/>
      <c r="AF15" s="2274"/>
      <c r="AG15" s="2274"/>
      <c r="AH15" s="2274"/>
      <c r="AI15" s="2274"/>
      <c r="AJ15" s="2274"/>
      <c r="AK15" s="3656"/>
      <c r="AL15" s="3656"/>
      <c r="AM15" s="3656"/>
      <c r="AN15" s="3656"/>
      <c r="AO15" s="3656"/>
      <c r="AP15" s="3656"/>
      <c r="AQ15" s="3656"/>
      <c r="AR15" s="3656"/>
      <c r="AS15" s="3656"/>
      <c r="AT15" s="3656"/>
      <c r="AU15" s="3656"/>
      <c r="AV15" s="3656"/>
      <c r="AW15" s="3656"/>
      <c r="AX15" s="3656"/>
      <c r="AY15" s="3656"/>
      <c r="AZ15" s="3656"/>
      <c r="BA15" s="3656"/>
      <c r="BB15" s="3656"/>
      <c r="BC15" s="3656"/>
      <c r="BD15" s="3656"/>
      <c r="BE15" s="3656"/>
      <c r="BF15" s="3656"/>
      <c r="BG15" s="3656"/>
      <c r="BH15" s="3656"/>
      <c r="BI15" s="3656"/>
      <c r="BJ15" s="3656"/>
      <c r="BK15" s="3656"/>
      <c r="BL15" s="3656"/>
      <c r="BM15" s="3656"/>
      <c r="BN15" s="3656"/>
      <c r="BO15" s="3656"/>
      <c r="BP15" s="3656"/>
      <c r="BQ15" s="3656"/>
      <c r="BR15" s="3656"/>
      <c r="BS15" s="3656"/>
      <c r="BT15" s="3656"/>
      <c r="BU15" s="3656"/>
      <c r="BV15" s="3656"/>
      <c r="BW15" s="3656"/>
      <c r="BX15" s="3656"/>
      <c r="BY15" s="3656"/>
      <c r="BZ15" s="3656"/>
      <c r="CA15" s="3656"/>
      <c r="CB15" s="3656"/>
      <c r="CC15" s="3656"/>
      <c r="CD15" s="3656"/>
      <c r="CE15" s="3656"/>
      <c r="CF15" s="3656"/>
      <c r="CG15" s="3656"/>
      <c r="CH15" s="3656"/>
      <c r="CI15" s="3656"/>
      <c r="CJ15" s="3656"/>
      <c r="CK15" s="3656"/>
      <c r="CL15" s="3656"/>
      <c r="CM15" s="3656"/>
      <c r="CN15" s="3656"/>
      <c r="CO15" s="3656"/>
      <c r="CP15" s="3656"/>
      <c r="CQ15" s="3656"/>
      <c r="CR15" s="3656"/>
      <c r="CS15" s="3656"/>
      <c r="CT15" s="3656"/>
      <c r="CU15" s="3656"/>
      <c r="CV15" s="3656"/>
      <c r="CW15" s="3656"/>
      <c r="CX15" s="3656"/>
      <c r="CY15" s="3656"/>
      <c r="CZ15" s="3656"/>
      <c r="DA15" s="3656"/>
      <c r="DB15" s="3656"/>
      <c r="DC15" s="3656"/>
      <c r="DD15" s="3656"/>
      <c r="DE15" s="2274"/>
      <c r="DF15" s="2274"/>
      <c r="DG15" s="2274"/>
      <c r="DH15" s="2274"/>
      <c r="DI15" s="2274"/>
      <c r="DJ15" s="2274"/>
      <c r="DK15" s="2274"/>
      <c r="DL15" s="2274"/>
      <c r="DM15" s="2274"/>
      <c r="DN15" s="2274"/>
      <c r="DO15" s="2274"/>
      <c r="DP15" s="2274"/>
      <c r="DQ15" s="2274"/>
      <c r="DR15" s="2274"/>
      <c r="DS15" s="2274"/>
      <c r="DT15" s="2274"/>
      <c r="DU15" s="2274"/>
      <c r="DV15" s="2274"/>
      <c r="DW15" s="2274"/>
      <c r="DX15" s="2274"/>
      <c r="DY15" s="2274"/>
      <c r="DZ15" s="2274"/>
      <c r="EA15" s="2274"/>
      <c r="EB15" s="2274"/>
      <c r="EC15" s="2274"/>
      <c r="ED15" s="2274"/>
    </row>
    <row r="16" spans="1:134">
      <c r="B16" s="4778"/>
      <c r="C16" s="4779"/>
      <c r="D16" s="4763" t="s">
        <v>36</v>
      </c>
      <c r="E16" s="4764"/>
      <c r="F16" s="4764"/>
      <c r="G16" s="4764"/>
      <c r="H16" s="4764"/>
      <c r="I16" s="4765" t="s">
        <v>37</v>
      </c>
      <c r="J16" s="4766"/>
      <c r="K16" s="4766"/>
      <c r="L16" s="4766"/>
      <c r="M16" s="4766"/>
      <c r="N16" s="4767" t="s">
        <v>75</v>
      </c>
      <c r="O16" s="4767"/>
      <c r="P16" s="4767"/>
      <c r="Q16" s="4767"/>
      <c r="R16" s="4768"/>
    </row>
    <row r="17" spans="2:18">
      <c r="B17" s="4780"/>
      <c r="C17" s="4781"/>
      <c r="D17" s="4769" t="s">
        <v>706</v>
      </c>
      <c r="E17" s="4770"/>
      <c r="F17" s="4770"/>
      <c r="G17" s="4770"/>
      <c r="H17" s="4770"/>
      <c r="I17" s="4770"/>
      <c r="J17" s="4770"/>
      <c r="K17" s="4770"/>
      <c r="L17" s="4770"/>
      <c r="M17" s="4770"/>
      <c r="N17" s="4770"/>
      <c r="O17" s="4770"/>
      <c r="P17" s="4770"/>
      <c r="Q17" s="4770"/>
      <c r="R17" s="4771"/>
    </row>
    <row r="18" spans="2:18">
      <c r="B18" s="4780"/>
      <c r="C18" s="4781"/>
      <c r="D18" s="4769" t="s">
        <v>56</v>
      </c>
      <c r="E18" s="4770"/>
      <c r="F18" s="4770"/>
      <c r="G18" s="4770"/>
      <c r="H18" s="4770"/>
      <c r="I18" s="4770"/>
      <c r="J18" s="4770"/>
      <c r="K18" s="4770"/>
      <c r="L18" s="4772" t="s">
        <v>57</v>
      </c>
      <c r="M18" s="4773"/>
      <c r="N18" s="4773"/>
      <c r="O18" s="4773"/>
      <c r="P18" s="4773"/>
      <c r="Q18" s="4773"/>
      <c r="R18" s="4774"/>
    </row>
    <row r="19" spans="2:18" ht="13.5" thickBot="1">
      <c r="B19" s="4782"/>
      <c r="C19" s="4783"/>
      <c r="D19" s="3659">
        <f t="array" ref="D19:H19">PRCP</f>
        <v>2008</v>
      </c>
      <c r="E19" s="3660">
        <v>2009</v>
      </c>
      <c r="F19" s="3660">
        <v>2010</v>
      </c>
      <c r="G19" s="3660">
        <v>2011</v>
      </c>
      <c r="H19" s="3660">
        <v>2012</v>
      </c>
      <c r="I19" s="3661">
        <f>CRCP_y1</f>
        <v>2013</v>
      </c>
      <c r="J19" s="3661">
        <f>CRCP_y2</f>
        <v>2014</v>
      </c>
      <c r="K19" s="3661">
        <f>CRCP_y3</f>
        <v>2015</v>
      </c>
      <c r="L19" s="3661">
        <f>CRCP_y4</f>
        <v>2016</v>
      </c>
      <c r="M19" s="3661">
        <f>CRCP_y5</f>
        <v>2017</v>
      </c>
      <c r="N19" s="3660" t="str">
        <f t="array" ref="N19:R19">FRCP</f>
        <v>2018</v>
      </c>
      <c r="O19" s="3660">
        <v>2019</v>
      </c>
      <c r="P19" s="3660">
        <v>2020</v>
      </c>
      <c r="Q19" s="3660">
        <v>2021</v>
      </c>
      <c r="R19" s="3662">
        <v>2022</v>
      </c>
    </row>
    <row r="20" spans="2:18" ht="13.5" thickBot="1">
      <c r="B20" s="3663"/>
      <c r="C20" s="3664"/>
      <c r="D20" s="3665"/>
      <c r="E20" s="3665"/>
      <c r="F20" s="3665"/>
      <c r="G20" s="3665"/>
      <c r="H20" s="3665"/>
      <c r="I20" s="3666"/>
      <c r="J20" s="3666"/>
      <c r="K20" s="3666"/>
      <c r="L20" s="3666"/>
      <c r="M20" s="3666"/>
      <c r="N20" s="3665"/>
      <c r="O20" s="3665"/>
      <c r="P20" s="3665"/>
      <c r="Q20" s="3665"/>
      <c r="R20" s="3665"/>
    </row>
    <row r="21" spans="2:18" ht="15.75" thickBot="1">
      <c r="B21" s="3207" t="s">
        <v>554</v>
      </c>
      <c r="C21" s="3667"/>
      <c r="D21" s="3668"/>
      <c r="E21" s="3668"/>
      <c r="F21" s="3668"/>
      <c r="G21" s="3668"/>
      <c r="H21" s="3668"/>
      <c r="I21" s="3669"/>
      <c r="J21" s="3669"/>
      <c r="K21" s="3669"/>
      <c r="L21" s="3669"/>
      <c r="M21" s="3669"/>
      <c r="N21" s="3668"/>
      <c r="O21" s="3668"/>
      <c r="P21" s="3668"/>
      <c r="Q21" s="3668"/>
      <c r="R21" s="3670"/>
    </row>
    <row r="22" spans="2:18" ht="15.75" thickBot="1">
      <c r="B22" s="3671" t="s">
        <v>1627</v>
      </c>
      <c r="C22" s="3672"/>
      <c r="D22" s="3672"/>
      <c r="E22" s="3672"/>
      <c r="F22" s="3672"/>
      <c r="G22" s="3672"/>
      <c r="H22" s="3672"/>
      <c r="I22" s="3672"/>
      <c r="J22" s="3672"/>
      <c r="K22" s="3672"/>
      <c r="L22" s="3672"/>
      <c r="M22" s="3672"/>
      <c r="N22" s="3672"/>
      <c r="O22" s="3672"/>
      <c r="P22" s="3672"/>
      <c r="Q22" s="3672"/>
      <c r="R22" s="3673"/>
    </row>
    <row r="23" spans="2:18" ht="15.75" thickBot="1">
      <c r="B23" s="3674" t="s">
        <v>1628</v>
      </c>
      <c r="C23" s="3675"/>
      <c r="D23" s="3675"/>
      <c r="E23" s="3675"/>
      <c r="F23" s="3675"/>
      <c r="G23" s="3675"/>
      <c r="H23" s="3675"/>
      <c r="I23" s="3675"/>
      <c r="J23" s="3675"/>
      <c r="K23" s="3675"/>
      <c r="L23" s="3675"/>
      <c r="M23" s="3675"/>
      <c r="N23" s="3675"/>
      <c r="O23" s="3675"/>
      <c r="P23" s="3675"/>
      <c r="Q23" s="3675"/>
      <c r="R23" s="3676"/>
    </row>
    <row r="24" spans="2:18" ht="15.75" thickBot="1">
      <c r="B24" s="3677" t="str">
        <f>CONCATENATE("Table 27.3.1"," - ", B23)</f>
        <v>Table 27.3.1 - Tariff V YV</v>
      </c>
      <c r="C24" s="3675"/>
      <c r="D24" s="3675"/>
      <c r="E24" s="3675"/>
      <c r="F24" s="3675"/>
      <c r="G24" s="3675"/>
      <c r="H24" s="3675"/>
      <c r="I24" s="3675"/>
      <c r="J24" s="3675"/>
      <c r="K24" s="3675"/>
      <c r="L24" s="3675"/>
      <c r="M24" s="3675"/>
      <c r="N24" s="3675"/>
      <c r="O24" s="3675"/>
      <c r="P24" s="3675"/>
      <c r="Q24" s="3675"/>
      <c r="R24" s="3676"/>
    </row>
    <row r="25" spans="2:18" ht="15.75" thickBot="1">
      <c r="B25" s="3678" t="str">
        <f>CONCATENATE("Residential customers"," : ", B23)</f>
        <v>Residential customers : Tariff V YV</v>
      </c>
      <c r="C25" s="3679"/>
      <c r="D25" s="3679"/>
      <c r="E25" s="3679"/>
      <c r="F25" s="3679"/>
      <c r="G25" s="3679"/>
      <c r="H25" s="3679"/>
      <c r="I25" s="3679"/>
      <c r="J25" s="3679"/>
      <c r="K25" s="3679"/>
      <c r="L25" s="3679"/>
      <c r="M25" s="3679"/>
      <c r="N25" s="3679"/>
      <c r="O25" s="3679"/>
      <c r="P25" s="3679"/>
      <c r="Q25" s="3679"/>
      <c r="R25" s="3680"/>
    </row>
    <row r="26" spans="2:18">
      <c r="B26" s="4753" t="s">
        <v>746</v>
      </c>
      <c r="C26" s="3642" t="s">
        <v>744</v>
      </c>
      <c r="D26" s="1602">
        <f>'[19]26 - Gas extenstions - YV'!$C$31</f>
        <v>3081</v>
      </c>
      <c r="E26" s="480">
        <f>D27</f>
        <v>3616</v>
      </c>
      <c r="F26" s="480">
        <f>E27</f>
        <v>3857</v>
      </c>
      <c r="G26" s="480">
        <f>F27</f>
        <v>4070</v>
      </c>
      <c r="H26" s="480">
        <f>G27</f>
        <v>4297</v>
      </c>
      <c r="I26" s="1602">
        <v>4380</v>
      </c>
      <c r="J26" s="480">
        <f>I27</f>
        <v>4236</v>
      </c>
      <c r="K26" s="480">
        <f>J27</f>
        <v>4368</v>
      </c>
      <c r="L26" s="480">
        <f>K27</f>
        <v>4705</v>
      </c>
      <c r="M26" s="480">
        <f>L27</f>
        <v>4850</v>
      </c>
      <c r="N26" s="1602">
        <v>5019</v>
      </c>
      <c r="O26" s="480">
        <f>N27</f>
        <v>5158.418026937562</v>
      </c>
      <c r="P26" s="480">
        <f>O27</f>
        <v>5305.3741832114247</v>
      </c>
      <c r="Q26" s="480">
        <f>P27</f>
        <v>5445.3303394852874</v>
      </c>
      <c r="R26" s="480">
        <f>Q27</f>
        <v>5586.2864957591501</v>
      </c>
    </row>
    <row r="27" spans="2:18">
      <c r="B27" s="4754"/>
      <c r="C27" s="3681" t="s">
        <v>745</v>
      </c>
      <c r="D27" s="499">
        <f>'[19]26 - Gas extenstions - YV'!C32</f>
        <v>3616</v>
      </c>
      <c r="E27" s="499">
        <f>'[19]26 - Gas extenstions - YV'!D32</f>
        <v>3857</v>
      </c>
      <c r="F27" s="499">
        <f>'[19]26 - Gas extenstions - YV'!E32</f>
        <v>4070</v>
      </c>
      <c r="G27" s="499">
        <f>[20]Sheet1!BP45</f>
        <v>4297</v>
      </c>
      <c r="H27" s="499">
        <f>[20]Sheet1!BQ45</f>
        <v>4380</v>
      </c>
      <c r="I27" s="499">
        <f>[20]Sheet1!BR45</f>
        <v>4236</v>
      </c>
      <c r="J27" s="499">
        <f>[20]Sheet1!BS45</f>
        <v>4368</v>
      </c>
      <c r="K27" s="499">
        <f>[20]Sheet1!BT45</f>
        <v>4705</v>
      </c>
      <c r="L27" s="499">
        <f>[20]Sheet1!BU45</f>
        <v>4850</v>
      </c>
      <c r="M27" s="1603">
        <f>'[21]PTRM input'!F327</f>
        <v>5019.4618706636993</v>
      </c>
      <c r="N27" s="1603">
        <f>'[21]PTRM input'!G327</f>
        <v>5158.418026937562</v>
      </c>
      <c r="O27" s="1603">
        <f>'[21]PTRM input'!H327</f>
        <v>5305.3741832114247</v>
      </c>
      <c r="P27" s="1603">
        <f>'[21]PTRM input'!I327</f>
        <v>5445.3303394852874</v>
      </c>
      <c r="Q27" s="1603">
        <f>'[21]PTRM input'!J327</f>
        <v>5586.2864957591501</v>
      </c>
      <c r="R27" s="1603">
        <f>'[21]PTRM input'!K327</f>
        <v>5716.2426520330137</v>
      </c>
    </row>
    <row r="28" spans="2:18">
      <c r="B28" s="4754"/>
      <c r="C28" s="3681" t="s">
        <v>70</v>
      </c>
      <c r="D28" s="384">
        <f t="shared" ref="D28:R28" si="0">IF(ISERROR(AVERAGE(D26:D27)),0,AVERAGE(D26:D27))</f>
        <v>3348.5</v>
      </c>
      <c r="E28" s="384">
        <f t="shared" si="0"/>
        <v>3736.5</v>
      </c>
      <c r="F28" s="384">
        <f t="shared" si="0"/>
        <v>3963.5</v>
      </c>
      <c r="G28" s="384">
        <f t="shared" si="0"/>
        <v>4183.5</v>
      </c>
      <c r="H28" s="384">
        <f t="shared" si="0"/>
        <v>4338.5</v>
      </c>
      <c r="I28" s="384">
        <f t="shared" si="0"/>
        <v>4308</v>
      </c>
      <c r="J28" s="384">
        <f t="shared" si="0"/>
        <v>4302</v>
      </c>
      <c r="K28" s="384">
        <f t="shared" si="0"/>
        <v>4536.5</v>
      </c>
      <c r="L28" s="384">
        <f t="shared" si="0"/>
        <v>4777.5</v>
      </c>
      <c r="M28" s="384">
        <f t="shared" si="0"/>
        <v>4934.7309353318497</v>
      </c>
      <c r="N28" s="384">
        <f t="shared" si="0"/>
        <v>5088.7090134687805</v>
      </c>
      <c r="O28" s="384">
        <f t="shared" si="0"/>
        <v>5231.8961050744929</v>
      </c>
      <c r="P28" s="384">
        <f t="shared" si="0"/>
        <v>5375.3522613483565</v>
      </c>
      <c r="Q28" s="384">
        <f t="shared" si="0"/>
        <v>5515.8084176222183</v>
      </c>
      <c r="R28" s="384">
        <f t="shared" si="0"/>
        <v>5651.2645738960819</v>
      </c>
    </row>
    <row r="29" spans="2:18">
      <c r="B29" s="4754"/>
      <c r="C29" s="3681" t="s">
        <v>71</v>
      </c>
      <c r="D29" s="499"/>
      <c r="E29" s="494"/>
      <c r="F29" s="494"/>
      <c r="G29" s="494"/>
      <c r="H29" s="1603"/>
      <c r="I29" s="499"/>
      <c r="J29" s="494"/>
      <c r="K29" s="494"/>
      <c r="L29" s="494"/>
      <c r="M29" s="1603"/>
      <c r="N29" s="499"/>
      <c r="O29" s="494"/>
      <c r="P29" s="494"/>
      <c r="Q29" s="494"/>
      <c r="R29" s="1603"/>
    </row>
    <row r="30" spans="2:18" ht="13.5" thickBot="1">
      <c r="B30" s="4755"/>
      <c r="C30" s="3682" t="s">
        <v>60</v>
      </c>
      <c r="D30" s="1604"/>
      <c r="E30" s="1605"/>
      <c r="F30" s="1605"/>
      <c r="G30" s="1605"/>
      <c r="H30" s="1606"/>
      <c r="I30" s="1604"/>
      <c r="J30" s="1605"/>
      <c r="K30" s="1605"/>
      <c r="L30" s="1605"/>
      <c r="M30" s="1606"/>
      <c r="N30" s="1604"/>
      <c r="O30" s="1605"/>
      <c r="P30" s="1605"/>
      <c r="Q30" s="1605"/>
      <c r="R30" s="1606"/>
    </row>
    <row r="31" spans="2:18" ht="15.75" thickBot="1">
      <c r="B31" s="3677" t="str">
        <f>CONCATENATE("Commercial/industrial customers"," : ",B23)</f>
        <v>Commercial/industrial customers : Tariff V YV</v>
      </c>
      <c r="C31" s="3672"/>
      <c r="D31" s="3672"/>
      <c r="E31" s="3672"/>
      <c r="F31" s="3672"/>
      <c r="G31" s="3672"/>
      <c r="H31" s="3672"/>
      <c r="I31" s="3672"/>
      <c r="J31" s="3672"/>
      <c r="K31" s="3672"/>
      <c r="L31" s="3672"/>
      <c r="M31" s="3672"/>
      <c r="N31" s="3672"/>
      <c r="O31" s="3672"/>
      <c r="P31" s="3672"/>
      <c r="Q31" s="3672"/>
      <c r="R31" s="3673"/>
    </row>
    <row r="32" spans="2:18">
      <c r="B32" s="4753" t="s">
        <v>747</v>
      </c>
      <c r="C32" s="3642" t="s">
        <v>744</v>
      </c>
      <c r="D32" s="1602">
        <f>'[19]26 - Gas extenstions - YV'!$C$38</f>
        <v>23</v>
      </c>
      <c r="E32" s="480">
        <f>D33</f>
        <v>28</v>
      </c>
      <c r="F32" s="480">
        <f>E33</f>
        <v>33</v>
      </c>
      <c r="G32" s="480">
        <f>F33</f>
        <v>37</v>
      </c>
      <c r="H32" s="480">
        <f>G33</f>
        <v>38</v>
      </c>
      <c r="I32" s="1602">
        <v>51</v>
      </c>
      <c r="J32" s="480">
        <f>I33</f>
        <v>38</v>
      </c>
      <c r="K32" s="480">
        <f>J33</f>
        <v>44</v>
      </c>
      <c r="L32" s="480">
        <f>K33</f>
        <v>46</v>
      </c>
      <c r="M32" s="480">
        <f>L33</f>
        <v>49</v>
      </c>
      <c r="N32" s="1602">
        <v>51</v>
      </c>
      <c r="O32" s="480">
        <f>N33</f>
        <v>51.094037127702947</v>
      </c>
      <c r="P32" s="480">
        <f>O33</f>
        <v>51.212765285228677</v>
      </c>
      <c r="Q32" s="480">
        <f>P33</f>
        <v>51.712329845811503</v>
      </c>
      <c r="R32" s="480">
        <f>Q33</f>
        <v>51.783622258866423</v>
      </c>
    </row>
    <row r="33" spans="2:18">
      <c r="B33" s="4754"/>
      <c r="C33" s="3681" t="s">
        <v>745</v>
      </c>
      <c r="D33" s="499">
        <f>'[19]26 - Gas extenstions - YV'!C39</f>
        <v>28</v>
      </c>
      <c r="E33" s="499">
        <f>'[19]26 - Gas extenstions - YV'!D39</f>
        <v>33</v>
      </c>
      <c r="F33" s="499">
        <f>'[19]26 - Gas extenstions - YV'!E39</f>
        <v>37</v>
      </c>
      <c r="G33" s="499">
        <f>[20]Sheet1!BP48</f>
        <v>38</v>
      </c>
      <c r="H33" s="499">
        <f>[20]Sheet1!BQ48</f>
        <v>38</v>
      </c>
      <c r="I33" s="499">
        <f>[20]Sheet1!BR48</f>
        <v>38</v>
      </c>
      <c r="J33" s="499">
        <f>[20]Sheet1!BS48</f>
        <v>44</v>
      </c>
      <c r="K33" s="499">
        <f>[20]Sheet1!BT48</f>
        <v>46</v>
      </c>
      <c r="L33" s="499">
        <f>[20]Sheet1!BU48</f>
        <v>49</v>
      </c>
      <c r="M33" s="499">
        <f>'[21]PTRM input'!F334</f>
        <v>50.978915839033228</v>
      </c>
      <c r="N33" s="499">
        <f>'[21]PTRM input'!G334</f>
        <v>51.094037127702947</v>
      </c>
      <c r="O33" s="499">
        <f>'[21]PTRM input'!H334</f>
        <v>51.212765285228677</v>
      </c>
      <c r="P33" s="499">
        <f>'[21]PTRM input'!I334</f>
        <v>51.712329845811503</v>
      </c>
      <c r="Q33" s="499">
        <f>'[21]PTRM input'!J334</f>
        <v>51.783622258866423</v>
      </c>
      <c r="R33" s="499">
        <f>'[21]PTRM input'!K334</f>
        <v>52.244878047223636</v>
      </c>
    </row>
    <row r="34" spans="2:18">
      <c r="B34" s="4754"/>
      <c r="C34" s="3681" t="s">
        <v>70</v>
      </c>
      <c r="D34" s="384">
        <f t="shared" ref="D34:R34" si="1">IF(ISERROR(AVERAGE(D32:D33)),0,AVERAGE(D32:D33))</f>
        <v>25.5</v>
      </c>
      <c r="E34" s="384">
        <f t="shared" si="1"/>
        <v>30.5</v>
      </c>
      <c r="F34" s="384">
        <f t="shared" si="1"/>
        <v>35</v>
      </c>
      <c r="G34" s="384">
        <f t="shared" si="1"/>
        <v>37.5</v>
      </c>
      <c r="H34" s="384">
        <f t="shared" si="1"/>
        <v>38</v>
      </c>
      <c r="I34" s="384">
        <f t="shared" si="1"/>
        <v>44.5</v>
      </c>
      <c r="J34" s="384">
        <f t="shared" si="1"/>
        <v>41</v>
      </c>
      <c r="K34" s="384">
        <f t="shared" si="1"/>
        <v>45</v>
      </c>
      <c r="L34" s="384">
        <f t="shared" si="1"/>
        <v>47.5</v>
      </c>
      <c r="M34" s="384">
        <f t="shared" si="1"/>
        <v>49.98945791951661</v>
      </c>
      <c r="N34" s="384">
        <f t="shared" si="1"/>
        <v>51.047018563851474</v>
      </c>
      <c r="O34" s="384">
        <f t="shared" si="1"/>
        <v>51.153401206465816</v>
      </c>
      <c r="P34" s="384">
        <f t="shared" si="1"/>
        <v>51.46254756552009</v>
      </c>
      <c r="Q34" s="384">
        <f t="shared" si="1"/>
        <v>51.747976052338963</v>
      </c>
      <c r="R34" s="384">
        <f t="shared" si="1"/>
        <v>52.014250153045026</v>
      </c>
    </row>
    <row r="35" spans="2:18">
      <c r="B35" s="4754"/>
      <c r="C35" s="3681" t="s">
        <v>71</v>
      </c>
      <c r="D35" s="499"/>
      <c r="E35" s="494"/>
      <c r="F35" s="494"/>
      <c r="G35" s="494"/>
      <c r="H35" s="1603"/>
      <c r="I35" s="499"/>
      <c r="J35" s="494"/>
      <c r="K35" s="494"/>
      <c r="L35" s="494"/>
      <c r="M35" s="1603"/>
      <c r="N35" s="499"/>
      <c r="O35" s="494"/>
      <c r="P35" s="494"/>
      <c r="Q35" s="494"/>
      <c r="R35" s="1603"/>
    </row>
    <row r="36" spans="2:18" ht="13.5" thickBot="1">
      <c r="B36" s="4755"/>
      <c r="C36" s="3682" t="s">
        <v>60</v>
      </c>
      <c r="D36" s="1604"/>
      <c r="E36" s="1605"/>
      <c r="F36" s="1605"/>
      <c r="G36" s="1605"/>
      <c r="H36" s="1606"/>
      <c r="I36" s="1604"/>
      <c r="J36" s="1605"/>
      <c r="K36" s="1605"/>
      <c r="L36" s="1605"/>
      <c r="M36" s="1606"/>
      <c r="N36" s="1604"/>
      <c r="O36" s="1605"/>
      <c r="P36" s="1605"/>
      <c r="Q36" s="1605"/>
      <c r="R36" s="1606"/>
    </row>
    <row r="37" spans="2:18" ht="13.5" thickBot="1">
      <c r="B37" s="3683"/>
      <c r="C37" s="3672"/>
      <c r="D37" s="3672"/>
      <c r="E37" s="3672"/>
      <c r="F37" s="3672"/>
      <c r="G37" s="3672"/>
      <c r="H37" s="3672"/>
      <c r="I37" s="3672"/>
      <c r="J37" s="3672"/>
      <c r="K37" s="3672"/>
      <c r="L37" s="3672"/>
      <c r="M37" s="3672"/>
      <c r="N37" s="3672"/>
      <c r="O37" s="3672"/>
      <c r="P37" s="3672"/>
      <c r="Q37" s="3672"/>
      <c r="R37" s="3673"/>
    </row>
    <row r="38" spans="2:18" ht="15.75" thickBot="1">
      <c r="B38" s="3674" t="s">
        <v>1629</v>
      </c>
      <c r="C38" s="3672"/>
      <c r="D38" s="3672"/>
      <c r="E38" s="3672"/>
      <c r="F38" s="3672"/>
      <c r="G38" s="3672"/>
      <c r="H38" s="3672"/>
      <c r="I38" s="3672"/>
      <c r="J38" s="3672"/>
      <c r="K38" s="3672"/>
      <c r="L38" s="3672"/>
      <c r="M38" s="3672"/>
      <c r="N38" s="3672"/>
      <c r="O38" s="3672"/>
      <c r="P38" s="3672"/>
      <c r="Q38" s="3672"/>
      <c r="R38" s="3673"/>
    </row>
    <row r="39" spans="2:18" ht="15.75" thickBot="1">
      <c r="B39" s="3677" t="str">
        <f>CONCATENATE("Table 27.3.2"," - ", B38)</f>
        <v>Table 27.3.2 - Tariff L YV</v>
      </c>
      <c r="C39" s="3672"/>
      <c r="D39" s="3672"/>
      <c r="E39" s="3672"/>
      <c r="F39" s="3672"/>
      <c r="G39" s="3672"/>
      <c r="H39" s="3672"/>
      <c r="I39" s="3672"/>
      <c r="J39" s="3672"/>
      <c r="K39" s="3672"/>
      <c r="L39" s="3672"/>
      <c r="M39" s="3672"/>
      <c r="N39" s="3672"/>
      <c r="O39" s="3672"/>
      <c r="P39" s="3672"/>
      <c r="Q39" s="3672"/>
      <c r="R39" s="3673"/>
    </row>
    <row r="40" spans="2:18" ht="15.75" thickBot="1">
      <c r="B40" s="3678" t="str">
        <f>CONCATENATE("Commercial/industrial customers"," : ",B38)</f>
        <v>Commercial/industrial customers : Tariff L YV</v>
      </c>
      <c r="C40" s="3679"/>
      <c r="D40" s="3679"/>
      <c r="E40" s="3679"/>
      <c r="F40" s="3679"/>
      <c r="G40" s="3679"/>
      <c r="H40" s="3679"/>
      <c r="I40" s="3679"/>
      <c r="J40" s="3679"/>
      <c r="K40" s="3679"/>
      <c r="L40" s="3679"/>
      <c r="M40" s="3679"/>
      <c r="N40" s="3679"/>
      <c r="O40" s="3679"/>
      <c r="P40" s="3679"/>
      <c r="Q40" s="3679"/>
      <c r="R40" s="3680"/>
    </row>
    <row r="41" spans="2:18">
      <c r="B41" s="4753" t="s">
        <v>747</v>
      </c>
      <c r="C41" s="3642" t="s">
        <v>744</v>
      </c>
      <c r="D41" s="1602"/>
      <c r="E41" s="480">
        <f>D42</f>
        <v>0</v>
      </c>
      <c r="F41" s="480">
        <f>E42</f>
        <v>0</v>
      </c>
      <c r="G41" s="480">
        <f>F42</f>
        <v>0</v>
      </c>
      <c r="H41" s="480">
        <f>G42</f>
        <v>0</v>
      </c>
      <c r="I41" s="1602"/>
      <c r="J41" s="480">
        <f>I42</f>
        <v>0</v>
      </c>
      <c r="K41" s="480">
        <f>J42</f>
        <v>0</v>
      </c>
      <c r="L41" s="480">
        <f>K42</f>
        <v>0</v>
      </c>
      <c r="M41" s="480">
        <f>L42</f>
        <v>0</v>
      </c>
      <c r="N41" s="1602"/>
      <c r="O41" s="480">
        <f>N42</f>
        <v>0</v>
      </c>
      <c r="P41" s="480">
        <f>O42</f>
        <v>0</v>
      </c>
      <c r="Q41" s="480">
        <f>P42</f>
        <v>0</v>
      </c>
      <c r="R41" s="480">
        <f>Q42</f>
        <v>0</v>
      </c>
    </row>
    <row r="42" spans="2:18">
      <c r="B42" s="4754"/>
      <c r="C42" s="3681" t="s">
        <v>745</v>
      </c>
      <c r="D42" s="499"/>
      <c r="E42" s="494"/>
      <c r="F42" s="494"/>
      <c r="G42" s="494"/>
      <c r="H42" s="1603"/>
      <c r="I42" s="499"/>
      <c r="J42" s="494"/>
      <c r="K42" s="494"/>
      <c r="L42" s="494"/>
      <c r="M42" s="1603"/>
      <c r="N42" s="499"/>
      <c r="O42" s="494"/>
      <c r="P42" s="494"/>
      <c r="Q42" s="494"/>
      <c r="R42" s="1603"/>
    </row>
    <row r="43" spans="2:18">
      <c r="B43" s="4754"/>
      <c r="C43" s="3681" t="s">
        <v>70</v>
      </c>
      <c r="D43" s="384">
        <f t="shared" ref="D43:R43" si="2">IF(ISERROR(AVERAGE(D41:D42)),0,AVERAGE(D41:D42))</f>
        <v>0</v>
      </c>
      <c r="E43" s="384">
        <f t="shared" si="2"/>
        <v>0</v>
      </c>
      <c r="F43" s="384">
        <f t="shared" si="2"/>
        <v>0</v>
      </c>
      <c r="G43" s="384">
        <f t="shared" si="2"/>
        <v>0</v>
      </c>
      <c r="H43" s="384">
        <f t="shared" si="2"/>
        <v>0</v>
      </c>
      <c r="I43" s="384">
        <f t="shared" si="2"/>
        <v>0</v>
      </c>
      <c r="J43" s="384">
        <f t="shared" si="2"/>
        <v>0</v>
      </c>
      <c r="K43" s="384">
        <f t="shared" si="2"/>
        <v>0</v>
      </c>
      <c r="L43" s="384">
        <f t="shared" si="2"/>
        <v>0</v>
      </c>
      <c r="M43" s="384">
        <f t="shared" si="2"/>
        <v>0</v>
      </c>
      <c r="N43" s="384">
        <f t="shared" si="2"/>
        <v>0</v>
      </c>
      <c r="O43" s="384">
        <f t="shared" si="2"/>
        <v>0</v>
      </c>
      <c r="P43" s="384">
        <f t="shared" si="2"/>
        <v>0</v>
      </c>
      <c r="Q43" s="384">
        <f t="shared" si="2"/>
        <v>0</v>
      </c>
      <c r="R43" s="384">
        <f t="shared" si="2"/>
        <v>0</v>
      </c>
    </row>
    <row r="44" spans="2:18">
      <c r="B44" s="4754"/>
      <c r="C44" s="3681" t="s">
        <v>71</v>
      </c>
      <c r="D44" s="499"/>
      <c r="E44" s="494"/>
      <c r="F44" s="494"/>
      <c r="G44" s="494"/>
      <c r="H44" s="1603"/>
      <c r="I44" s="499"/>
      <c r="J44" s="494"/>
      <c r="K44" s="494"/>
      <c r="L44" s="494"/>
      <c r="M44" s="1603"/>
      <c r="N44" s="499"/>
      <c r="O44" s="494"/>
      <c r="P44" s="494"/>
      <c r="Q44" s="494"/>
      <c r="R44" s="1603"/>
    </row>
    <row r="45" spans="2:18" ht="13.5" thickBot="1">
      <c r="B45" s="4755"/>
      <c r="C45" s="3682" t="s">
        <v>60</v>
      </c>
      <c r="D45" s="1604"/>
      <c r="E45" s="1605"/>
      <c r="F45" s="1605"/>
      <c r="G45" s="1605"/>
      <c r="H45" s="1606"/>
      <c r="I45" s="1604"/>
      <c r="J45" s="1605"/>
      <c r="K45" s="1605"/>
      <c r="L45" s="1605"/>
      <c r="M45" s="1606"/>
      <c r="N45" s="1604"/>
      <c r="O45" s="1605"/>
      <c r="P45" s="1605"/>
      <c r="Q45" s="1605"/>
      <c r="R45" s="1606"/>
    </row>
    <row r="46" spans="2:18" ht="13.5" thickBot="1">
      <c r="B46" s="3683"/>
      <c r="C46" s="3672"/>
      <c r="D46" s="3672"/>
      <c r="E46" s="3672"/>
      <c r="F46" s="3672"/>
      <c r="G46" s="3672"/>
      <c r="H46" s="3672"/>
      <c r="I46" s="3672"/>
      <c r="J46" s="3672"/>
      <c r="K46" s="3672"/>
      <c r="L46" s="3672"/>
      <c r="M46" s="3672"/>
      <c r="N46" s="3672"/>
      <c r="O46" s="3672"/>
      <c r="P46" s="3672"/>
      <c r="Q46" s="3672"/>
      <c r="R46" s="3673"/>
    </row>
    <row r="47" spans="2:18" ht="15.75" thickBot="1">
      <c r="B47" s="3674" t="s">
        <v>1630</v>
      </c>
      <c r="C47" s="3672"/>
      <c r="D47" s="3672"/>
      <c r="E47" s="3672"/>
      <c r="F47" s="3672"/>
      <c r="G47" s="3672"/>
      <c r="H47" s="3672"/>
      <c r="I47" s="3672"/>
      <c r="J47" s="3672"/>
      <c r="K47" s="3672"/>
      <c r="L47" s="3672"/>
      <c r="M47" s="3672"/>
      <c r="N47" s="3672"/>
      <c r="O47" s="3672"/>
      <c r="P47" s="3672"/>
      <c r="Q47" s="3672"/>
      <c r="R47" s="3673"/>
    </row>
    <row r="48" spans="2:18" ht="15.75" thickBot="1">
      <c r="B48" s="3677" t="str">
        <f>CONCATENATE("Table 27.3.3"," - ", B47)</f>
        <v>Table 27.3.3 - Tariff D YV</v>
      </c>
      <c r="C48" s="3672"/>
      <c r="D48" s="3672"/>
      <c r="E48" s="3672"/>
      <c r="F48" s="3672"/>
      <c r="G48" s="3672"/>
      <c r="H48" s="3672"/>
      <c r="I48" s="3672"/>
      <c r="J48" s="3672"/>
      <c r="K48" s="3672"/>
      <c r="L48" s="3672"/>
      <c r="M48" s="3672"/>
      <c r="N48" s="3672"/>
      <c r="O48" s="3672"/>
      <c r="P48" s="3672"/>
      <c r="Q48" s="3672"/>
      <c r="R48" s="3673"/>
    </row>
    <row r="49" spans="2:18" ht="15.75" thickBot="1">
      <c r="B49" s="3678" t="str">
        <f>CONCATENATE("Commercial/industrial customers"," : ",B47)</f>
        <v>Commercial/industrial customers : Tariff D YV</v>
      </c>
      <c r="C49" s="3679"/>
      <c r="D49" s="3679"/>
      <c r="E49" s="3679"/>
      <c r="F49" s="3679"/>
      <c r="G49" s="3679"/>
      <c r="H49" s="3679"/>
      <c r="I49" s="3679"/>
      <c r="J49" s="3679"/>
      <c r="K49" s="3679"/>
      <c r="L49" s="3679"/>
      <c r="M49" s="3679"/>
      <c r="N49" s="3679"/>
      <c r="O49" s="3679"/>
      <c r="P49" s="3679"/>
      <c r="Q49" s="3679"/>
      <c r="R49" s="3680"/>
    </row>
    <row r="50" spans="2:18">
      <c r="B50" s="4753" t="s">
        <v>747</v>
      </c>
      <c r="C50" s="3642" t="s">
        <v>744</v>
      </c>
      <c r="D50" s="1602"/>
      <c r="E50" s="480">
        <f>D51</f>
        <v>0</v>
      </c>
      <c r="F50" s="480">
        <f>E51</f>
        <v>0</v>
      </c>
      <c r="G50" s="480">
        <f>F51</f>
        <v>0</v>
      </c>
      <c r="H50" s="480">
        <f>G51</f>
        <v>0</v>
      </c>
      <c r="I50" s="1602"/>
      <c r="J50" s="480">
        <f>I51</f>
        <v>0</v>
      </c>
      <c r="K50" s="480">
        <f>J51</f>
        <v>0</v>
      </c>
      <c r="L50" s="480">
        <f>K51</f>
        <v>0</v>
      </c>
      <c r="M50" s="480">
        <f>L51</f>
        <v>0</v>
      </c>
      <c r="N50" s="1602"/>
      <c r="O50" s="480">
        <f>N51</f>
        <v>0</v>
      </c>
      <c r="P50" s="480">
        <f>O51</f>
        <v>0</v>
      </c>
      <c r="Q50" s="480">
        <f>P51</f>
        <v>0</v>
      </c>
      <c r="R50" s="480">
        <f>Q51</f>
        <v>0</v>
      </c>
    </row>
    <row r="51" spans="2:18">
      <c r="B51" s="4754"/>
      <c r="C51" s="3681" t="s">
        <v>745</v>
      </c>
      <c r="D51" s="499"/>
      <c r="E51" s="494"/>
      <c r="F51" s="494"/>
      <c r="G51" s="494"/>
      <c r="H51" s="1603"/>
      <c r="I51" s="499"/>
      <c r="J51" s="494"/>
      <c r="K51" s="494"/>
      <c r="L51" s="494"/>
      <c r="M51" s="1603"/>
      <c r="N51" s="499"/>
      <c r="O51" s="494"/>
      <c r="P51" s="494"/>
      <c r="Q51" s="494"/>
      <c r="R51" s="1603"/>
    </row>
    <row r="52" spans="2:18">
      <c r="B52" s="4754"/>
      <c r="C52" s="3681" t="s">
        <v>70</v>
      </c>
      <c r="D52" s="384">
        <f t="shared" ref="D52:R52" si="3">IF(ISERROR(AVERAGE(D50:D51)),0,AVERAGE(D50:D51))</f>
        <v>0</v>
      </c>
      <c r="E52" s="384">
        <f t="shared" si="3"/>
        <v>0</v>
      </c>
      <c r="F52" s="384">
        <f t="shared" si="3"/>
        <v>0</v>
      </c>
      <c r="G52" s="384">
        <f t="shared" si="3"/>
        <v>0</v>
      </c>
      <c r="H52" s="384">
        <f t="shared" si="3"/>
        <v>0</v>
      </c>
      <c r="I52" s="384">
        <f t="shared" si="3"/>
        <v>0</v>
      </c>
      <c r="J52" s="384">
        <f t="shared" si="3"/>
        <v>0</v>
      </c>
      <c r="K52" s="384">
        <f t="shared" si="3"/>
        <v>0</v>
      </c>
      <c r="L52" s="384">
        <f t="shared" si="3"/>
        <v>0</v>
      </c>
      <c r="M52" s="384">
        <f t="shared" si="3"/>
        <v>0</v>
      </c>
      <c r="N52" s="384">
        <f t="shared" si="3"/>
        <v>0</v>
      </c>
      <c r="O52" s="384">
        <f t="shared" si="3"/>
        <v>0</v>
      </c>
      <c r="P52" s="384">
        <f t="shared" si="3"/>
        <v>0</v>
      </c>
      <c r="Q52" s="384">
        <f t="shared" si="3"/>
        <v>0</v>
      </c>
      <c r="R52" s="384">
        <f t="shared" si="3"/>
        <v>0</v>
      </c>
    </row>
    <row r="53" spans="2:18">
      <c r="B53" s="4754"/>
      <c r="C53" s="3681" t="s">
        <v>71</v>
      </c>
      <c r="D53" s="499"/>
      <c r="E53" s="494"/>
      <c r="F53" s="494"/>
      <c r="G53" s="494"/>
      <c r="H53" s="1603"/>
      <c r="I53" s="499"/>
      <c r="J53" s="494"/>
      <c r="K53" s="494"/>
      <c r="L53" s="494"/>
      <c r="M53" s="1603"/>
      <c r="N53" s="499"/>
      <c r="O53" s="494"/>
      <c r="P53" s="494"/>
      <c r="Q53" s="494"/>
      <c r="R53" s="1603"/>
    </row>
    <row r="54" spans="2:18" ht="13.5" thickBot="1">
      <c r="B54" s="4755"/>
      <c r="C54" s="3682" t="s">
        <v>60</v>
      </c>
      <c r="D54" s="1604"/>
      <c r="E54" s="1605"/>
      <c r="F54" s="1605"/>
      <c r="G54" s="1605"/>
      <c r="H54" s="1606"/>
      <c r="I54" s="1604"/>
      <c r="J54" s="1605"/>
      <c r="K54" s="1605"/>
      <c r="L54" s="1605"/>
      <c r="M54" s="1606"/>
      <c r="N54" s="1604"/>
      <c r="O54" s="1605"/>
      <c r="P54" s="1605"/>
      <c r="Q54" s="1605"/>
      <c r="R54" s="1606"/>
    </row>
  </sheetData>
  <mergeCells count="18">
    <mergeCell ref="B11:F11"/>
    <mergeCell ref="B6:F6"/>
    <mergeCell ref="B7:F7"/>
    <mergeCell ref="B8:F8"/>
    <mergeCell ref="B9:F9"/>
    <mergeCell ref="B10:F10"/>
    <mergeCell ref="I16:M16"/>
    <mergeCell ref="N16:R16"/>
    <mergeCell ref="D17:R17"/>
    <mergeCell ref="D18:K18"/>
    <mergeCell ref="L18:R18"/>
    <mergeCell ref="B26:B30"/>
    <mergeCell ref="B32:B36"/>
    <mergeCell ref="B41:B45"/>
    <mergeCell ref="B50:B54"/>
    <mergeCell ref="B12:F12"/>
    <mergeCell ref="B16:C19"/>
    <mergeCell ref="D16:H16"/>
  </mergeCells>
  <pageMargins left="0.7" right="0.7" top="0.75" bottom="0.75" header="0.3" footer="0.3"/>
  <customProperties>
    <customPr name="layoutContexts" r:id="rId1"/>
  </customProperties>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D54"/>
  <sheetViews>
    <sheetView topLeftCell="A7" zoomScale="80" zoomScaleNormal="80" workbookViewId="0">
      <selection activeCell="J12" sqref="J12"/>
    </sheetView>
  </sheetViews>
  <sheetFormatPr defaultColWidth="9.140625" defaultRowHeight="12.75"/>
  <cols>
    <col min="1" max="1" width="16.28515625" style="3656" bestFit="1" customWidth="1"/>
    <col min="2" max="2" width="54.42578125" style="3656" customWidth="1"/>
    <col min="3" max="3" width="52.140625" style="3656" customWidth="1"/>
    <col min="4" max="17" width="15.7109375" style="3656" customWidth="1"/>
    <col min="18" max="18" width="14" style="2274" customWidth="1"/>
    <col min="19" max="36" width="8.7109375" style="2274" customWidth="1"/>
    <col min="37" max="16384" width="9.140625" style="3656"/>
  </cols>
  <sheetData>
    <row r="1" spans="1:134" s="2276" customFormat="1" ht="24.95" customHeight="1">
      <c r="B1" s="2272" t="str">
        <f>IF(dms_DataQuality="backcast",INDEX(dms_Worksheet_List,MATCH(dms_Model,dms_Model_List))&amp;" BACKCAST",INDEX(dms_Worksheet_List,MATCH(dms_Model,dms_Model_List)))</f>
        <v>REGULATORY REPORTING STATEMENT</v>
      </c>
      <c r="C1" s="3654"/>
      <c r="D1" s="3654"/>
      <c r="E1" s="3654"/>
      <c r="F1" s="3654"/>
      <c r="G1" s="3654"/>
      <c r="H1" s="3654"/>
      <c r="I1" s="3654"/>
      <c r="J1" s="3654"/>
      <c r="K1" s="3654"/>
      <c r="L1" s="3654"/>
      <c r="M1" s="3654"/>
      <c r="N1" s="3654"/>
      <c r="O1" s="3654"/>
      <c r="P1" s="3654"/>
      <c r="Q1" s="3654"/>
      <c r="R1" s="3654"/>
      <c r="S1" s="2274"/>
      <c r="T1" s="2274"/>
      <c r="U1" s="2274"/>
      <c r="V1" s="2274"/>
      <c r="W1" s="2274"/>
      <c r="X1" s="2274"/>
      <c r="Y1" s="2274"/>
      <c r="Z1" s="2274"/>
      <c r="AA1" s="2274"/>
      <c r="AB1" s="2274"/>
      <c r="AC1" s="2274"/>
      <c r="AD1" s="2274"/>
      <c r="AE1" s="2274"/>
      <c r="AF1" s="2274"/>
      <c r="AG1" s="2274"/>
      <c r="AH1" s="2274"/>
      <c r="AI1" s="2274"/>
      <c r="AJ1" s="2274"/>
    </row>
    <row r="2" spans="1:134" s="2276" customFormat="1" ht="24.95" customHeight="1">
      <c r="B2" s="2277" t="str">
        <f>INDEX(dms_TradingNameFull_List,MATCH(dms_TradingName,dms_TradingName_List))</f>
        <v>Multinet Gas (DB No.1) Pty Ltd (ACN 086 026 986), Multinet Gas (DB No.2) Pty Ltd (ACN 086 230 122)</v>
      </c>
      <c r="C2" s="2277"/>
      <c r="D2" s="2277"/>
      <c r="E2" s="2277"/>
      <c r="F2" s="2277"/>
      <c r="G2" s="2277"/>
      <c r="H2" s="2277"/>
      <c r="I2" s="2277"/>
      <c r="J2" s="2277"/>
      <c r="K2" s="2277"/>
      <c r="L2" s="2277"/>
      <c r="M2" s="2277"/>
      <c r="N2" s="2277"/>
      <c r="O2" s="2277"/>
      <c r="P2" s="2277"/>
      <c r="Q2" s="2277"/>
      <c r="R2" s="2277"/>
      <c r="S2" s="2274"/>
      <c r="T2" s="2274"/>
      <c r="U2" s="2274"/>
      <c r="V2" s="2274"/>
      <c r="W2" s="2274"/>
      <c r="X2" s="2274"/>
      <c r="Y2" s="2274"/>
      <c r="Z2" s="2274"/>
      <c r="AA2" s="2274"/>
      <c r="AB2" s="2274"/>
      <c r="AC2" s="2274"/>
      <c r="AD2" s="2274"/>
      <c r="AE2" s="2274"/>
      <c r="AF2" s="2274"/>
      <c r="AG2" s="2274"/>
      <c r="AH2" s="2274"/>
      <c r="AI2" s="2274"/>
      <c r="AJ2" s="2274"/>
    </row>
    <row r="3" spans="1:134" s="2276" customFormat="1" ht="24.95" customHeight="1">
      <c r="B3" s="2277" t="str">
        <f>IF(SUM(dms_SingleYear_Model)&gt;0,CRY,CONCATENATE(FRCP_y1," to ",dms_MultiYear_FinalYear_Result))</f>
        <v>2018 to 2022</v>
      </c>
      <c r="C3" s="2279"/>
      <c r="D3" s="2279"/>
      <c r="E3" s="2279"/>
      <c r="F3" s="2279"/>
      <c r="G3" s="2279"/>
      <c r="H3" s="2279"/>
      <c r="I3" s="2279"/>
      <c r="J3" s="2279"/>
      <c r="K3" s="2279"/>
      <c r="L3" s="2279"/>
      <c r="M3" s="2279"/>
      <c r="N3" s="2279"/>
      <c r="O3" s="2279"/>
      <c r="P3" s="2279"/>
      <c r="Q3" s="2279"/>
      <c r="R3" s="2279"/>
      <c r="S3" s="2274"/>
      <c r="T3" s="2274"/>
      <c r="U3" s="2274"/>
      <c r="V3" s="2274"/>
      <c r="W3" s="2274"/>
      <c r="X3" s="2274"/>
      <c r="Y3" s="2274"/>
      <c r="Z3" s="2274"/>
      <c r="AA3" s="2274"/>
      <c r="AB3" s="2274"/>
      <c r="AC3" s="2274"/>
      <c r="AD3" s="2274"/>
      <c r="AE3" s="2274"/>
      <c r="AF3" s="2274"/>
      <c r="AG3" s="2274"/>
      <c r="AH3" s="2274"/>
      <c r="AI3" s="2274"/>
      <c r="AJ3" s="2274"/>
    </row>
    <row r="4" spans="1:134" s="2276" customFormat="1" ht="24" customHeight="1">
      <c r="B4" s="2280" t="s">
        <v>386</v>
      </c>
      <c r="C4" s="3655"/>
      <c r="D4" s="3655"/>
      <c r="E4" s="3655"/>
      <c r="F4" s="3655"/>
      <c r="G4" s="3655"/>
      <c r="H4" s="3655"/>
      <c r="I4" s="3655"/>
      <c r="J4" s="3655"/>
      <c r="K4" s="3655"/>
      <c r="L4" s="3655"/>
      <c r="M4" s="3655"/>
      <c r="N4" s="3655"/>
      <c r="O4" s="3655"/>
      <c r="P4" s="3655"/>
      <c r="Q4" s="3655"/>
      <c r="R4" s="3655"/>
      <c r="S4" s="2274"/>
      <c r="T4" s="2274"/>
      <c r="U4" s="2274"/>
      <c r="V4" s="2274"/>
      <c r="W4" s="2274"/>
      <c r="X4" s="2274"/>
      <c r="Y4" s="2274"/>
      <c r="Z4" s="2274"/>
      <c r="AA4" s="2274"/>
      <c r="AB4" s="2274"/>
      <c r="AC4" s="2274"/>
      <c r="AD4" s="2274"/>
      <c r="AE4" s="2274"/>
      <c r="AF4" s="2274"/>
      <c r="AG4" s="2274"/>
      <c r="AH4" s="2274"/>
      <c r="AI4" s="2274"/>
      <c r="AJ4" s="2274"/>
    </row>
    <row r="5" spans="1:134" ht="23.25" customHeight="1">
      <c r="A5" s="391"/>
      <c r="B5" s="3558"/>
      <c r="C5" s="3558"/>
      <c r="D5" s="3558"/>
      <c r="E5" s="3558"/>
      <c r="F5" s="3558"/>
      <c r="G5" s="3558"/>
      <c r="H5" s="3558"/>
      <c r="I5" s="3558"/>
      <c r="J5" s="3558"/>
      <c r="K5" s="3558"/>
      <c r="L5" s="3558"/>
      <c r="M5" s="3558"/>
      <c r="N5" s="3558"/>
      <c r="O5" s="3558"/>
      <c r="P5" s="3558"/>
      <c r="Q5" s="2274"/>
    </row>
    <row r="6" spans="1:134" ht="28.5" customHeight="1">
      <c r="A6" s="3558"/>
      <c r="B6" s="4775" t="s">
        <v>61</v>
      </c>
      <c r="C6" s="4775"/>
      <c r="D6" s="4775"/>
      <c r="E6" s="4775"/>
      <c r="F6" s="4775"/>
      <c r="G6" s="2274"/>
      <c r="H6" s="2274"/>
      <c r="I6" s="2274"/>
      <c r="J6" s="2274"/>
      <c r="K6" s="2274"/>
      <c r="L6" s="2274"/>
      <c r="M6" s="2274"/>
    </row>
    <row r="7" spans="1:134" ht="20.25" customHeight="1">
      <c r="A7" s="3558"/>
      <c r="B7" s="4756" t="s">
        <v>8</v>
      </c>
      <c r="C7" s="4756"/>
      <c r="D7" s="4756"/>
      <c r="E7" s="4756"/>
      <c r="F7" s="4756"/>
      <c r="G7" s="2274"/>
      <c r="H7" s="2274"/>
      <c r="I7" s="2274"/>
      <c r="J7" s="2274"/>
      <c r="K7" s="2274"/>
      <c r="L7" s="2274"/>
      <c r="M7" s="2274"/>
    </row>
    <row r="8" spans="1:134" s="3573" customFormat="1" ht="36.75" customHeight="1">
      <c r="A8" s="3558"/>
      <c r="B8" s="4756" t="s">
        <v>749</v>
      </c>
      <c r="C8" s="4756"/>
      <c r="D8" s="4756"/>
      <c r="E8" s="4756"/>
      <c r="F8" s="4756"/>
      <c r="G8" s="2274"/>
      <c r="H8" s="2274"/>
      <c r="I8" s="2274"/>
      <c r="J8" s="2274"/>
      <c r="K8" s="2274"/>
      <c r="L8" s="2274"/>
      <c r="M8" s="3656"/>
      <c r="N8" s="3656"/>
      <c r="O8" s="3656"/>
      <c r="P8" s="3656"/>
      <c r="Q8" s="3656"/>
      <c r="R8" s="3656"/>
      <c r="S8" s="3558"/>
      <c r="T8" s="3558"/>
      <c r="U8" s="3656"/>
      <c r="V8" s="3656"/>
      <c r="W8" s="3656"/>
      <c r="X8" s="3656"/>
      <c r="Y8" s="3656"/>
      <c r="Z8" s="3656"/>
      <c r="AA8" s="3656"/>
      <c r="AB8" s="3656"/>
      <c r="AC8" s="3656"/>
      <c r="AD8" s="3656"/>
      <c r="AE8" s="3656"/>
      <c r="AF8" s="3656"/>
      <c r="AG8" s="3656"/>
      <c r="AH8" s="3656"/>
      <c r="AI8" s="3656"/>
      <c r="AJ8" s="3656"/>
      <c r="AK8" s="3656"/>
      <c r="AL8" s="3656"/>
      <c r="AM8" s="3656"/>
      <c r="AN8" s="3656"/>
      <c r="AO8" s="3656"/>
      <c r="AP8" s="3656"/>
      <c r="AQ8" s="3656"/>
      <c r="AR8" s="3656"/>
      <c r="AS8" s="3656"/>
      <c r="AT8" s="3656"/>
      <c r="AU8" s="3656"/>
      <c r="AV8" s="3656"/>
      <c r="AW8" s="3656"/>
      <c r="AX8" s="3656"/>
      <c r="AY8" s="3656"/>
      <c r="AZ8" s="3656"/>
      <c r="BA8" s="3656"/>
      <c r="BB8" s="3656"/>
      <c r="BC8" s="3656"/>
      <c r="BD8" s="3656"/>
      <c r="BE8" s="3656"/>
      <c r="BF8" s="3656"/>
      <c r="BG8" s="3656"/>
      <c r="BH8" s="3656"/>
      <c r="BI8" s="3656"/>
      <c r="BJ8" s="3656"/>
      <c r="BK8" s="3656"/>
      <c r="BL8" s="3656"/>
      <c r="BM8" s="3656"/>
      <c r="BN8" s="3656"/>
      <c r="BO8" s="3656"/>
      <c r="BP8" s="3656"/>
      <c r="BQ8" s="3656"/>
      <c r="BR8" s="3656"/>
      <c r="BS8" s="3656"/>
      <c r="BT8" s="3656"/>
      <c r="BU8" s="3656"/>
      <c r="BV8" s="3656"/>
      <c r="BW8" s="3656"/>
      <c r="BX8" s="3656"/>
      <c r="BY8" s="3656"/>
      <c r="BZ8" s="3656"/>
      <c r="CA8" s="3656"/>
      <c r="CB8" s="3656"/>
      <c r="CC8" s="3656"/>
      <c r="CD8" s="3656"/>
      <c r="CE8" s="3656"/>
      <c r="CF8" s="3656"/>
      <c r="CG8" s="3656"/>
      <c r="CH8" s="3656"/>
      <c r="CI8" s="3656"/>
      <c r="CJ8" s="3555"/>
      <c r="CK8" s="3555"/>
      <c r="CL8" s="3555"/>
      <c r="CM8" s="3555"/>
      <c r="CN8" s="3555"/>
      <c r="CO8" s="3555"/>
      <c r="CP8" s="3555"/>
      <c r="CQ8" s="3555"/>
      <c r="CR8" s="3555"/>
      <c r="CS8" s="3555"/>
      <c r="CT8" s="3555"/>
      <c r="CU8" s="3555"/>
      <c r="CV8" s="3555"/>
      <c r="CW8" s="3555"/>
      <c r="CX8" s="3555"/>
      <c r="CY8" s="3555"/>
      <c r="CZ8" s="3555"/>
      <c r="DA8" s="3555"/>
      <c r="DB8" s="3555"/>
      <c r="DC8" s="3555"/>
      <c r="DD8" s="3555"/>
      <c r="DE8" s="3555"/>
      <c r="DF8" s="3555"/>
      <c r="DG8" s="3555"/>
      <c r="DH8" s="3555"/>
      <c r="DI8" s="3555"/>
      <c r="DJ8" s="3555"/>
      <c r="DK8" s="3555"/>
      <c r="DL8" s="3555"/>
      <c r="DM8" s="3555"/>
      <c r="DN8" s="3555"/>
      <c r="DO8" s="3555"/>
      <c r="DP8" s="3555"/>
      <c r="DQ8" s="3555"/>
      <c r="DR8" s="3555"/>
      <c r="DS8" s="3555"/>
      <c r="DT8" s="3555"/>
    </row>
    <row r="9" spans="1:134" s="3573" customFormat="1" ht="18.75" customHeight="1">
      <c r="A9" s="3558"/>
      <c r="B9" s="4756" t="s">
        <v>748</v>
      </c>
      <c r="C9" s="4776"/>
      <c r="D9" s="4776"/>
      <c r="E9" s="4776"/>
      <c r="F9" s="4776"/>
      <c r="G9" s="2274"/>
      <c r="H9" s="2274"/>
      <c r="I9" s="2274"/>
      <c r="J9" s="2274"/>
      <c r="K9" s="2274"/>
      <c r="L9" s="2274"/>
      <c r="M9" s="3656"/>
      <c r="N9" s="3656"/>
      <c r="O9" s="3656"/>
      <c r="P9" s="3656"/>
      <c r="Q9" s="3656"/>
      <c r="R9" s="3656"/>
      <c r="S9" s="3558"/>
      <c r="T9" s="3558"/>
      <c r="U9" s="3656"/>
      <c r="V9" s="3656"/>
      <c r="W9" s="3656"/>
      <c r="X9" s="3656"/>
      <c r="Y9" s="3656"/>
      <c r="Z9" s="3656"/>
      <c r="AA9" s="3656"/>
      <c r="AB9" s="3656"/>
      <c r="AC9" s="3656"/>
      <c r="AD9" s="3656"/>
      <c r="AE9" s="3656"/>
      <c r="AF9" s="3656"/>
      <c r="AG9" s="3656"/>
      <c r="AH9" s="3656"/>
      <c r="AI9" s="3656"/>
      <c r="AJ9" s="3656"/>
      <c r="AK9" s="3656"/>
      <c r="AL9" s="3656"/>
      <c r="AM9" s="3656"/>
      <c r="AN9" s="3656"/>
      <c r="AO9" s="3656"/>
      <c r="AP9" s="3656"/>
      <c r="AQ9" s="3656"/>
      <c r="AR9" s="3656"/>
      <c r="AS9" s="3656"/>
      <c r="AT9" s="3656"/>
      <c r="AU9" s="3656"/>
      <c r="AV9" s="3656"/>
      <c r="AW9" s="3656"/>
      <c r="AX9" s="3656"/>
      <c r="AY9" s="3656"/>
      <c r="AZ9" s="3656"/>
      <c r="BA9" s="3656"/>
      <c r="BB9" s="3656"/>
      <c r="BC9" s="3656"/>
      <c r="BD9" s="3656"/>
      <c r="BE9" s="3656"/>
      <c r="BF9" s="3656"/>
      <c r="BG9" s="3656"/>
      <c r="BH9" s="3656"/>
      <c r="BI9" s="3656"/>
      <c r="BJ9" s="3656"/>
      <c r="BK9" s="3656"/>
      <c r="BL9" s="3656"/>
      <c r="BM9" s="3656"/>
      <c r="BN9" s="3656"/>
      <c r="BO9" s="3656"/>
      <c r="BP9" s="3656"/>
      <c r="BQ9" s="3656"/>
      <c r="BR9" s="3656"/>
      <c r="BS9" s="3656"/>
      <c r="BT9" s="3656"/>
      <c r="BU9" s="3656"/>
      <c r="BV9" s="3656"/>
      <c r="BW9" s="3656"/>
      <c r="BX9" s="3656"/>
      <c r="BY9" s="3656"/>
      <c r="BZ9" s="3656"/>
      <c r="CA9" s="3656"/>
      <c r="CB9" s="3656"/>
      <c r="CC9" s="3656"/>
      <c r="CD9" s="3656"/>
      <c r="CE9" s="3656"/>
      <c r="CF9" s="3656"/>
      <c r="CG9" s="3656"/>
      <c r="CH9" s="3656"/>
      <c r="CI9" s="3656"/>
      <c r="CJ9" s="3555"/>
      <c r="CK9" s="3555"/>
      <c r="CL9" s="3555"/>
      <c r="CM9" s="3555"/>
      <c r="CN9" s="3555"/>
      <c r="CO9" s="3555"/>
      <c r="CP9" s="3555"/>
      <c r="CQ9" s="3555"/>
      <c r="CR9" s="3555"/>
      <c r="CS9" s="3555"/>
      <c r="CT9" s="3555"/>
      <c r="CU9" s="3555"/>
      <c r="CV9" s="3555"/>
      <c r="CW9" s="3555"/>
      <c r="CX9" s="3555"/>
      <c r="CY9" s="3555"/>
      <c r="CZ9" s="3555"/>
      <c r="DA9" s="3555"/>
      <c r="DB9" s="3555"/>
      <c r="DC9" s="3555"/>
      <c r="DD9" s="3555"/>
      <c r="DE9" s="3555"/>
      <c r="DF9" s="3555"/>
      <c r="DG9" s="3555"/>
      <c r="DH9" s="3555"/>
      <c r="DI9" s="3555"/>
      <c r="DJ9" s="3555"/>
      <c r="DK9" s="3555"/>
      <c r="DL9" s="3555"/>
      <c r="DM9" s="3555"/>
      <c r="DN9" s="3555"/>
      <c r="DO9" s="3555"/>
      <c r="DP9" s="3555"/>
      <c r="DQ9" s="3555"/>
      <c r="DR9" s="3555"/>
      <c r="DS9" s="3555"/>
      <c r="DT9" s="3555"/>
    </row>
    <row r="10" spans="1:134" s="3573" customFormat="1" ht="30.75" customHeight="1">
      <c r="A10" s="3558"/>
      <c r="B10" s="4777" t="s">
        <v>0</v>
      </c>
      <c r="C10" s="4777"/>
      <c r="D10" s="4777"/>
      <c r="E10" s="4777"/>
      <c r="F10" s="4777"/>
      <c r="G10" s="2274"/>
      <c r="H10" s="2274"/>
      <c r="I10" s="2274"/>
      <c r="J10" s="2274"/>
      <c r="K10" s="2274"/>
      <c r="L10" s="2274"/>
      <c r="M10" s="3656"/>
      <c r="N10" s="3656"/>
      <c r="O10" s="3656"/>
      <c r="P10" s="3656"/>
      <c r="Q10" s="3656"/>
      <c r="R10" s="3656"/>
      <c r="S10" s="3558"/>
      <c r="T10" s="3558"/>
      <c r="U10" s="3656"/>
      <c r="V10" s="3656"/>
      <c r="W10" s="3656"/>
      <c r="X10" s="3656"/>
      <c r="Y10" s="3656"/>
      <c r="Z10" s="3656"/>
      <c r="AA10" s="3656"/>
      <c r="AB10" s="3656"/>
      <c r="AC10" s="3656"/>
      <c r="AD10" s="3656"/>
      <c r="AE10" s="3656"/>
      <c r="AF10" s="3656"/>
      <c r="AG10" s="3656"/>
      <c r="AH10" s="3656"/>
      <c r="AI10" s="3656"/>
      <c r="AJ10" s="3656"/>
      <c r="AK10" s="3656"/>
      <c r="AL10" s="3656"/>
      <c r="AM10" s="3656"/>
      <c r="AN10" s="3656"/>
      <c r="AO10" s="3656"/>
      <c r="AP10" s="3656"/>
      <c r="AQ10" s="3656"/>
      <c r="AR10" s="3656"/>
      <c r="AS10" s="3656"/>
      <c r="AT10" s="3656"/>
      <c r="AU10" s="3656"/>
      <c r="AV10" s="3656"/>
      <c r="AW10" s="3656"/>
      <c r="AX10" s="3656"/>
      <c r="AY10" s="3656"/>
      <c r="AZ10" s="3656"/>
      <c r="BA10" s="3656"/>
      <c r="BB10" s="3656"/>
      <c r="BC10" s="3656"/>
      <c r="BD10" s="3656"/>
      <c r="BE10" s="3656"/>
      <c r="BF10" s="3656"/>
      <c r="BG10" s="3656"/>
      <c r="BH10" s="3656"/>
      <c r="BI10" s="3656"/>
      <c r="BJ10" s="3656"/>
      <c r="BK10" s="3656"/>
      <c r="BL10" s="3656"/>
      <c r="BM10" s="3656"/>
      <c r="BN10" s="3656"/>
      <c r="BO10" s="3656"/>
      <c r="BP10" s="3656"/>
      <c r="BQ10" s="3656"/>
      <c r="BR10" s="3656"/>
      <c r="BS10" s="3656"/>
      <c r="BT10" s="3656"/>
      <c r="BU10" s="3656"/>
      <c r="BV10" s="3656"/>
      <c r="BW10" s="3656"/>
      <c r="BX10" s="3656"/>
      <c r="BY10" s="3656"/>
      <c r="BZ10" s="3656"/>
      <c r="CA10" s="3656"/>
      <c r="CB10" s="3656"/>
      <c r="CC10" s="3656"/>
      <c r="CD10" s="3656"/>
      <c r="CE10" s="3656"/>
      <c r="CF10" s="3656"/>
      <c r="CG10" s="3656"/>
      <c r="CH10" s="3656"/>
      <c r="CI10" s="3656"/>
      <c r="CJ10" s="3555"/>
      <c r="CK10" s="3555"/>
      <c r="CL10" s="3555"/>
      <c r="CM10" s="3555"/>
      <c r="CN10" s="3555"/>
      <c r="CO10" s="3555"/>
      <c r="CP10" s="3555"/>
      <c r="CQ10" s="3555"/>
      <c r="CR10" s="3555"/>
      <c r="CS10" s="3555"/>
      <c r="CT10" s="3555"/>
      <c r="CU10" s="3555"/>
      <c r="CV10" s="3555"/>
      <c r="CW10" s="3555"/>
      <c r="CX10" s="3555"/>
      <c r="CY10" s="3555"/>
      <c r="CZ10" s="3555"/>
      <c r="DA10" s="3555"/>
      <c r="DB10" s="3555"/>
      <c r="DC10" s="3555"/>
      <c r="DD10" s="3555"/>
      <c r="DE10" s="3555"/>
      <c r="DF10" s="3555"/>
      <c r="DG10" s="3555"/>
      <c r="DH10" s="3555"/>
      <c r="DI10" s="3555"/>
      <c r="DJ10" s="3555"/>
      <c r="DK10" s="3555"/>
      <c r="DL10" s="3555"/>
      <c r="DM10" s="3555"/>
      <c r="DN10" s="3555"/>
      <c r="DO10" s="3555"/>
      <c r="DP10" s="3555"/>
      <c r="DQ10" s="3555"/>
      <c r="DR10" s="3555"/>
      <c r="DS10" s="3555"/>
      <c r="DT10" s="3555"/>
    </row>
    <row r="11" spans="1:134" s="3573" customFormat="1" ht="39" customHeight="1">
      <c r="A11" s="3558"/>
      <c r="B11" s="4756" t="s">
        <v>757</v>
      </c>
      <c r="C11" s="4756"/>
      <c r="D11" s="4756"/>
      <c r="E11" s="4756"/>
      <c r="F11" s="4756"/>
      <c r="G11" s="2274"/>
      <c r="H11" s="2274"/>
      <c r="I11" s="2274"/>
      <c r="J11" s="2274"/>
      <c r="K11" s="2274"/>
      <c r="L11" s="2274"/>
      <c r="M11" s="2274"/>
      <c r="N11" s="3656"/>
      <c r="O11" s="3656"/>
      <c r="P11" s="3656"/>
      <c r="Q11" s="3656"/>
      <c r="R11" s="2274"/>
      <c r="S11" s="2274"/>
      <c r="T11" s="2274"/>
      <c r="U11" s="2274"/>
      <c r="V11" s="2274"/>
      <c r="W11" s="2274"/>
      <c r="X11" s="2274"/>
      <c r="Y11" s="2274"/>
      <c r="Z11" s="2274"/>
      <c r="AA11" s="2274"/>
      <c r="AB11" s="2274"/>
      <c r="AC11" s="2274"/>
      <c r="AD11" s="2274"/>
      <c r="AE11" s="2274"/>
      <c r="AF11" s="2274"/>
      <c r="AG11" s="2274"/>
      <c r="AH11" s="2274"/>
      <c r="AI11" s="2274"/>
      <c r="AJ11" s="2274"/>
      <c r="AK11" s="3656"/>
      <c r="AL11" s="3656"/>
      <c r="AM11" s="3656"/>
      <c r="AN11" s="3656"/>
      <c r="AO11" s="3656"/>
      <c r="AP11" s="3656"/>
      <c r="AQ11" s="3656"/>
      <c r="AR11" s="3656"/>
      <c r="AS11" s="3656"/>
      <c r="AT11" s="3656"/>
      <c r="AU11" s="3656"/>
      <c r="AV11" s="3656"/>
      <c r="AW11" s="3656"/>
      <c r="AX11" s="3656"/>
      <c r="AY11" s="3656"/>
      <c r="AZ11" s="3656"/>
      <c r="BA11" s="3656"/>
      <c r="BB11" s="3656"/>
      <c r="BC11" s="3656"/>
      <c r="BD11" s="3656"/>
      <c r="BE11" s="3656"/>
      <c r="BF11" s="3656"/>
      <c r="BG11" s="3656"/>
      <c r="BH11" s="3656"/>
      <c r="BI11" s="3656"/>
      <c r="BJ11" s="3656"/>
      <c r="BK11" s="3656"/>
      <c r="BL11" s="3656"/>
      <c r="BM11" s="3656"/>
      <c r="BN11" s="3656"/>
      <c r="BO11" s="3656"/>
      <c r="BP11" s="3656"/>
      <c r="BQ11" s="3656"/>
      <c r="BR11" s="3656"/>
      <c r="BS11" s="3656"/>
      <c r="BT11" s="3656"/>
      <c r="BU11" s="3656"/>
      <c r="BV11" s="3656"/>
      <c r="BW11" s="3656"/>
      <c r="BX11" s="3656"/>
      <c r="BY11" s="3656"/>
      <c r="BZ11" s="3656"/>
      <c r="CA11" s="3656"/>
      <c r="CB11" s="3656"/>
      <c r="CC11" s="3656"/>
      <c r="CD11" s="3656"/>
      <c r="CE11" s="3656"/>
      <c r="CF11" s="3656"/>
      <c r="CG11" s="3656"/>
      <c r="CH11" s="3656"/>
      <c r="CI11" s="3555"/>
      <c r="CJ11" s="3555"/>
      <c r="CK11" s="3555"/>
      <c r="CL11" s="3555"/>
      <c r="CM11" s="3555"/>
      <c r="CN11" s="3555"/>
      <c r="CO11" s="3555"/>
      <c r="CP11" s="3555"/>
      <c r="CQ11" s="3555"/>
      <c r="CR11" s="3555"/>
      <c r="CS11" s="3555"/>
      <c r="CT11" s="3555"/>
      <c r="CU11" s="3555"/>
      <c r="CV11" s="3555"/>
      <c r="CW11" s="3555"/>
      <c r="CX11" s="3555"/>
      <c r="CY11" s="3555"/>
      <c r="CZ11" s="3555"/>
      <c r="DA11" s="3555"/>
      <c r="DB11" s="3555"/>
      <c r="DC11" s="3555"/>
      <c r="DD11" s="3555"/>
      <c r="DE11" s="3555"/>
      <c r="DF11" s="3555"/>
      <c r="DG11" s="3555"/>
      <c r="DH11" s="3555"/>
      <c r="DI11" s="3555"/>
      <c r="DJ11" s="3555"/>
      <c r="DK11" s="3555"/>
      <c r="DL11" s="3555"/>
      <c r="DM11" s="3555"/>
      <c r="DN11" s="3555"/>
      <c r="DO11" s="3555"/>
      <c r="DP11" s="3555"/>
      <c r="DQ11" s="3555"/>
      <c r="DR11" s="3555"/>
      <c r="DS11" s="3555"/>
    </row>
    <row r="12" spans="1:134" s="2274" customFormat="1" ht="28.5" customHeight="1">
      <c r="A12" s="3558"/>
      <c r="B12" s="4756"/>
      <c r="C12" s="4756"/>
      <c r="D12" s="4756"/>
      <c r="E12" s="4756"/>
      <c r="F12" s="4756"/>
      <c r="N12" s="3656"/>
      <c r="O12" s="3656"/>
      <c r="P12" s="3656"/>
      <c r="Q12" s="3656"/>
      <c r="AK12" s="3656"/>
      <c r="AL12" s="3656"/>
      <c r="AM12" s="3656"/>
      <c r="AN12" s="3656"/>
      <c r="AO12" s="3656"/>
      <c r="AP12" s="3656"/>
      <c r="AQ12" s="3656"/>
      <c r="AR12" s="3656"/>
      <c r="AS12" s="3656"/>
      <c r="AT12" s="3656"/>
      <c r="AU12" s="3656"/>
      <c r="AV12" s="3656"/>
      <c r="AW12" s="3656"/>
      <c r="AX12" s="3656"/>
      <c r="AY12" s="3656"/>
      <c r="AZ12" s="3656"/>
      <c r="BA12" s="3656"/>
      <c r="BB12" s="3656"/>
      <c r="BC12" s="3656"/>
      <c r="BD12" s="3656"/>
      <c r="BE12" s="3656"/>
      <c r="BF12" s="3656"/>
      <c r="BG12" s="3656"/>
      <c r="BH12" s="3656"/>
      <c r="BI12" s="3656"/>
      <c r="BJ12" s="3656"/>
      <c r="BK12" s="3656"/>
      <c r="BL12" s="3656"/>
      <c r="BM12" s="3656"/>
      <c r="BN12" s="3656"/>
      <c r="BO12" s="3656"/>
      <c r="BP12" s="3656"/>
      <c r="BQ12" s="3656"/>
      <c r="BR12" s="3656"/>
      <c r="BS12" s="3656"/>
      <c r="BT12" s="3656"/>
      <c r="BU12" s="3656"/>
      <c r="BV12" s="3656"/>
      <c r="BW12" s="3656"/>
      <c r="BX12" s="3656"/>
      <c r="BY12" s="3656"/>
      <c r="BZ12" s="3656"/>
      <c r="CA12" s="3656"/>
      <c r="CB12" s="3656"/>
      <c r="CC12" s="3656"/>
      <c r="CD12" s="3656"/>
      <c r="CE12" s="3656"/>
      <c r="CF12" s="3656"/>
      <c r="CG12" s="3656"/>
      <c r="CH12" s="3656"/>
      <c r="CI12" s="3656"/>
      <c r="CJ12" s="3656"/>
      <c r="CK12" s="3656"/>
      <c r="CL12" s="3656"/>
      <c r="CM12" s="3656"/>
      <c r="CN12" s="3656"/>
      <c r="CO12" s="3656"/>
      <c r="CP12" s="3656"/>
      <c r="CQ12" s="3656"/>
      <c r="CR12" s="3656"/>
      <c r="CS12" s="3656"/>
      <c r="CT12" s="3656"/>
      <c r="CU12" s="3656"/>
      <c r="CV12" s="3656"/>
      <c r="CW12" s="3656"/>
      <c r="CX12" s="3656"/>
      <c r="CY12" s="3656"/>
      <c r="CZ12" s="3656"/>
      <c r="DA12" s="3656"/>
      <c r="DB12" s="3656"/>
      <c r="DC12" s="3656"/>
      <c r="DD12" s="3656"/>
    </row>
    <row r="13" spans="1:134">
      <c r="A13" s="3558"/>
      <c r="DE13" s="2274"/>
      <c r="DF13" s="2274"/>
      <c r="DG13" s="2274"/>
      <c r="DH13" s="2274"/>
      <c r="DI13" s="2274"/>
      <c r="DJ13" s="2274"/>
      <c r="DK13" s="2274"/>
      <c r="DL13" s="2274"/>
      <c r="DM13" s="2274"/>
      <c r="DN13" s="2274"/>
      <c r="DO13" s="2274"/>
      <c r="DP13" s="2274"/>
      <c r="DQ13" s="2274"/>
      <c r="DR13" s="2274"/>
      <c r="DS13" s="2274"/>
      <c r="DT13" s="2274"/>
      <c r="DU13" s="2274"/>
      <c r="DV13" s="2274"/>
      <c r="DW13" s="2274"/>
      <c r="DX13" s="2274"/>
      <c r="DY13" s="2274"/>
      <c r="DZ13" s="2274"/>
      <c r="EA13" s="2274"/>
      <c r="EB13" s="2274"/>
      <c r="EC13" s="2274"/>
      <c r="ED13" s="2274"/>
    </row>
    <row r="14" spans="1:134" s="3555" customFormat="1" ht="12.75" customHeight="1" thickBot="1">
      <c r="A14" s="3558"/>
      <c r="B14" s="3656"/>
      <c r="C14" s="3656"/>
      <c r="D14" s="3656"/>
      <c r="E14" s="3656"/>
      <c r="F14" s="3656"/>
      <c r="G14" s="3656"/>
      <c r="H14" s="3656"/>
      <c r="I14" s="3656"/>
      <c r="J14" s="3656"/>
      <c r="K14" s="3656"/>
      <c r="L14" s="3656"/>
      <c r="M14" s="3656"/>
      <c r="N14" s="3656"/>
      <c r="O14" s="3656"/>
      <c r="P14" s="3656"/>
      <c r="Q14" s="3656"/>
      <c r="R14" s="2274"/>
      <c r="S14" s="2274"/>
      <c r="T14" s="2274"/>
      <c r="U14" s="2274"/>
      <c r="V14" s="2274"/>
      <c r="W14" s="2274"/>
      <c r="X14" s="2274"/>
      <c r="Y14" s="2274"/>
      <c r="Z14" s="2274"/>
      <c r="AA14" s="2274"/>
      <c r="AB14" s="2274"/>
      <c r="AC14" s="2274"/>
      <c r="AD14" s="2274"/>
      <c r="AE14" s="2274"/>
      <c r="AF14" s="2274"/>
      <c r="AG14" s="2274"/>
      <c r="AH14" s="2274"/>
      <c r="AI14" s="2274"/>
      <c r="AJ14" s="2274"/>
      <c r="AK14" s="3656"/>
      <c r="AL14" s="3656"/>
      <c r="AM14" s="3656"/>
      <c r="AN14" s="3656"/>
      <c r="AO14" s="3656"/>
      <c r="AP14" s="3656"/>
      <c r="AQ14" s="3656"/>
      <c r="AR14" s="3656"/>
      <c r="AS14" s="3656"/>
      <c r="AT14" s="3656"/>
      <c r="AU14" s="3656"/>
      <c r="AV14" s="3656"/>
      <c r="AW14" s="3656"/>
      <c r="AX14" s="3656"/>
      <c r="AY14" s="3656"/>
      <c r="AZ14" s="3656"/>
      <c r="BA14" s="3656"/>
      <c r="BB14" s="3656"/>
      <c r="BC14" s="3656"/>
      <c r="BD14" s="3656"/>
      <c r="BE14" s="3656"/>
      <c r="BF14" s="3656"/>
      <c r="BG14" s="3656"/>
      <c r="BH14" s="3656"/>
      <c r="BI14" s="3656"/>
      <c r="BJ14" s="3656"/>
      <c r="BK14" s="3656"/>
      <c r="BL14" s="3656"/>
      <c r="BM14" s="3656"/>
      <c r="BN14" s="3656"/>
      <c r="BO14" s="3656"/>
      <c r="BP14" s="3656"/>
      <c r="BQ14" s="3656"/>
      <c r="BR14" s="3656"/>
      <c r="BS14" s="3656"/>
      <c r="BT14" s="3656"/>
      <c r="BU14" s="3656"/>
      <c r="BV14" s="3656"/>
      <c r="BW14" s="3656"/>
      <c r="BX14" s="3656"/>
      <c r="BY14" s="3656"/>
      <c r="BZ14" s="3656"/>
      <c r="CA14" s="3656"/>
      <c r="CB14" s="3656"/>
      <c r="CC14" s="3656"/>
      <c r="CD14" s="3656"/>
      <c r="CE14" s="3656"/>
      <c r="CF14" s="3656"/>
      <c r="CG14" s="3656"/>
      <c r="CH14" s="3656"/>
      <c r="CI14" s="3656"/>
      <c r="CJ14" s="3656"/>
      <c r="CK14" s="3656"/>
      <c r="CL14" s="3656"/>
      <c r="CM14" s="3656"/>
      <c r="CN14" s="3656"/>
      <c r="CO14" s="3656"/>
      <c r="CP14" s="3656"/>
      <c r="CQ14" s="3656"/>
      <c r="CR14" s="3656"/>
      <c r="CS14" s="3656"/>
      <c r="CT14" s="3656"/>
      <c r="CU14" s="3656"/>
      <c r="CV14" s="3656"/>
      <c r="CW14" s="3656"/>
      <c r="CX14" s="3656"/>
      <c r="CY14" s="3656"/>
      <c r="CZ14" s="3656"/>
      <c r="DA14" s="3656"/>
      <c r="DB14" s="3656"/>
      <c r="DC14" s="3656"/>
      <c r="DD14" s="3656"/>
      <c r="DE14" s="2274"/>
      <c r="DF14" s="2274"/>
      <c r="DG14" s="2274"/>
      <c r="DH14" s="2274"/>
      <c r="DI14" s="2274"/>
      <c r="DJ14" s="2274"/>
      <c r="DK14" s="2274"/>
      <c r="DL14" s="2274"/>
      <c r="DM14" s="2274"/>
      <c r="DN14" s="2274"/>
      <c r="DO14" s="2274"/>
      <c r="DP14" s="2274"/>
      <c r="DQ14" s="2274"/>
      <c r="DR14" s="2274"/>
      <c r="DS14" s="2274"/>
      <c r="DT14" s="2274"/>
      <c r="DU14" s="2274"/>
      <c r="DV14" s="2274"/>
      <c r="DW14" s="2274"/>
      <c r="DX14" s="2274"/>
      <c r="DY14" s="2274"/>
      <c r="DZ14" s="2274"/>
      <c r="EA14" s="2274"/>
      <c r="EB14" s="2274"/>
      <c r="EC14" s="2274"/>
      <c r="ED14" s="2274"/>
    </row>
    <row r="15" spans="1:134" s="3555" customFormat="1" ht="12.75" customHeight="1" thickBot="1">
      <c r="A15" s="3558"/>
      <c r="B15" s="3545" t="s">
        <v>553</v>
      </c>
      <c r="C15" s="3545"/>
      <c r="D15" s="3657"/>
      <c r="E15" s="3657"/>
      <c r="F15" s="3657"/>
      <c r="G15" s="3657"/>
      <c r="H15" s="3657"/>
      <c r="I15" s="3657"/>
      <c r="J15" s="3657"/>
      <c r="K15" s="3658"/>
      <c r="L15" s="3658"/>
      <c r="M15" s="3658"/>
      <c r="N15" s="3658"/>
      <c r="O15" s="3658"/>
      <c r="P15" s="3658"/>
      <c r="Q15" s="3658"/>
      <c r="R15" s="3658"/>
      <c r="S15" s="2274"/>
      <c r="T15" s="2274"/>
      <c r="U15" s="2274"/>
      <c r="V15" s="2274"/>
      <c r="W15" s="2274"/>
      <c r="X15" s="2274"/>
      <c r="Y15" s="2274"/>
      <c r="Z15" s="2274"/>
      <c r="AA15" s="2274"/>
      <c r="AB15" s="2274"/>
      <c r="AC15" s="2274"/>
      <c r="AD15" s="2274"/>
      <c r="AE15" s="2274"/>
      <c r="AF15" s="2274"/>
      <c r="AG15" s="2274"/>
      <c r="AH15" s="2274"/>
      <c r="AI15" s="2274"/>
      <c r="AJ15" s="2274"/>
      <c r="AK15" s="3656"/>
      <c r="AL15" s="3656"/>
      <c r="AM15" s="3656"/>
      <c r="AN15" s="3656"/>
      <c r="AO15" s="3656"/>
      <c r="AP15" s="3656"/>
      <c r="AQ15" s="3656"/>
      <c r="AR15" s="3656"/>
      <c r="AS15" s="3656"/>
      <c r="AT15" s="3656"/>
      <c r="AU15" s="3656"/>
      <c r="AV15" s="3656"/>
      <c r="AW15" s="3656"/>
      <c r="AX15" s="3656"/>
      <c r="AY15" s="3656"/>
      <c r="AZ15" s="3656"/>
      <c r="BA15" s="3656"/>
      <c r="BB15" s="3656"/>
      <c r="BC15" s="3656"/>
      <c r="BD15" s="3656"/>
      <c r="BE15" s="3656"/>
      <c r="BF15" s="3656"/>
      <c r="BG15" s="3656"/>
      <c r="BH15" s="3656"/>
      <c r="BI15" s="3656"/>
      <c r="BJ15" s="3656"/>
      <c r="BK15" s="3656"/>
      <c r="BL15" s="3656"/>
      <c r="BM15" s="3656"/>
      <c r="BN15" s="3656"/>
      <c r="BO15" s="3656"/>
      <c r="BP15" s="3656"/>
      <c r="BQ15" s="3656"/>
      <c r="BR15" s="3656"/>
      <c r="BS15" s="3656"/>
      <c r="BT15" s="3656"/>
      <c r="BU15" s="3656"/>
      <c r="BV15" s="3656"/>
      <c r="BW15" s="3656"/>
      <c r="BX15" s="3656"/>
      <c r="BY15" s="3656"/>
      <c r="BZ15" s="3656"/>
      <c r="CA15" s="3656"/>
      <c r="CB15" s="3656"/>
      <c r="CC15" s="3656"/>
      <c r="CD15" s="3656"/>
      <c r="CE15" s="3656"/>
      <c r="CF15" s="3656"/>
      <c r="CG15" s="3656"/>
      <c r="CH15" s="3656"/>
      <c r="CI15" s="3656"/>
      <c r="CJ15" s="3656"/>
      <c r="CK15" s="3656"/>
      <c r="CL15" s="3656"/>
      <c r="CM15" s="3656"/>
      <c r="CN15" s="3656"/>
      <c r="CO15" s="3656"/>
      <c r="CP15" s="3656"/>
      <c r="CQ15" s="3656"/>
      <c r="CR15" s="3656"/>
      <c r="CS15" s="3656"/>
      <c r="CT15" s="3656"/>
      <c r="CU15" s="3656"/>
      <c r="CV15" s="3656"/>
      <c r="CW15" s="3656"/>
      <c r="CX15" s="3656"/>
      <c r="CY15" s="3656"/>
      <c r="CZ15" s="3656"/>
      <c r="DA15" s="3656"/>
      <c r="DB15" s="3656"/>
      <c r="DC15" s="3656"/>
      <c r="DD15" s="3656"/>
      <c r="DE15" s="2274"/>
      <c r="DF15" s="2274"/>
      <c r="DG15" s="2274"/>
      <c r="DH15" s="2274"/>
      <c r="DI15" s="2274"/>
      <c r="DJ15" s="2274"/>
      <c r="DK15" s="2274"/>
      <c r="DL15" s="2274"/>
      <c r="DM15" s="2274"/>
      <c r="DN15" s="2274"/>
      <c r="DO15" s="2274"/>
      <c r="DP15" s="2274"/>
      <c r="DQ15" s="2274"/>
      <c r="DR15" s="2274"/>
      <c r="DS15" s="2274"/>
      <c r="DT15" s="2274"/>
      <c r="DU15" s="2274"/>
      <c r="DV15" s="2274"/>
      <c r="DW15" s="2274"/>
      <c r="DX15" s="2274"/>
      <c r="DY15" s="2274"/>
      <c r="DZ15" s="2274"/>
      <c r="EA15" s="2274"/>
      <c r="EB15" s="2274"/>
      <c r="EC15" s="2274"/>
      <c r="ED15" s="2274"/>
    </row>
    <row r="16" spans="1:134">
      <c r="B16" s="4778"/>
      <c r="C16" s="4779"/>
      <c r="D16" s="4763" t="s">
        <v>36</v>
      </c>
      <c r="E16" s="4764"/>
      <c r="F16" s="4764"/>
      <c r="G16" s="4764"/>
      <c r="H16" s="4764"/>
      <c r="I16" s="4765" t="s">
        <v>37</v>
      </c>
      <c r="J16" s="4766"/>
      <c r="K16" s="4766"/>
      <c r="L16" s="4766"/>
      <c r="M16" s="4766"/>
      <c r="N16" s="4767" t="s">
        <v>75</v>
      </c>
      <c r="O16" s="4767"/>
      <c r="P16" s="4767"/>
      <c r="Q16" s="4767"/>
      <c r="R16" s="4768"/>
    </row>
    <row r="17" spans="2:18">
      <c r="B17" s="4780"/>
      <c r="C17" s="4781"/>
      <c r="D17" s="4769" t="s">
        <v>706</v>
      </c>
      <c r="E17" s="4770"/>
      <c r="F17" s="4770"/>
      <c r="G17" s="4770"/>
      <c r="H17" s="4770"/>
      <c r="I17" s="4770"/>
      <c r="J17" s="4770"/>
      <c r="K17" s="4770"/>
      <c r="L17" s="4770"/>
      <c r="M17" s="4770"/>
      <c r="N17" s="4770"/>
      <c r="O17" s="4770"/>
      <c r="P17" s="4770"/>
      <c r="Q17" s="4770"/>
      <c r="R17" s="4771"/>
    </row>
    <row r="18" spans="2:18">
      <c r="B18" s="4780"/>
      <c r="C18" s="4781"/>
      <c r="D18" s="4769" t="s">
        <v>56</v>
      </c>
      <c r="E18" s="4770"/>
      <c r="F18" s="4770"/>
      <c r="G18" s="4770"/>
      <c r="H18" s="4770"/>
      <c r="I18" s="4770"/>
      <c r="J18" s="4770"/>
      <c r="K18" s="4770"/>
      <c r="L18" s="4772" t="s">
        <v>57</v>
      </c>
      <c r="M18" s="4773"/>
      <c r="N18" s="4773"/>
      <c r="O18" s="4773"/>
      <c r="P18" s="4773"/>
      <c r="Q18" s="4773"/>
      <c r="R18" s="4774"/>
    </row>
    <row r="19" spans="2:18" ht="13.5" thickBot="1">
      <c r="B19" s="4782"/>
      <c r="C19" s="4783"/>
      <c r="D19" s="3659">
        <f t="array" ref="D19:H19">PRCP</f>
        <v>2008</v>
      </c>
      <c r="E19" s="3660">
        <v>2009</v>
      </c>
      <c r="F19" s="3660">
        <v>2010</v>
      </c>
      <c r="G19" s="3660">
        <v>2011</v>
      </c>
      <c r="H19" s="3660">
        <v>2012</v>
      </c>
      <c r="I19" s="3661">
        <f>CRCP_y1</f>
        <v>2013</v>
      </c>
      <c r="J19" s="3661">
        <f>CRCP_y2</f>
        <v>2014</v>
      </c>
      <c r="K19" s="3661">
        <f>CRCP_y3</f>
        <v>2015</v>
      </c>
      <c r="L19" s="3661">
        <f>CRCP_y4</f>
        <v>2016</v>
      </c>
      <c r="M19" s="3661">
        <f>CRCP_y5</f>
        <v>2017</v>
      </c>
      <c r="N19" s="3660" t="str">
        <f t="array" ref="N19:R19">FRCP</f>
        <v>2018</v>
      </c>
      <c r="O19" s="3660">
        <v>2019</v>
      </c>
      <c r="P19" s="3660">
        <v>2020</v>
      </c>
      <c r="Q19" s="3660">
        <v>2021</v>
      </c>
      <c r="R19" s="3662">
        <v>2022</v>
      </c>
    </row>
    <row r="20" spans="2:18" ht="13.5" thickBot="1">
      <c r="B20" s="3663"/>
      <c r="C20" s="3664"/>
      <c r="D20" s="3665"/>
      <c r="E20" s="3665"/>
      <c r="F20" s="3665"/>
      <c r="G20" s="3665"/>
      <c r="H20" s="3665"/>
      <c r="I20" s="3666"/>
      <c r="J20" s="3666"/>
      <c r="K20" s="3666"/>
      <c r="L20" s="3666"/>
      <c r="M20" s="3666"/>
      <c r="N20" s="3665"/>
      <c r="O20" s="3665"/>
      <c r="P20" s="3665"/>
      <c r="Q20" s="3665"/>
      <c r="R20" s="3665"/>
    </row>
    <row r="21" spans="2:18" ht="15.75" thickBot="1">
      <c r="B21" s="3207" t="s">
        <v>554</v>
      </c>
      <c r="C21" s="3667"/>
      <c r="D21" s="3668"/>
      <c r="E21" s="3668"/>
      <c r="F21" s="3668"/>
      <c r="G21" s="3668"/>
      <c r="H21" s="3668"/>
      <c r="I21" s="3669"/>
      <c r="J21" s="3669"/>
      <c r="K21" s="3669"/>
      <c r="L21" s="3669"/>
      <c r="M21" s="3669"/>
      <c r="N21" s="3668"/>
      <c r="O21" s="3668"/>
      <c r="P21" s="3668"/>
      <c r="Q21" s="3668"/>
      <c r="R21" s="3670"/>
    </row>
    <row r="22" spans="2:18" ht="15.75" thickBot="1">
      <c r="B22" s="3671" t="s">
        <v>1631</v>
      </c>
      <c r="C22" s="3672"/>
      <c r="D22" s="3672"/>
      <c r="E22" s="3672"/>
      <c r="F22" s="3672"/>
      <c r="G22" s="3672"/>
      <c r="H22" s="3672"/>
      <c r="I22" s="3672"/>
      <c r="J22" s="3672"/>
      <c r="K22" s="3672"/>
      <c r="L22" s="3672"/>
      <c r="M22" s="3672"/>
      <c r="N22" s="3672"/>
      <c r="O22" s="3672"/>
      <c r="P22" s="3672"/>
      <c r="Q22" s="3672"/>
      <c r="R22" s="3673"/>
    </row>
    <row r="23" spans="2:18" ht="15.75" thickBot="1">
      <c r="B23" s="3674" t="s">
        <v>1632</v>
      </c>
      <c r="C23" s="3675"/>
      <c r="D23" s="3675"/>
      <c r="E23" s="3675"/>
      <c r="F23" s="3675"/>
      <c r="G23" s="3675"/>
      <c r="H23" s="3675"/>
      <c r="I23" s="3675"/>
      <c r="J23" s="3675"/>
      <c r="K23" s="3675"/>
      <c r="L23" s="3675"/>
      <c r="M23" s="3675"/>
      <c r="N23" s="3675"/>
      <c r="O23" s="3675"/>
      <c r="P23" s="3675"/>
      <c r="Q23" s="3675"/>
      <c r="R23" s="3676"/>
    </row>
    <row r="24" spans="2:18" ht="15.75" thickBot="1">
      <c r="B24" s="3677" t="str">
        <f>CONCATENATE("Table 27.4.1"," - ", B23)</f>
        <v>Table 27.4.1 - Tariff V SG</v>
      </c>
      <c r="C24" s="3675"/>
      <c r="D24" s="3675"/>
      <c r="E24" s="3675"/>
      <c r="F24" s="3675"/>
      <c r="G24" s="3675"/>
      <c r="H24" s="3675"/>
      <c r="I24" s="3675"/>
      <c r="J24" s="3675"/>
      <c r="K24" s="3675"/>
      <c r="L24" s="3675"/>
      <c r="M24" s="3675"/>
      <c r="N24" s="3675"/>
      <c r="O24" s="3675"/>
      <c r="P24" s="3675"/>
      <c r="Q24" s="3675"/>
      <c r="R24" s="3676"/>
    </row>
    <row r="25" spans="2:18" ht="15.75" thickBot="1">
      <c r="B25" s="3678" t="str">
        <f>CONCATENATE("Residential customers"," : ", B23)</f>
        <v>Residential customers : Tariff V SG</v>
      </c>
      <c r="C25" s="3679"/>
      <c r="D25" s="3679"/>
      <c r="E25" s="3679"/>
      <c r="F25" s="3679"/>
      <c r="G25" s="3679"/>
      <c r="H25" s="3679"/>
      <c r="I25" s="3679"/>
      <c r="J25" s="3679"/>
      <c r="K25" s="3679"/>
      <c r="L25" s="3679"/>
      <c r="M25" s="3679"/>
      <c r="N25" s="3679"/>
      <c r="O25" s="3679"/>
      <c r="P25" s="3679"/>
      <c r="Q25" s="3679"/>
      <c r="R25" s="3680"/>
    </row>
    <row r="26" spans="2:18">
      <c r="B26" s="4753" t="s">
        <v>746</v>
      </c>
      <c r="C26" s="3642" t="s">
        <v>744</v>
      </c>
      <c r="D26" s="1602">
        <f>'[19]26a - Gas Extensions SG'!$C$31</f>
        <v>0</v>
      </c>
      <c r="E26" s="480">
        <f>D27</f>
        <v>0</v>
      </c>
      <c r="F26" s="480">
        <f>E27</f>
        <v>1021</v>
      </c>
      <c r="G26" s="480">
        <f>F27</f>
        <v>1980</v>
      </c>
      <c r="H26" s="480">
        <f>G27</f>
        <v>2590</v>
      </c>
      <c r="I26" s="1602">
        <v>2932</v>
      </c>
      <c r="J26" s="480">
        <f>I27</f>
        <v>2903</v>
      </c>
      <c r="K26" s="480">
        <f>J27</f>
        <v>3204</v>
      </c>
      <c r="L26" s="480">
        <f>K27</f>
        <v>3608</v>
      </c>
      <c r="M26" s="480">
        <f>L27</f>
        <v>3936.5066684773337</v>
      </c>
      <c r="N26" s="1602">
        <v>4128</v>
      </c>
      <c r="O26" s="480">
        <f>N27</f>
        <v>4416.5523458476509</v>
      </c>
      <c r="P26" s="480">
        <f>O27</f>
        <v>4723.216240904032</v>
      </c>
      <c r="Q26" s="480">
        <f>P27</f>
        <v>5017.8801359604122</v>
      </c>
      <c r="R26" s="480">
        <f>Q27</f>
        <v>5325.3440310167925</v>
      </c>
    </row>
    <row r="27" spans="2:18">
      <c r="B27" s="4754"/>
      <c r="C27" s="3681" t="s">
        <v>745</v>
      </c>
      <c r="D27" s="499">
        <f>'[19]26a - Gas Extensions SG'!C32</f>
        <v>0</v>
      </c>
      <c r="E27" s="499">
        <f>'[19]26a - Gas Extensions SG'!D32</f>
        <v>1021</v>
      </c>
      <c r="F27" s="499">
        <f>'[19]26a - Gas Extensions SG'!E32</f>
        <v>1980</v>
      </c>
      <c r="G27" s="499">
        <f>[20]Sheet1!CT44</f>
        <v>2590</v>
      </c>
      <c r="H27" s="499">
        <f>[20]Sheet1!CU44</f>
        <v>2932</v>
      </c>
      <c r="I27" s="499">
        <f>[20]Sheet1!CV44</f>
        <v>2903</v>
      </c>
      <c r="J27" s="499">
        <f>[20]Sheet1!CW44</f>
        <v>3204</v>
      </c>
      <c r="K27" s="499">
        <f>[20]Sheet1!CX44</f>
        <v>3608</v>
      </c>
      <c r="L27" s="499">
        <f>[20]Sheet1!CY44</f>
        <v>3936.5066684773337</v>
      </c>
      <c r="M27" s="1603">
        <f>'[21]PTRM input'!F341</f>
        <v>4127.6904576664265</v>
      </c>
      <c r="N27" s="1603">
        <f>'[21]PTRM input'!G341</f>
        <v>4416.5523458476509</v>
      </c>
      <c r="O27" s="1603">
        <f>'[21]PTRM input'!H341</f>
        <v>4723.216240904032</v>
      </c>
      <c r="P27" s="1603">
        <f>'[21]PTRM input'!I341</f>
        <v>5017.8801359604122</v>
      </c>
      <c r="Q27" s="1603">
        <f>'[21]PTRM input'!J341</f>
        <v>5325.3440310167925</v>
      </c>
      <c r="R27" s="1603">
        <f>'[21]PTRM input'!K341</f>
        <v>5651.2079260731734</v>
      </c>
    </row>
    <row r="28" spans="2:18">
      <c r="B28" s="4754"/>
      <c r="C28" s="3681" t="s">
        <v>70</v>
      </c>
      <c r="D28" s="384">
        <f t="shared" ref="D28:R28" si="0">IF(ISERROR(AVERAGE(D26:D27)),0,AVERAGE(D26:D27))</f>
        <v>0</v>
      </c>
      <c r="E28" s="384">
        <f t="shared" si="0"/>
        <v>510.5</v>
      </c>
      <c r="F28" s="384">
        <f t="shared" si="0"/>
        <v>1500.5</v>
      </c>
      <c r="G28" s="384">
        <f t="shared" si="0"/>
        <v>2285</v>
      </c>
      <c r="H28" s="384">
        <f t="shared" si="0"/>
        <v>2761</v>
      </c>
      <c r="I28" s="384">
        <f t="shared" si="0"/>
        <v>2917.5</v>
      </c>
      <c r="J28" s="384">
        <f t="shared" si="0"/>
        <v>3053.5</v>
      </c>
      <c r="K28" s="384">
        <f t="shared" si="0"/>
        <v>3406</v>
      </c>
      <c r="L28" s="384">
        <f t="shared" si="0"/>
        <v>3772.2533342386669</v>
      </c>
      <c r="M28" s="384">
        <f t="shared" si="0"/>
        <v>4032.0985630718801</v>
      </c>
      <c r="N28" s="384">
        <f t="shared" si="0"/>
        <v>4272.2761729238255</v>
      </c>
      <c r="O28" s="384">
        <f t="shared" si="0"/>
        <v>4569.8842933758415</v>
      </c>
      <c r="P28" s="384">
        <f t="shared" si="0"/>
        <v>4870.5481884322217</v>
      </c>
      <c r="Q28" s="384">
        <f t="shared" si="0"/>
        <v>5171.6120834886024</v>
      </c>
      <c r="R28" s="384">
        <f t="shared" si="0"/>
        <v>5488.2759785449834</v>
      </c>
    </row>
    <row r="29" spans="2:18">
      <c r="B29" s="4754"/>
      <c r="C29" s="3681" t="s">
        <v>71</v>
      </c>
      <c r="D29" s="499"/>
      <c r="E29" s="494"/>
      <c r="F29" s="494"/>
      <c r="G29" s="494"/>
      <c r="H29" s="1603"/>
      <c r="I29" s="499"/>
      <c r="J29" s="494"/>
      <c r="K29" s="494"/>
      <c r="L29" s="494"/>
      <c r="M29" s="1603"/>
      <c r="N29" s="499"/>
      <c r="O29" s="494"/>
      <c r="P29" s="494"/>
      <c r="Q29" s="494"/>
      <c r="R29" s="1603"/>
    </row>
    <row r="30" spans="2:18" ht="13.5" thickBot="1">
      <c r="B30" s="4755"/>
      <c r="C30" s="3682" t="s">
        <v>60</v>
      </c>
      <c r="D30" s="1604"/>
      <c r="E30" s="1605"/>
      <c r="F30" s="1605"/>
      <c r="G30" s="1605"/>
      <c r="H30" s="1606"/>
      <c r="I30" s="1604"/>
      <c r="J30" s="1605"/>
      <c r="K30" s="1605"/>
      <c r="L30" s="1605"/>
      <c r="M30" s="1606"/>
      <c r="N30" s="1604"/>
      <c r="O30" s="1605"/>
      <c r="P30" s="1605"/>
      <c r="Q30" s="1605"/>
      <c r="R30" s="1606"/>
    </row>
    <row r="31" spans="2:18" ht="15.75" thickBot="1">
      <c r="B31" s="3677" t="str">
        <f>CONCATENATE("Commercial/industrial customers"," : ",B23)</f>
        <v>Commercial/industrial customers : Tariff V SG</v>
      </c>
      <c r="C31" s="3672"/>
      <c r="D31" s="3672"/>
      <c r="E31" s="3672"/>
      <c r="F31" s="3672"/>
      <c r="G31" s="3672"/>
      <c r="H31" s="3672"/>
      <c r="I31" s="3672"/>
      <c r="J31" s="3672"/>
      <c r="K31" s="3672"/>
      <c r="L31" s="3672"/>
      <c r="M31" s="3672"/>
      <c r="N31" s="3672"/>
      <c r="O31" s="3672"/>
      <c r="P31" s="3672"/>
      <c r="Q31" s="3672"/>
      <c r="R31" s="3673"/>
    </row>
    <row r="32" spans="2:18">
      <c r="B32" s="4753" t="s">
        <v>747</v>
      </c>
      <c r="C32" s="3642" t="s">
        <v>744</v>
      </c>
      <c r="D32" s="1602">
        <f>'[19]26a - Gas Extensions SG'!$C$38</f>
        <v>0</v>
      </c>
      <c r="E32" s="480">
        <f>D33</f>
        <v>0</v>
      </c>
      <c r="F32" s="480">
        <f>E33</f>
        <v>22</v>
      </c>
      <c r="G32" s="480">
        <f>F33</f>
        <v>62</v>
      </c>
      <c r="H32" s="480">
        <f>G33</f>
        <v>78</v>
      </c>
      <c r="I32" s="1602">
        <v>83</v>
      </c>
      <c r="J32" s="480">
        <f>I33</f>
        <v>83</v>
      </c>
      <c r="K32" s="480">
        <f>J33</f>
        <v>84</v>
      </c>
      <c r="L32" s="480">
        <f>K33</f>
        <v>87</v>
      </c>
      <c r="M32" s="480">
        <f>L33</f>
        <v>94</v>
      </c>
      <c r="N32" s="1602"/>
      <c r="O32" s="480">
        <f>N33</f>
        <v>102.33140379892158</v>
      </c>
      <c r="P32" s="480">
        <f>O33</f>
        <v>104.19781592756863</v>
      </c>
      <c r="Q32" s="480">
        <f>P33</f>
        <v>104.98516069489777</v>
      </c>
      <c r="R32" s="480">
        <f>Q33</f>
        <v>105.81614435501105</v>
      </c>
    </row>
    <row r="33" spans="2:18">
      <c r="B33" s="4754"/>
      <c r="C33" s="3681" t="s">
        <v>745</v>
      </c>
      <c r="D33" s="499">
        <f>'[19]26a - Gas Extensions SG'!C39</f>
        <v>0</v>
      </c>
      <c r="E33" s="499">
        <f>'[19]26a - Gas Extensions SG'!D39</f>
        <v>22</v>
      </c>
      <c r="F33" s="499">
        <f>'[19]26a - Gas Extensions SG'!E39</f>
        <v>62</v>
      </c>
      <c r="G33" s="499">
        <f>[20]Sheet1!CT48</f>
        <v>78</v>
      </c>
      <c r="H33" s="499">
        <f>[20]Sheet1!CU48</f>
        <v>83</v>
      </c>
      <c r="I33" s="499">
        <f>[20]Sheet1!CV48</f>
        <v>83</v>
      </c>
      <c r="J33" s="499">
        <f>[20]Sheet1!CW48</f>
        <v>84</v>
      </c>
      <c r="K33" s="499">
        <f>[20]Sheet1!CX48</f>
        <v>87</v>
      </c>
      <c r="L33" s="499">
        <f>[20]Sheet1!CY48</f>
        <v>94</v>
      </c>
      <c r="M33" s="1603">
        <f>'[21]PTRM input'!F348</f>
        <v>100.71701494758302</v>
      </c>
      <c r="N33" s="1603">
        <f>'[21]PTRM input'!G348</f>
        <v>102.33140379892158</v>
      </c>
      <c r="O33" s="1603">
        <f>'[21]PTRM input'!H348</f>
        <v>104.19781592756863</v>
      </c>
      <c r="P33" s="1603">
        <f>'[21]PTRM input'!I348</f>
        <v>104.98516069489777</v>
      </c>
      <c r="Q33" s="1603">
        <f>'[21]PTRM input'!J348</f>
        <v>105.81614435501105</v>
      </c>
      <c r="R33" s="1603">
        <f>'[21]PTRM input'!K348</f>
        <v>105.75689637965759</v>
      </c>
    </row>
    <row r="34" spans="2:18">
      <c r="B34" s="4754"/>
      <c r="C34" s="3681" t="s">
        <v>70</v>
      </c>
      <c r="D34" s="384">
        <f t="shared" ref="D34:R34" si="1">IF(ISERROR(AVERAGE(D32:D33)),0,AVERAGE(D32:D33))</f>
        <v>0</v>
      </c>
      <c r="E34" s="384">
        <f t="shared" si="1"/>
        <v>11</v>
      </c>
      <c r="F34" s="384">
        <f t="shared" si="1"/>
        <v>42</v>
      </c>
      <c r="G34" s="384">
        <f t="shared" si="1"/>
        <v>70</v>
      </c>
      <c r="H34" s="384">
        <f t="shared" si="1"/>
        <v>80.5</v>
      </c>
      <c r="I34" s="384">
        <f t="shared" si="1"/>
        <v>83</v>
      </c>
      <c r="J34" s="384">
        <f t="shared" si="1"/>
        <v>83.5</v>
      </c>
      <c r="K34" s="384">
        <f t="shared" si="1"/>
        <v>85.5</v>
      </c>
      <c r="L34" s="384">
        <f t="shared" si="1"/>
        <v>90.5</v>
      </c>
      <c r="M34" s="384">
        <f t="shared" si="1"/>
        <v>97.358507473791519</v>
      </c>
      <c r="N34" s="384">
        <f t="shared" si="1"/>
        <v>102.33140379892158</v>
      </c>
      <c r="O34" s="384">
        <f t="shared" si="1"/>
        <v>103.26460986324511</v>
      </c>
      <c r="P34" s="384">
        <f t="shared" si="1"/>
        <v>104.59148831123321</v>
      </c>
      <c r="Q34" s="384">
        <f t="shared" si="1"/>
        <v>105.40065252495441</v>
      </c>
      <c r="R34" s="384">
        <f t="shared" si="1"/>
        <v>105.78652036733432</v>
      </c>
    </row>
    <row r="35" spans="2:18">
      <c r="B35" s="4754"/>
      <c r="C35" s="3681" t="s">
        <v>71</v>
      </c>
      <c r="D35" s="499"/>
      <c r="E35" s="494"/>
      <c r="F35" s="494"/>
      <c r="G35" s="494"/>
      <c r="H35" s="1603"/>
      <c r="I35" s="499"/>
      <c r="J35" s="494"/>
      <c r="K35" s="494"/>
      <c r="L35" s="494"/>
      <c r="M35" s="1603"/>
      <c r="N35" s="499"/>
      <c r="O35" s="494"/>
      <c r="P35" s="494"/>
      <c r="Q35" s="494"/>
      <c r="R35" s="1603"/>
    </row>
    <row r="36" spans="2:18" ht="13.5" thickBot="1">
      <c r="B36" s="4755"/>
      <c r="C36" s="3682" t="s">
        <v>60</v>
      </c>
      <c r="D36" s="1604"/>
      <c r="E36" s="1605"/>
      <c r="F36" s="1605"/>
      <c r="G36" s="1605"/>
      <c r="H36" s="1606"/>
      <c r="I36" s="1604"/>
      <c r="J36" s="1605"/>
      <c r="K36" s="1605"/>
      <c r="L36" s="1605"/>
      <c r="M36" s="1606"/>
      <c r="N36" s="1604"/>
      <c r="O36" s="1605"/>
      <c r="P36" s="1605"/>
      <c r="Q36" s="1605"/>
      <c r="R36" s="1606"/>
    </row>
    <row r="37" spans="2:18" ht="13.5" thickBot="1">
      <c r="B37" s="3683"/>
      <c r="C37" s="3672"/>
      <c r="D37" s="3672"/>
      <c r="E37" s="3672"/>
      <c r="F37" s="3672"/>
      <c r="G37" s="3672"/>
      <c r="H37" s="3672"/>
      <c r="I37" s="3672"/>
      <c r="J37" s="3672"/>
      <c r="K37" s="3672"/>
      <c r="L37" s="3672"/>
      <c r="M37" s="3672"/>
      <c r="N37" s="3672"/>
      <c r="O37" s="3672"/>
      <c r="P37" s="3672"/>
      <c r="Q37" s="3672"/>
      <c r="R37" s="3673"/>
    </row>
    <row r="38" spans="2:18" ht="15.75" thickBot="1">
      <c r="B38" s="3674" t="s">
        <v>1633</v>
      </c>
      <c r="C38" s="3672"/>
      <c r="D38" s="3672"/>
      <c r="E38" s="3672"/>
      <c r="F38" s="3672"/>
      <c r="G38" s="3672"/>
      <c r="H38" s="3672"/>
      <c r="I38" s="3672"/>
      <c r="J38" s="3672"/>
      <c r="K38" s="3672"/>
      <c r="L38" s="3672"/>
      <c r="M38" s="3672"/>
      <c r="N38" s="3672"/>
      <c r="O38" s="3672"/>
      <c r="P38" s="3672"/>
      <c r="Q38" s="3672"/>
      <c r="R38" s="3673"/>
    </row>
    <row r="39" spans="2:18" ht="15.75" thickBot="1">
      <c r="B39" s="3677" t="str">
        <f>CONCATENATE("Table 27.4.2"," - ", B38)</f>
        <v>Table 27.4.2 - Tariff L SG</v>
      </c>
      <c r="C39" s="3672"/>
      <c r="D39" s="3672"/>
      <c r="E39" s="3672"/>
      <c r="F39" s="3672"/>
      <c r="G39" s="3672"/>
      <c r="H39" s="3672"/>
      <c r="I39" s="3672"/>
      <c r="J39" s="3672"/>
      <c r="K39" s="3672"/>
      <c r="L39" s="3672"/>
      <c r="M39" s="3672"/>
      <c r="N39" s="3672"/>
      <c r="O39" s="3672"/>
      <c r="P39" s="3672"/>
      <c r="Q39" s="3672"/>
      <c r="R39" s="3673"/>
    </row>
    <row r="40" spans="2:18" ht="15.75" thickBot="1">
      <c r="B40" s="3678" t="str">
        <f>CONCATENATE("Commercial/industrial customers"," : ",B38)</f>
        <v>Commercial/industrial customers : Tariff L SG</v>
      </c>
      <c r="C40" s="3679"/>
      <c r="D40" s="3679"/>
      <c r="E40" s="3679"/>
      <c r="F40" s="3679"/>
      <c r="G40" s="3679"/>
      <c r="H40" s="3679"/>
      <c r="I40" s="3679"/>
      <c r="J40" s="3679"/>
      <c r="K40" s="3679"/>
      <c r="L40" s="3679"/>
      <c r="M40" s="3679"/>
      <c r="N40" s="3679"/>
      <c r="O40" s="3679"/>
      <c r="P40" s="3679"/>
      <c r="Q40" s="3679"/>
      <c r="R40" s="3680"/>
    </row>
    <row r="41" spans="2:18">
      <c r="B41" s="4753" t="s">
        <v>747</v>
      </c>
      <c r="C41" s="3642" t="s">
        <v>744</v>
      </c>
      <c r="D41" s="1602"/>
      <c r="E41" s="480">
        <f>D42</f>
        <v>0</v>
      </c>
      <c r="F41" s="480">
        <f>E42</f>
        <v>0</v>
      </c>
      <c r="G41" s="480">
        <f>F42</f>
        <v>0</v>
      </c>
      <c r="H41" s="480">
        <f>G42</f>
        <v>0</v>
      </c>
      <c r="I41" s="1602"/>
      <c r="J41" s="480">
        <f>I42</f>
        <v>0</v>
      </c>
      <c r="K41" s="480">
        <f>J42</f>
        <v>0</v>
      </c>
      <c r="L41" s="480">
        <f>K42</f>
        <v>0</v>
      </c>
      <c r="M41" s="480">
        <f>L42</f>
        <v>0</v>
      </c>
      <c r="N41" s="1602"/>
      <c r="O41" s="480">
        <f>N42</f>
        <v>0</v>
      </c>
      <c r="P41" s="480">
        <f>O42</f>
        <v>0</v>
      </c>
      <c r="Q41" s="480">
        <f>P42</f>
        <v>0</v>
      </c>
      <c r="R41" s="480">
        <f>Q42</f>
        <v>0</v>
      </c>
    </row>
    <row r="42" spans="2:18">
      <c r="B42" s="4754"/>
      <c r="C42" s="3681" t="s">
        <v>745</v>
      </c>
      <c r="D42" s="499"/>
      <c r="E42" s="494"/>
      <c r="F42" s="494"/>
      <c r="G42" s="494"/>
      <c r="H42" s="1603"/>
      <c r="I42" s="499"/>
      <c r="J42" s="494"/>
      <c r="K42" s="494"/>
      <c r="L42" s="494"/>
      <c r="M42" s="1603"/>
      <c r="N42" s="499"/>
      <c r="O42" s="494"/>
      <c r="P42" s="494"/>
      <c r="Q42" s="494"/>
      <c r="R42" s="1603"/>
    </row>
    <row r="43" spans="2:18">
      <c r="B43" s="4754"/>
      <c r="C43" s="3681" t="s">
        <v>70</v>
      </c>
      <c r="D43" s="384">
        <f t="shared" ref="D43:R43" si="2">IF(ISERROR(AVERAGE(D41:D42)),0,AVERAGE(D41:D42))</f>
        <v>0</v>
      </c>
      <c r="E43" s="384">
        <f t="shared" si="2"/>
        <v>0</v>
      </c>
      <c r="F43" s="384">
        <f t="shared" si="2"/>
        <v>0</v>
      </c>
      <c r="G43" s="384">
        <f t="shared" si="2"/>
        <v>0</v>
      </c>
      <c r="H43" s="384">
        <f t="shared" si="2"/>
        <v>0</v>
      </c>
      <c r="I43" s="384">
        <f t="shared" si="2"/>
        <v>0</v>
      </c>
      <c r="J43" s="384">
        <f t="shared" si="2"/>
        <v>0</v>
      </c>
      <c r="K43" s="384">
        <f t="shared" si="2"/>
        <v>0</v>
      </c>
      <c r="L43" s="384">
        <f t="shared" si="2"/>
        <v>0</v>
      </c>
      <c r="M43" s="384">
        <f t="shared" si="2"/>
        <v>0</v>
      </c>
      <c r="N43" s="384">
        <f t="shared" si="2"/>
        <v>0</v>
      </c>
      <c r="O43" s="384">
        <f t="shared" si="2"/>
        <v>0</v>
      </c>
      <c r="P43" s="384">
        <f t="shared" si="2"/>
        <v>0</v>
      </c>
      <c r="Q43" s="384">
        <f t="shared" si="2"/>
        <v>0</v>
      </c>
      <c r="R43" s="384">
        <f t="shared" si="2"/>
        <v>0</v>
      </c>
    </row>
    <row r="44" spans="2:18">
      <c r="B44" s="4754"/>
      <c r="C44" s="3681" t="s">
        <v>71</v>
      </c>
      <c r="D44" s="499"/>
      <c r="E44" s="494"/>
      <c r="F44" s="494"/>
      <c r="G44" s="494"/>
      <c r="H44" s="1603"/>
      <c r="I44" s="499"/>
      <c r="J44" s="494"/>
      <c r="K44" s="494"/>
      <c r="L44" s="494"/>
      <c r="M44" s="1603"/>
      <c r="N44" s="499"/>
      <c r="O44" s="494"/>
      <c r="P44" s="494"/>
      <c r="Q44" s="494"/>
      <c r="R44" s="1603"/>
    </row>
    <row r="45" spans="2:18" ht="13.5" thickBot="1">
      <c r="B45" s="4755"/>
      <c r="C45" s="3682" t="s">
        <v>60</v>
      </c>
      <c r="D45" s="1604"/>
      <c r="E45" s="1605"/>
      <c r="F45" s="1605"/>
      <c r="G45" s="1605"/>
      <c r="H45" s="1606"/>
      <c r="I45" s="1604"/>
      <c r="J45" s="1605"/>
      <c r="K45" s="1605"/>
      <c r="L45" s="1605"/>
      <c r="M45" s="1606"/>
      <c r="N45" s="1604"/>
      <c r="O45" s="1605"/>
      <c r="P45" s="1605"/>
      <c r="Q45" s="1605"/>
      <c r="R45" s="1606"/>
    </row>
    <row r="46" spans="2:18" ht="13.5" thickBot="1">
      <c r="B46" s="3683"/>
      <c r="C46" s="3672"/>
      <c r="D46" s="3672"/>
      <c r="E46" s="3672"/>
      <c r="F46" s="3672"/>
      <c r="G46" s="3672"/>
      <c r="H46" s="3672"/>
      <c r="I46" s="3672"/>
      <c r="J46" s="3672"/>
      <c r="K46" s="3672"/>
      <c r="L46" s="3672"/>
      <c r="M46" s="3672"/>
      <c r="N46" s="3672"/>
      <c r="O46" s="3672"/>
      <c r="P46" s="3672"/>
      <c r="Q46" s="3672"/>
      <c r="R46" s="3673"/>
    </row>
    <row r="47" spans="2:18" ht="15.75" thickBot="1">
      <c r="B47" s="3674" t="s">
        <v>1634</v>
      </c>
      <c r="C47" s="3672"/>
      <c r="D47" s="3672"/>
      <c r="E47" s="3672"/>
      <c r="F47" s="3672"/>
      <c r="G47" s="3672"/>
      <c r="H47" s="3672"/>
      <c r="I47" s="3672"/>
      <c r="J47" s="3672"/>
      <c r="K47" s="3672"/>
      <c r="L47" s="3672"/>
      <c r="M47" s="3672"/>
      <c r="N47" s="3672"/>
      <c r="O47" s="3672"/>
      <c r="P47" s="3672"/>
      <c r="Q47" s="3672"/>
      <c r="R47" s="3673"/>
    </row>
    <row r="48" spans="2:18" ht="15.75" thickBot="1">
      <c r="B48" s="3677" t="str">
        <f>CONCATENATE("Table 27.4.3"," - ", B47)</f>
        <v>Table 27.4.3 - Tariff D SG</v>
      </c>
      <c r="C48" s="3672"/>
      <c r="D48" s="3672"/>
      <c r="E48" s="3672"/>
      <c r="F48" s="3672"/>
      <c r="G48" s="3672"/>
      <c r="H48" s="3672"/>
      <c r="I48" s="3672"/>
      <c r="J48" s="3672"/>
      <c r="K48" s="3672"/>
      <c r="L48" s="3672"/>
      <c r="M48" s="3672"/>
      <c r="N48" s="3672"/>
      <c r="O48" s="3672"/>
      <c r="P48" s="3672"/>
      <c r="Q48" s="3672"/>
      <c r="R48" s="3673"/>
    </row>
    <row r="49" spans="2:18" ht="15.75" thickBot="1">
      <c r="B49" s="3678" t="str">
        <f>CONCATENATE("Commercial/industrial customers"," : ",B47)</f>
        <v>Commercial/industrial customers : Tariff D SG</v>
      </c>
      <c r="C49" s="3679"/>
      <c r="D49" s="3679"/>
      <c r="E49" s="3679"/>
      <c r="F49" s="3679"/>
      <c r="G49" s="3679"/>
      <c r="H49" s="3679"/>
      <c r="I49" s="3679"/>
      <c r="J49" s="3679"/>
      <c r="K49" s="3679"/>
      <c r="L49" s="3679"/>
      <c r="M49" s="3679"/>
      <c r="N49" s="3679"/>
      <c r="O49" s="3679"/>
      <c r="P49" s="3679"/>
      <c r="Q49" s="3679"/>
      <c r="R49" s="3680"/>
    </row>
    <row r="50" spans="2:18">
      <c r="B50" s="4753" t="s">
        <v>747</v>
      </c>
      <c r="C50" s="3642" t="s">
        <v>744</v>
      </c>
      <c r="D50" s="1602"/>
      <c r="E50" s="480">
        <f>D51</f>
        <v>0</v>
      </c>
      <c r="F50" s="480">
        <f>E51</f>
        <v>1</v>
      </c>
      <c r="G50" s="480">
        <f>F51</f>
        <v>1</v>
      </c>
      <c r="H50" s="480">
        <f>G51</f>
        <v>1</v>
      </c>
      <c r="I50" s="1602">
        <v>1</v>
      </c>
      <c r="J50" s="480">
        <f>I51</f>
        <v>1</v>
      </c>
      <c r="K50" s="480">
        <f>J51</f>
        <v>2</v>
      </c>
      <c r="L50" s="480">
        <f>K51</f>
        <v>2</v>
      </c>
      <c r="M50" s="480">
        <f>L51</f>
        <v>2.0061862801054491</v>
      </c>
      <c r="N50" s="1602">
        <v>2</v>
      </c>
      <c r="O50" s="480">
        <f>N51</f>
        <v>2.0228405828382123</v>
      </c>
      <c r="P50" s="480">
        <f>O51</f>
        <v>2.0077428557483148</v>
      </c>
      <c r="Q50" s="480">
        <f>P51</f>
        <v>2.009269445690725</v>
      </c>
      <c r="R50" s="480">
        <f>Q51</f>
        <v>1.9883003030510504</v>
      </c>
    </row>
    <row r="51" spans="2:18">
      <c r="B51" s="4754"/>
      <c r="C51" s="3681" t="s">
        <v>745</v>
      </c>
      <c r="D51" s="494">
        <f>[20]Sheet1!CQ50</f>
        <v>0</v>
      </c>
      <c r="E51" s="494">
        <f>[20]Sheet1!CR50</f>
        <v>1</v>
      </c>
      <c r="F51" s="494">
        <f>[20]Sheet1!CS50</f>
        <v>1</v>
      </c>
      <c r="G51" s="494">
        <f>[20]Sheet1!CT50</f>
        <v>1</v>
      </c>
      <c r="H51" s="494">
        <f>[20]Sheet1!CU50</f>
        <v>1</v>
      </c>
      <c r="I51" s="494">
        <f>[20]Sheet1!CV50</f>
        <v>1</v>
      </c>
      <c r="J51" s="494">
        <f>[20]Sheet1!CW50</f>
        <v>2</v>
      </c>
      <c r="K51" s="494">
        <f>[20]Sheet1!CX50</f>
        <v>2</v>
      </c>
      <c r="L51" s="494">
        <f>[20]Sheet1!CY50</f>
        <v>2.0061862801054491</v>
      </c>
      <c r="M51" s="1603">
        <f>'[21]PTRM input'!F363</f>
        <v>2.0256749257095499</v>
      </c>
      <c r="N51" s="1603">
        <f>'[21]PTRM input'!G363</f>
        <v>2.0228405828382123</v>
      </c>
      <c r="O51" s="1603">
        <f>'[21]PTRM input'!H363</f>
        <v>2.0077428557483148</v>
      </c>
      <c r="P51" s="1603">
        <f>'[21]PTRM input'!I363</f>
        <v>2.009269445690725</v>
      </c>
      <c r="Q51" s="1603">
        <f>'[21]PTRM input'!J363</f>
        <v>1.9883003030510504</v>
      </c>
      <c r="R51" s="1603">
        <f>'[21]PTRM input'!K363</f>
        <v>1.9854907360761109</v>
      </c>
    </row>
    <row r="52" spans="2:18">
      <c r="B52" s="4754"/>
      <c r="C52" s="3681" t="s">
        <v>70</v>
      </c>
      <c r="D52" s="384">
        <f t="shared" ref="D52:R52" si="3">IF(ISERROR(AVERAGE(D50:D51)),0,AVERAGE(D50:D51))</f>
        <v>0</v>
      </c>
      <c r="E52" s="384">
        <f t="shared" si="3"/>
        <v>0.5</v>
      </c>
      <c r="F52" s="384">
        <f t="shared" si="3"/>
        <v>1</v>
      </c>
      <c r="G52" s="384">
        <f t="shared" si="3"/>
        <v>1</v>
      </c>
      <c r="H52" s="384">
        <f t="shared" si="3"/>
        <v>1</v>
      </c>
      <c r="I52" s="384">
        <f t="shared" si="3"/>
        <v>1</v>
      </c>
      <c r="J52" s="384">
        <f t="shared" si="3"/>
        <v>1.5</v>
      </c>
      <c r="K52" s="384">
        <f t="shared" si="3"/>
        <v>2</v>
      </c>
      <c r="L52" s="384">
        <f t="shared" si="3"/>
        <v>2.0030931400527248</v>
      </c>
      <c r="M52" s="384">
        <f t="shared" si="3"/>
        <v>2.0159306029074995</v>
      </c>
      <c r="N52" s="384">
        <f t="shared" si="3"/>
        <v>2.0114202914191059</v>
      </c>
      <c r="O52" s="384">
        <f t="shared" si="3"/>
        <v>2.0152917192932636</v>
      </c>
      <c r="P52" s="384">
        <f t="shared" si="3"/>
        <v>2.0085061507195201</v>
      </c>
      <c r="Q52" s="384">
        <f t="shared" si="3"/>
        <v>1.9987848743708878</v>
      </c>
      <c r="R52" s="384">
        <f t="shared" si="3"/>
        <v>1.9868955195635807</v>
      </c>
    </row>
    <row r="53" spans="2:18">
      <c r="B53" s="4754"/>
      <c r="C53" s="3681" t="s">
        <v>71</v>
      </c>
      <c r="D53" s="499"/>
      <c r="E53" s="494"/>
      <c r="F53" s="494"/>
      <c r="G53" s="494"/>
      <c r="H53" s="1603"/>
      <c r="I53" s="499"/>
      <c r="J53" s="494"/>
      <c r="K53" s="494"/>
      <c r="L53" s="494"/>
      <c r="M53" s="1603"/>
      <c r="N53" s="499"/>
      <c r="O53" s="494"/>
      <c r="P53" s="494"/>
      <c r="Q53" s="494"/>
      <c r="R53" s="1603"/>
    </row>
    <row r="54" spans="2:18" ht="13.5" thickBot="1">
      <c r="B54" s="4755"/>
      <c r="C54" s="3682" t="s">
        <v>60</v>
      </c>
      <c r="D54" s="1604"/>
      <c r="E54" s="1605"/>
      <c r="F54" s="1605"/>
      <c r="G54" s="1605"/>
      <c r="H54" s="1606"/>
      <c r="I54" s="1604"/>
      <c r="J54" s="1605"/>
      <c r="K54" s="1605"/>
      <c r="L54" s="1605"/>
      <c r="M54" s="1606"/>
      <c r="N54" s="1604"/>
      <c r="O54" s="1605"/>
      <c r="P54" s="1605"/>
      <c r="Q54" s="1605"/>
      <c r="R54" s="1606"/>
    </row>
  </sheetData>
  <mergeCells count="18">
    <mergeCell ref="B11:F11"/>
    <mergeCell ref="B6:F6"/>
    <mergeCell ref="B7:F7"/>
    <mergeCell ref="B8:F8"/>
    <mergeCell ref="B9:F9"/>
    <mergeCell ref="B10:F10"/>
    <mergeCell ref="I16:M16"/>
    <mergeCell ref="N16:R16"/>
    <mergeCell ref="D17:R17"/>
    <mergeCell ref="D18:K18"/>
    <mergeCell ref="L18:R18"/>
    <mergeCell ref="B26:B30"/>
    <mergeCell ref="B32:B36"/>
    <mergeCell ref="B41:B45"/>
    <mergeCell ref="B50:B54"/>
    <mergeCell ref="B12:F12"/>
    <mergeCell ref="B16:C19"/>
    <mergeCell ref="D16:H16"/>
  </mergeCells>
  <pageMargins left="0.7" right="0.7" top="0.75" bottom="0.75" header="0.3" footer="0.3"/>
  <customProperties>
    <customPr name="layoutContexts" r:id="rId1"/>
    <customPr name="SaveUndoMode" r:id="rId2"/>
  </customProperties>
  <drawing r:id="rId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DP83"/>
  <sheetViews>
    <sheetView zoomScale="70" zoomScaleNormal="70" workbookViewId="0">
      <selection activeCell="O77" sqref="O77"/>
    </sheetView>
  </sheetViews>
  <sheetFormatPr defaultColWidth="9.140625" defaultRowHeight="12.75"/>
  <cols>
    <col min="1" max="1" width="16.28515625" style="501" bestFit="1" customWidth="1"/>
    <col min="2" max="2" width="35.5703125" style="965" customWidth="1"/>
    <col min="3" max="4" width="38.140625" style="501" customWidth="1"/>
    <col min="5" max="18" width="15.7109375" style="501" customWidth="1"/>
    <col min="19" max="19" width="14.7109375" style="1266" customWidth="1"/>
    <col min="20" max="30" width="9.140625" style="1266"/>
    <col min="31" max="119" width="9.140625" style="223"/>
    <col min="120" max="16384" width="9.140625" style="501"/>
  </cols>
  <sheetData>
    <row r="1" spans="1:119" s="1274" customFormat="1" ht="24.95" customHeight="1">
      <c r="B1" s="2272" t="str">
        <f>IF(dms_DataQuality="backcast",INDEX(dms_Worksheet_List,MATCH(dms_Model,dms_Model_List))&amp;" BACKCAST",INDEX(dms_Worksheet_List,MATCH(dms_Model,dms_Model_List)))</f>
        <v>REGULATORY REPORTING STATEMENT</v>
      </c>
      <c r="C1" s="518"/>
      <c r="D1" s="518"/>
      <c r="E1" s="518"/>
      <c r="F1" s="518"/>
      <c r="G1" s="518"/>
      <c r="H1" s="518"/>
      <c r="I1" s="518"/>
      <c r="J1" s="518"/>
      <c r="K1" s="518"/>
      <c r="L1" s="518"/>
      <c r="M1" s="518"/>
      <c r="N1" s="518"/>
      <c r="O1" s="518"/>
      <c r="P1" s="518"/>
      <c r="Q1" s="518"/>
      <c r="R1" s="518"/>
      <c r="S1" s="1266"/>
      <c r="T1" s="1266"/>
      <c r="U1" s="1266"/>
      <c r="V1" s="1266"/>
      <c r="W1" s="1266"/>
      <c r="X1" s="1266"/>
      <c r="Y1" s="1266"/>
      <c r="Z1" s="1266"/>
      <c r="AA1" s="1266"/>
      <c r="AB1" s="1266"/>
      <c r="AC1" s="1266"/>
      <c r="AD1" s="1266"/>
    </row>
    <row r="2" spans="1:119" s="1274" customFormat="1" ht="24.95" customHeight="1">
      <c r="B2" s="2277" t="str">
        <f>INDEX(dms_TradingNameFull_List,MATCH(dms_TradingName,dms_TradingName_List))</f>
        <v>Multinet Gas (DB No.1) Pty Ltd (ACN 086 026 986), Multinet Gas (DB No.2) Pty Ltd (ACN 086 230 122)</v>
      </c>
      <c r="C2" s="1267"/>
      <c r="D2" s="1267"/>
      <c r="E2" s="1267"/>
      <c r="F2" s="1267"/>
      <c r="G2" s="1267"/>
      <c r="H2" s="1267"/>
      <c r="I2" s="1267"/>
      <c r="J2" s="1267"/>
      <c r="K2" s="1267"/>
      <c r="L2" s="1267"/>
      <c r="M2" s="1267"/>
      <c r="N2" s="1267"/>
      <c r="O2" s="1267"/>
      <c r="P2" s="1267"/>
      <c r="Q2" s="1267"/>
      <c r="R2" s="1267"/>
      <c r="S2" s="1266"/>
      <c r="T2" s="1266"/>
      <c r="U2" s="1266"/>
      <c r="V2" s="1266"/>
      <c r="W2" s="1266"/>
      <c r="X2" s="1266"/>
      <c r="Y2" s="1266"/>
      <c r="Z2" s="1266"/>
      <c r="AA2" s="1266"/>
      <c r="AB2" s="1266"/>
      <c r="AC2" s="1266"/>
      <c r="AD2" s="1266"/>
    </row>
    <row r="3" spans="1:119" s="1274" customFormat="1" ht="24.95" customHeight="1">
      <c r="B3" s="2277" t="str">
        <f ca="1">IF(SUM(dms_SingleYear_Model)&gt;0,CRY,CONCATENATE(FRCP_y1," to ",dms_MultiYear_FinalYear_Result))</f>
        <v>2018 to 2022</v>
      </c>
      <c r="C3" s="1265"/>
      <c r="D3" s="1265"/>
      <c r="E3" s="1265"/>
      <c r="F3" s="1265"/>
      <c r="G3" s="1265"/>
      <c r="H3" s="1265"/>
      <c r="I3" s="1265"/>
      <c r="J3" s="1265"/>
      <c r="K3" s="1265"/>
      <c r="L3" s="1265"/>
      <c r="M3" s="1265"/>
      <c r="N3" s="1265"/>
      <c r="O3" s="1265"/>
      <c r="P3" s="1265"/>
      <c r="Q3" s="1265"/>
      <c r="R3" s="1265"/>
      <c r="S3" s="1266"/>
      <c r="T3" s="1266"/>
      <c r="U3" s="1266"/>
      <c r="V3" s="1266"/>
      <c r="W3" s="1266"/>
      <c r="X3" s="1266"/>
      <c r="Y3" s="1266"/>
      <c r="Z3" s="1266"/>
      <c r="AA3" s="1266"/>
      <c r="AB3" s="1266"/>
      <c r="AC3" s="1266"/>
      <c r="AD3" s="1266"/>
    </row>
    <row r="4" spans="1:119" s="1274" customFormat="1" ht="24" customHeight="1">
      <c r="B4" s="10" t="s">
        <v>387</v>
      </c>
      <c r="C4" s="12"/>
      <c r="D4" s="12"/>
      <c r="E4" s="12"/>
      <c r="F4" s="12"/>
      <c r="G4" s="12"/>
      <c r="H4" s="12"/>
      <c r="I4" s="12"/>
      <c r="J4" s="12"/>
      <c r="K4" s="12"/>
      <c r="L4" s="12"/>
      <c r="M4" s="12"/>
      <c r="N4" s="12"/>
      <c r="O4" s="12"/>
      <c r="P4" s="12"/>
      <c r="Q4" s="12"/>
      <c r="R4" s="12"/>
      <c r="S4" s="1266"/>
      <c r="T4" s="1266"/>
      <c r="U4" s="1266"/>
      <c r="V4" s="1266"/>
      <c r="W4" s="1266"/>
      <c r="X4" s="1266"/>
      <c r="Y4" s="1266"/>
      <c r="Z4" s="1266"/>
      <c r="AA4" s="1266"/>
      <c r="AB4" s="1266"/>
      <c r="AC4" s="1266"/>
      <c r="AD4" s="1266"/>
    </row>
    <row r="5" spans="1:119" s="1266" customFormat="1"/>
    <row r="7" spans="1:119" s="888" customFormat="1">
      <c r="B7" s="4789" t="s">
        <v>61</v>
      </c>
      <c r="C7" s="4789"/>
      <c r="D7" s="4789"/>
      <c r="E7" s="4789"/>
      <c r="F7" s="4789"/>
      <c r="G7" s="4789"/>
      <c r="S7" s="1266"/>
      <c r="T7" s="1266"/>
      <c r="U7" s="1266"/>
      <c r="V7" s="1266"/>
      <c r="W7" s="1266"/>
      <c r="X7" s="1266"/>
      <c r="Y7" s="1266"/>
      <c r="Z7" s="1266"/>
      <c r="AA7" s="1266"/>
      <c r="AB7" s="1266"/>
      <c r="AC7" s="1266"/>
      <c r="AD7" s="1266"/>
      <c r="AE7" s="386"/>
      <c r="AF7" s="386"/>
      <c r="AG7" s="386"/>
      <c r="AH7" s="386"/>
      <c r="AI7" s="386"/>
      <c r="AJ7" s="386"/>
      <c r="AK7" s="386"/>
      <c r="AL7" s="386"/>
      <c r="AM7" s="386"/>
      <c r="AN7" s="386"/>
      <c r="AO7" s="386"/>
      <c r="AP7" s="386"/>
      <c r="AQ7" s="386"/>
      <c r="AR7" s="386"/>
      <c r="AS7" s="386"/>
      <c r="AT7" s="386"/>
      <c r="AU7" s="386"/>
      <c r="AV7" s="386"/>
      <c r="AW7" s="386"/>
      <c r="AX7" s="386"/>
      <c r="AY7" s="386"/>
      <c r="AZ7" s="386"/>
      <c r="BA7" s="386"/>
      <c r="BB7" s="386"/>
      <c r="BC7" s="386"/>
      <c r="BD7" s="386"/>
      <c r="BE7" s="386"/>
      <c r="BF7" s="386"/>
      <c r="BG7" s="386"/>
      <c r="BH7" s="386"/>
      <c r="BI7" s="386"/>
      <c r="BJ7" s="386"/>
      <c r="BK7" s="386"/>
      <c r="BL7" s="386"/>
      <c r="BM7" s="386"/>
      <c r="BN7" s="386"/>
      <c r="BO7" s="386"/>
      <c r="BP7" s="386"/>
      <c r="BQ7" s="386"/>
      <c r="BR7" s="386"/>
      <c r="BS7" s="386"/>
      <c r="BT7" s="386"/>
      <c r="BU7" s="386"/>
      <c r="BV7" s="386"/>
      <c r="BW7" s="386"/>
      <c r="BX7" s="386"/>
      <c r="BY7" s="386"/>
      <c r="BZ7" s="386"/>
      <c r="CA7" s="386"/>
      <c r="CB7" s="386"/>
      <c r="CC7" s="386"/>
      <c r="CD7" s="386"/>
      <c r="CE7" s="386"/>
      <c r="CF7" s="386"/>
      <c r="CG7" s="386"/>
      <c r="CH7" s="386"/>
      <c r="CI7" s="386"/>
      <c r="CJ7" s="386"/>
      <c r="CK7" s="386"/>
      <c r="CL7" s="386"/>
      <c r="CM7" s="386"/>
      <c r="CN7" s="386"/>
      <c r="CO7" s="386"/>
      <c r="CP7" s="386"/>
      <c r="CQ7" s="386"/>
      <c r="CR7" s="386"/>
      <c r="CS7" s="386"/>
      <c r="CT7" s="386"/>
      <c r="CU7" s="386"/>
      <c r="CV7" s="386"/>
      <c r="CW7" s="386"/>
      <c r="CX7" s="386"/>
      <c r="CY7" s="386"/>
      <c r="CZ7" s="386"/>
      <c r="DA7" s="386"/>
      <c r="DB7" s="386"/>
      <c r="DC7" s="386"/>
      <c r="DD7" s="386"/>
      <c r="DE7" s="386"/>
      <c r="DF7" s="386"/>
      <c r="DG7" s="386"/>
      <c r="DH7" s="386"/>
      <c r="DI7" s="386"/>
      <c r="DJ7" s="386"/>
      <c r="DK7" s="386"/>
      <c r="DL7" s="386"/>
      <c r="DM7" s="386"/>
      <c r="DN7" s="386"/>
      <c r="DO7" s="386"/>
    </row>
    <row r="8" spans="1:119" s="888" customFormat="1" ht="30.75" customHeight="1">
      <c r="B8" s="4163" t="s">
        <v>1468</v>
      </c>
      <c r="C8" s="4163"/>
      <c r="D8" s="4163"/>
      <c r="E8" s="4163"/>
      <c r="F8" s="4163"/>
      <c r="G8" s="4163"/>
      <c r="S8" s="1266"/>
      <c r="T8" s="1266"/>
      <c r="U8" s="1266"/>
      <c r="V8" s="1266"/>
      <c r="W8" s="1266"/>
      <c r="X8" s="1266"/>
      <c r="Y8" s="1266"/>
      <c r="Z8" s="1266"/>
      <c r="AA8" s="1266"/>
      <c r="AB8" s="1266"/>
      <c r="AC8" s="1266"/>
      <c r="AD8" s="1266"/>
      <c r="AE8" s="386"/>
      <c r="AF8" s="386"/>
      <c r="AG8" s="386"/>
      <c r="AH8" s="386"/>
      <c r="AI8" s="386"/>
      <c r="AJ8" s="386"/>
      <c r="AK8" s="386"/>
      <c r="AL8" s="386"/>
      <c r="AM8" s="386"/>
      <c r="AN8" s="386"/>
      <c r="AO8" s="386"/>
      <c r="AP8" s="386"/>
      <c r="AQ8" s="386"/>
      <c r="AR8" s="386"/>
      <c r="AS8" s="386"/>
      <c r="AT8" s="386"/>
      <c r="AU8" s="386"/>
      <c r="AV8" s="386"/>
      <c r="AW8" s="386"/>
      <c r="AX8" s="386"/>
      <c r="AY8" s="386"/>
      <c r="AZ8" s="386"/>
      <c r="BA8" s="386"/>
      <c r="BB8" s="386"/>
      <c r="BC8" s="386"/>
      <c r="BD8" s="386"/>
      <c r="BE8" s="386"/>
      <c r="BF8" s="386"/>
      <c r="BG8" s="386"/>
      <c r="BH8" s="386"/>
      <c r="BI8" s="386"/>
      <c r="BJ8" s="386"/>
      <c r="BK8" s="386"/>
      <c r="BL8" s="386"/>
      <c r="BM8" s="386"/>
      <c r="BN8" s="386"/>
      <c r="BO8" s="386"/>
      <c r="BP8" s="386"/>
      <c r="BQ8" s="386"/>
      <c r="BR8" s="386"/>
      <c r="BS8" s="386"/>
      <c r="BT8" s="386"/>
      <c r="BU8" s="386"/>
      <c r="BV8" s="386"/>
      <c r="BW8" s="386"/>
      <c r="BX8" s="386"/>
      <c r="BY8" s="386"/>
      <c r="BZ8" s="386"/>
      <c r="CA8" s="386"/>
      <c r="CB8" s="386"/>
      <c r="CC8" s="386"/>
      <c r="CD8" s="386"/>
      <c r="CE8" s="386"/>
      <c r="CF8" s="386"/>
      <c r="CG8" s="386"/>
      <c r="CH8" s="386"/>
      <c r="CI8" s="386"/>
      <c r="CJ8" s="386"/>
      <c r="CK8" s="386"/>
      <c r="CL8" s="386"/>
      <c r="CM8" s="386"/>
      <c r="CN8" s="386"/>
      <c r="CO8" s="386"/>
      <c r="CP8" s="386"/>
      <c r="CQ8" s="386"/>
      <c r="CR8" s="386"/>
      <c r="CS8" s="386"/>
      <c r="CT8" s="386"/>
      <c r="CU8" s="386"/>
      <c r="CV8" s="386"/>
      <c r="CW8" s="386"/>
      <c r="CX8" s="386"/>
      <c r="CY8" s="386"/>
      <c r="CZ8" s="386"/>
      <c r="DA8" s="386"/>
      <c r="DB8" s="386"/>
      <c r="DC8" s="386"/>
      <c r="DD8" s="386"/>
      <c r="DE8" s="386"/>
      <c r="DF8" s="386"/>
      <c r="DG8" s="386"/>
      <c r="DH8" s="386"/>
      <c r="DI8" s="386"/>
      <c r="DJ8" s="386"/>
      <c r="DK8" s="386"/>
      <c r="DL8" s="386"/>
      <c r="DM8" s="386"/>
      <c r="DN8" s="386"/>
      <c r="DO8" s="386"/>
    </row>
    <row r="9" spans="1:119" s="888" customFormat="1" ht="17.25" customHeight="1">
      <c r="B9" s="4163" t="s">
        <v>752</v>
      </c>
      <c r="C9" s="4212"/>
      <c r="D9" s="4212"/>
      <c r="E9" s="4212"/>
      <c r="F9" s="4212"/>
      <c r="G9" s="4212"/>
      <c r="S9" s="1266"/>
      <c r="T9" s="1266"/>
      <c r="U9" s="1266"/>
      <c r="V9" s="1266"/>
      <c r="W9" s="1266"/>
      <c r="X9" s="1266"/>
      <c r="Y9" s="1266"/>
      <c r="Z9" s="1266"/>
      <c r="AA9" s="1266"/>
      <c r="AB9" s="1266"/>
      <c r="AC9" s="1266"/>
      <c r="AD9" s="1266"/>
      <c r="AE9" s="386"/>
      <c r="AF9" s="386"/>
      <c r="AG9" s="386"/>
      <c r="AH9" s="386"/>
      <c r="AI9" s="386"/>
      <c r="AJ9" s="386"/>
      <c r="AK9" s="386"/>
      <c r="AL9" s="386"/>
      <c r="AM9" s="386"/>
      <c r="AN9" s="386"/>
      <c r="AO9" s="386"/>
      <c r="AP9" s="386"/>
      <c r="AQ9" s="386"/>
      <c r="AR9" s="386"/>
      <c r="AS9" s="386"/>
      <c r="AT9" s="386"/>
      <c r="AU9" s="386"/>
      <c r="AV9" s="386"/>
      <c r="AW9" s="386"/>
      <c r="AX9" s="386"/>
      <c r="AY9" s="386"/>
      <c r="AZ9" s="386"/>
      <c r="BA9" s="386"/>
      <c r="BB9" s="386"/>
      <c r="BC9" s="386"/>
      <c r="BD9" s="386"/>
      <c r="BE9" s="386"/>
      <c r="BF9" s="386"/>
      <c r="BG9" s="386"/>
      <c r="BH9" s="386"/>
      <c r="BI9" s="386"/>
      <c r="BJ9" s="386"/>
      <c r="BK9" s="386"/>
      <c r="BL9" s="386"/>
      <c r="BM9" s="386"/>
      <c r="BN9" s="386"/>
      <c r="BO9" s="386"/>
      <c r="BP9" s="386"/>
      <c r="BQ9" s="386"/>
      <c r="BR9" s="386"/>
      <c r="BS9" s="386"/>
      <c r="BT9" s="386"/>
      <c r="BU9" s="386"/>
      <c r="BV9" s="386"/>
      <c r="BW9" s="386"/>
      <c r="BX9" s="386"/>
      <c r="BY9" s="386"/>
      <c r="BZ9" s="386"/>
      <c r="CA9" s="386"/>
      <c r="CB9" s="386"/>
      <c r="CC9" s="386"/>
      <c r="CD9" s="386"/>
      <c r="CE9" s="386"/>
      <c r="CF9" s="386"/>
      <c r="CG9" s="386"/>
      <c r="CH9" s="386"/>
      <c r="CI9" s="386"/>
      <c r="CJ9" s="386"/>
      <c r="CK9" s="386"/>
      <c r="CL9" s="386"/>
      <c r="CM9" s="386"/>
      <c r="CN9" s="386"/>
      <c r="CO9" s="386"/>
      <c r="CP9" s="386"/>
      <c r="CQ9" s="386"/>
      <c r="CR9" s="386"/>
      <c r="CS9" s="386"/>
      <c r="CT9" s="386"/>
      <c r="CU9" s="386"/>
      <c r="CV9" s="386"/>
      <c r="CW9" s="386"/>
      <c r="CX9" s="386"/>
      <c r="CY9" s="386"/>
      <c r="CZ9" s="386"/>
      <c r="DA9" s="386"/>
      <c r="DB9" s="386"/>
      <c r="DC9" s="386"/>
      <c r="DD9" s="386"/>
      <c r="DE9" s="386"/>
      <c r="DF9" s="386"/>
      <c r="DG9" s="386"/>
      <c r="DH9" s="386"/>
      <c r="DI9" s="386"/>
      <c r="DJ9" s="386"/>
      <c r="DK9" s="386"/>
      <c r="DL9" s="386"/>
      <c r="DM9" s="386"/>
      <c r="DN9" s="386"/>
      <c r="DO9" s="386"/>
    </row>
    <row r="10" spans="1:119" s="888" customFormat="1" ht="18.75" customHeight="1">
      <c r="B10" s="4163" t="s">
        <v>244</v>
      </c>
      <c r="C10" s="4163"/>
      <c r="D10" s="4163"/>
      <c r="E10" s="4163"/>
      <c r="F10" s="4163"/>
      <c r="G10" s="4163"/>
      <c r="S10" s="1266"/>
      <c r="T10" s="1266"/>
      <c r="U10" s="1266"/>
      <c r="V10" s="1266"/>
      <c r="W10" s="1266"/>
      <c r="X10" s="1266"/>
      <c r="Y10" s="1266"/>
      <c r="Z10" s="1266"/>
      <c r="AA10" s="1266"/>
      <c r="AB10" s="1266"/>
      <c r="AC10" s="1266"/>
      <c r="AD10" s="1266"/>
      <c r="AE10" s="386"/>
      <c r="AF10" s="386"/>
      <c r="AG10" s="386"/>
      <c r="AH10" s="386"/>
      <c r="AI10" s="386"/>
      <c r="AJ10" s="386"/>
      <c r="AK10" s="386"/>
      <c r="AL10" s="386"/>
      <c r="AM10" s="386"/>
      <c r="AN10" s="386"/>
      <c r="AO10" s="386"/>
      <c r="AP10" s="386"/>
      <c r="AQ10" s="386"/>
      <c r="AR10" s="386"/>
      <c r="AS10" s="386"/>
      <c r="AT10" s="386"/>
      <c r="AU10" s="386"/>
      <c r="AV10" s="386"/>
      <c r="AW10" s="386"/>
      <c r="AX10" s="386"/>
      <c r="AY10" s="386"/>
      <c r="AZ10" s="386"/>
      <c r="BA10" s="386"/>
      <c r="BB10" s="386"/>
      <c r="BC10" s="386"/>
      <c r="BD10" s="386"/>
      <c r="BE10" s="386"/>
      <c r="BF10" s="386"/>
      <c r="BG10" s="386"/>
      <c r="BH10" s="386"/>
      <c r="BI10" s="386"/>
      <c r="BJ10" s="386"/>
      <c r="BK10" s="386"/>
      <c r="BL10" s="386"/>
      <c r="BM10" s="386"/>
      <c r="BN10" s="386"/>
      <c r="BO10" s="386"/>
      <c r="BP10" s="386"/>
      <c r="BQ10" s="386"/>
      <c r="BR10" s="386"/>
      <c r="BS10" s="386"/>
      <c r="BT10" s="386"/>
      <c r="BU10" s="386"/>
      <c r="BV10" s="386"/>
      <c r="BW10" s="386"/>
      <c r="BX10" s="386"/>
      <c r="BY10" s="386"/>
      <c r="BZ10" s="386"/>
      <c r="CA10" s="386"/>
      <c r="CB10" s="386"/>
      <c r="CC10" s="386"/>
      <c r="CD10" s="386"/>
      <c r="CE10" s="386"/>
      <c r="CF10" s="386"/>
      <c r="CG10" s="386"/>
      <c r="CH10" s="386"/>
      <c r="CI10" s="386"/>
      <c r="CJ10" s="386"/>
      <c r="CK10" s="386"/>
      <c r="CL10" s="386"/>
      <c r="CM10" s="386"/>
      <c r="CN10" s="386"/>
      <c r="CO10" s="386"/>
      <c r="CP10" s="386"/>
      <c r="CQ10" s="386"/>
      <c r="CR10" s="386"/>
      <c r="CS10" s="386"/>
      <c r="CT10" s="386"/>
      <c r="CU10" s="386"/>
      <c r="CV10" s="386"/>
      <c r="CW10" s="386"/>
      <c r="CX10" s="386"/>
      <c r="CY10" s="386"/>
      <c r="CZ10" s="386"/>
      <c r="DA10" s="386"/>
      <c r="DB10" s="386"/>
      <c r="DC10" s="386"/>
      <c r="DD10" s="386"/>
      <c r="DE10" s="386"/>
      <c r="DF10" s="386"/>
      <c r="DG10" s="386"/>
      <c r="DH10" s="386"/>
      <c r="DI10" s="386"/>
      <c r="DJ10" s="386"/>
      <c r="DK10" s="386"/>
      <c r="DL10" s="386"/>
      <c r="DM10" s="386"/>
      <c r="DN10" s="386"/>
      <c r="DO10" s="386"/>
    </row>
    <row r="11" spans="1:119" s="888" customFormat="1" ht="30" customHeight="1">
      <c r="B11" s="4163" t="s">
        <v>1395</v>
      </c>
      <c r="C11" s="4163"/>
      <c r="D11" s="4212"/>
      <c r="E11" s="4212"/>
      <c r="F11" s="4212"/>
      <c r="G11" s="4212"/>
      <c r="S11" s="1266"/>
      <c r="T11" s="1266"/>
      <c r="U11" s="1266"/>
      <c r="V11" s="1266"/>
      <c r="W11" s="1266"/>
      <c r="X11" s="1266"/>
      <c r="Y11" s="1266"/>
      <c r="Z11" s="1266"/>
      <c r="AA11" s="1266"/>
      <c r="AB11" s="1266"/>
      <c r="AC11" s="1266"/>
      <c r="AD11" s="1266"/>
      <c r="AE11" s="386"/>
      <c r="AF11" s="386"/>
      <c r="AG11" s="386"/>
      <c r="AH11" s="386"/>
      <c r="AI11" s="386"/>
      <c r="AJ11" s="386"/>
      <c r="AK11" s="386"/>
      <c r="AL11" s="386"/>
      <c r="AM11" s="386"/>
      <c r="AN11" s="386"/>
      <c r="AO11" s="386"/>
      <c r="AP11" s="386"/>
      <c r="AQ11" s="386"/>
      <c r="AR11" s="386"/>
      <c r="AS11" s="386"/>
      <c r="AT11" s="386"/>
      <c r="AU11" s="386"/>
      <c r="AV11" s="386"/>
      <c r="AW11" s="386"/>
      <c r="AX11" s="386"/>
      <c r="AY11" s="386"/>
      <c r="AZ11" s="386"/>
      <c r="BA11" s="386"/>
      <c r="BB11" s="386"/>
      <c r="BC11" s="386"/>
      <c r="BD11" s="386"/>
      <c r="BE11" s="386"/>
      <c r="BF11" s="386"/>
      <c r="BG11" s="386"/>
      <c r="BH11" s="386"/>
      <c r="BI11" s="386"/>
      <c r="BJ11" s="386"/>
      <c r="BK11" s="386"/>
      <c r="BL11" s="386"/>
      <c r="BM11" s="386"/>
      <c r="BN11" s="386"/>
      <c r="BO11" s="386"/>
      <c r="BP11" s="386"/>
      <c r="BQ11" s="386"/>
      <c r="BR11" s="386"/>
      <c r="BS11" s="386"/>
      <c r="BT11" s="386"/>
      <c r="BU11" s="386"/>
      <c r="BV11" s="386"/>
      <c r="BW11" s="386"/>
      <c r="BX11" s="386"/>
      <c r="BY11" s="386"/>
      <c r="BZ11" s="386"/>
      <c r="CA11" s="386"/>
      <c r="CB11" s="386"/>
      <c r="CC11" s="386"/>
      <c r="CD11" s="386"/>
      <c r="CE11" s="386"/>
      <c r="CF11" s="386"/>
      <c r="CG11" s="386"/>
      <c r="CH11" s="386"/>
      <c r="CI11" s="386"/>
      <c r="CJ11" s="386"/>
      <c r="CK11" s="386"/>
      <c r="CL11" s="386"/>
      <c r="CM11" s="386"/>
      <c r="CN11" s="386"/>
      <c r="CO11" s="386"/>
      <c r="CP11" s="386"/>
      <c r="CQ11" s="386"/>
      <c r="CR11" s="386"/>
      <c r="CS11" s="386"/>
      <c r="CT11" s="386"/>
      <c r="CU11" s="386"/>
      <c r="CV11" s="386"/>
      <c r="CW11" s="386"/>
      <c r="CX11" s="386"/>
      <c r="CY11" s="386"/>
      <c r="CZ11" s="386"/>
      <c r="DA11" s="386"/>
      <c r="DB11" s="386"/>
      <c r="DC11" s="386"/>
      <c r="DD11" s="386"/>
      <c r="DE11" s="386"/>
      <c r="DF11" s="386"/>
      <c r="DG11" s="386"/>
      <c r="DH11" s="386"/>
      <c r="DI11" s="386"/>
      <c r="DJ11" s="386"/>
      <c r="DK11" s="386"/>
      <c r="DL11" s="386"/>
      <c r="DM11" s="386"/>
      <c r="DN11" s="386"/>
      <c r="DO11" s="386"/>
    </row>
    <row r="12" spans="1:119" s="1266" customFormat="1" ht="33.75" customHeight="1" thickBot="1">
      <c r="N12" s="92"/>
      <c r="O12" s="92"/>
      <c r="P12" s="92"/>
      <c r="Q12" s="92"/>
    </row>
    <row r="13" spans="1:119" s="1266" customFormat="1" ht="32.25" customHeight="1" thickBot="1">
      <c r="A13" s="1268"/>
      <c r="B13" s="833" t="s">
        <v>555</v>
      </c>
      <c r="C13" s="863"/>
      <c r="D13" s="863"/>
      <c r="E13" s="863"/>
      <c r="F13" s="863"/>
      <c r="G13" s="863"/>
      <c r="H13" s="863"/>
      <c r="I13" s="863"/>
      <c r="J13" s="863"/>
      <c r="K13" s="864"/>
      <c r="L13" s="864"/>
      <c r="M13" s="864"/>
      <c r="N13" s="864"/>
      <c r="O13" s="864"/>
      <c r="P13" s="864"/>
      <c r="Q13" s="864"/>
      <c r="R13" s="864"/>
      <c r="S13" s="864"/>
    </row>
    <row r="14" spans="1:119" ht="20.25" customHeight="1">
      <c r="A14" s="223"/>
      <c r="B14" s="4791"/>
      <c r="C14" s="4794" t="s">
        <v>751</v>
      </c>
      <c r="D14" s="4797" t="s">
        <v>72</v>
      </c>
      <c r="E14" s="4801" t="s">
        <v>36</v>
      </c>
      <c r="F14" s="4747"/>
      <c r="G14" s="4747"/>
      <c r="H14" s="4747"/>
      <c r="I14" s="4747"/>
      <c r="J14" s="4751" t="s">
        <v>37</v>
      </c>
      <c r="K14" s="4752"/>
      <c r="L14" s="4752"/>
      <c r="M14" s="4752"/>
      <c r="N14" s="4752"/>
      <c r="O14" s="4732" t="s">
        <v>75</v>
      </c>
      <c r="P14" s="4732"/>
      <c r="Q14" s="4732"/>
      <c r="R14" s="4732"/>
      <c r="S14" s="4733"/>
      <c r="AE14" s="1266"/>
      <c r="AF14" s="501"/>
      <c r="AG14" s="501"/>
      <c r="AH14" s="501"/>
      <c r="AI14" s="501"/>
      <c r="AJ14" s="501"/>
      <c r="AK14" s="501"/>
      <c r="AL14" s="501"/>
      <c r="AM14" s="501"/>
      <c r="AN14" s="501"/>
      <c r="AO14" s="501"/>
      <c r="AP14" s="501"/>
      <c r="AQ14" s="501"/>
      <c r="AR14" s="501"/>
      <c r="AS14" s="501"/>
      <c r="AT14" s="501"/>
      <c r="AU14" s="501"/>
      <c r="AV14" s="501"/>
      <c r="AW14" s="501"/>
      <c r="AX14" s="501"/>
      <c r="AY14" s="501"/>
      <c r="AZ14" s="501"/>
      <c r="BA14" s="501"/>
      <c r="BB14" s="501"/>
      <c r="BC14" s="501"/>
      <c r="BD14" s="501"/>
      <c r="BE14" s="501"/>
      <c r="BF14" s="501"/>
      <c r="BG14" s="501"/>
      <c r="BH14" s="501"/>
      <c r="BI14" s="501"/>
      <c r="BJ14" s="501"/>
      <c r="BK14" s="501"/>
      <c r="BL14" s="501"/>
      <c r="BM14" s="501"/>
      <c r="BN14" s="501"/>
      <c r="BO14" s="501"/>
      <c r="BP14" s="501"/>
      <c r="BQ14" s="501"/>
      <c r="BR14" s="501"/>
      <c r="BS14" s="501"/>
      <c r="BT14" s="501"/>
      <c r="BU14" s="501"/>
      <c r="BV14" s="501"/>
      <c r="BW14" s="501"/>
      <c r="BX14" s="501"/>
      <c r="BY14" s="501"/>
      <c r="BZ14" s="501"/>
      <c r="CA14" s="501"/>
      <c r="CB14" s="501"/>
      <c r="CC14" s="501"/>
      <c r="CD14" s="501"/>
      <c r="CE14" s="501"/>
      <c r="CF14" s="501"/>
      <c r="CG14" s="501"/>
      <c r="CH14" s="501"/>
      <c r="CI14" s="501"/>
      <c r="CJ14" s="501"/>
      <c r="CK14" s="501"/>
      <c r="CL14" s="501"/>
      <c r="CM14" s="501"/>
      <c r="CN14" s="501"/>
      <c r="CO14" s="501"/>
      <c r="CP14" s="501"/>
      <c r="CQ14" s="501"/>
      <c r="CR14" s="501"/>
      <c r="CS14" s="501"/>
      <c r="CT14" s="501"/>
      <c r="CU14" s="501"/>
      <c r="CV14" s="501"/>
      <c r="CW14" s="501"/>
      <c r="CX14" s="501"/>
      <c r="CY14" s="501"/>
      <c r="CZ14" s="501"/>
      <c r="DA14" s="501"/>
      <c r="DB14" s="501"/>
      <c r="DC14" s="501"/>
      <c r="DD14" s="501"/>
      <c r="DE14" s="501"/>
      <c r="DF14" s="501"/>
      <c r="DG14" s="501"/>
      <c r="DH14" s="501"/>
      <c r="DI14" s="501"/>
      <c r="DJ14" s="501"/>
      <c r="DK14" s="501"/>
      <c r="DL14" s="501"/>
      <c r="DM14" s="501"/>
      <c r="DN14" s="501"/>
      <c r="DO14" s="501"/>
    </row>
    <row r="15" spans="1:119">
      <c r="A15" s="223"/>
      <c r="B15" s="4792"/>
      <c r="C15" s="4795"/>
      <c r="D15" s="4798"/>
      <c r="E15" s="4735" t="s">
        <v>357</v>
      </c>
      <c r="F15" s="4735"/>
      <c r="G15" s="4735"/>
      <c r="H15" s="4735"/>
      <c r="I15" s="4735"/>
      <c r="J15" s="4735"/>
      <c r="K15" s="4735"/>
      <c r="L15" s="4735"/>
      <c r="M15" s="4735"/>
      <c r="N15" s="4735"/>
      <c r="O15" s="4735"/>
      <c r="P15" s="4735"/>
      <c r="Q15" s="4735"/>
      <c r="R15" s="4735"/>
      <c r="S15" s="4736"/>
      <c r="AE15" s="1266"/>
      <c r="AF15" s="501"/>
      <c r="AG15" s="501"/>
      <c r="AH15" s="501"/>
      <c r="AI15" s="501"/>
      <c r="AJ15" s="501"/>
      <c r="AK15" s="501"/>
      <c r="AL15" s="501"/>
      <c r="AM15" s="501"/>
      <c r="AN15" s="501"/>
      <c r="AO15" s="501"/>
      <c r="AP15" s="501"/>
      <c r="AQ15" s="501"/>
      <c r="AR15" s="501"/>
      <c r="AS15" s="501"/>
      <c r="AT15" s="501"/>
      <c r="AU15" s="501"/>
      <c r="AV15" s="501"/>
      <c r="AW15" s="501"/>
      <c r="AX15" s="501"/>
      <c r="AY15" s="501"/>
      <c r="AZ15" s="501"/>
      <c r="BA15" s="501"/>
      <c r="BB15" s="501"/>
      <c r="BC15" s="501"/>
      <c r="BD15" s="501"/>
      <c r="BE15" s="501"/>
      <c r="BF15" s="501"/>
      <c r="BG15" s="501"/>
      <c r="BH15" s="501"/>
      <c r="BI15" s="501"/>
      <c r="BJ15" s="501"/>
      <c r="BK15" s="501"/>
      <c r="BL15" s="501"/>
      <c r="BM15" s="501"/>
      <c r="BN15" s="501"/>
      <c r="BO15" s="501"/>
      <c r="BP15" s="501"/>
      <c r="BQ15" s="501"/>
      <c r="BR15" s="501"/>
      <c r="BS15" s="501"/>
      <c r="BT15" s="501"/>
      <c r="BU15" s="501"/>
      <c r="BV15" s="501"/>
      <c r="BW15" s="501"/>
      <c r="BX15" s="501"/>
      <c r="BY15" s="501"/>
      <c r="BZ15" s="501"/>
      <c r="CA15" s="501"/>
      <c r="CB15" s="501"/>
      <c r="CC15" s="501"/>
      <c r="CD15" s="501"/>
      <c r="CE15" s="501"/>
      <c r="CF15" s="501"/>
      <c r="CG15" s="501"/>
      <c r="CH15" s="501"/>
      <c r="CI15" s="501"/>
      <c r="CJ15" s="501"/>
      <c r="CK15" s="501"/>
      <c r="CL15" s="501"/>
      <c r="CM15" s="501"/>
      <c r="CN15" s="501"/>
      <c r="CO15" s="501"/>
      <c r="CP15" s="501"/>
      <c r="CQ15" s="501"/>
      <c r="CR15" s="501"/>
      <c r="CS15" s="501"/>
      <c r="CT15" s="501"/>
      <c r="CU15" s="501"/>
      <c r="CV15" s="501"/>
      <c r="CW15" s="501"/>
      <c r="CX15" s="501"/>
      <c r="CY15" s="501"/>
      <c r="CZ15" s="501"/>
      <c r="DA15" s="501"/>
      <c r="DB15" s="501"/>
      <c r="DC15" s="501"/>
      <c r="DD15" s="501"/>
      <c r="DE15" s="501"/>
      <c r="DF15" s="501"/>
      <c r="DG15" s="501"/>
      <c r="DH15" s="501"/>
      <c r="DI15" s="501"/>
      <c r="DJ15" s="501"/>
      <c r="DK15" s="501"/>
      <c r="DL15" s="501"/>
      <c r="DM15" s="501"/>
      <c r="DN15" s="501"/>
      <c r="DO15" s="501"/>
    </row>
    <row r="16" spans="1:119">
      <c r="A16" s="223"/>
      <c r="B16" s="4792"/>
      <c r="C16" s="4795"/>
      <c r="D16" s="4798"/>
      <c r="E16" s="4735" t="s">
        <v>56</v>
      </c>
      <c r="F16" s="4735"/>
      <c r="G16" s="4735"/>
      <c r="H16" s="4735"/>
      <c r="I16" s="4735"/>
      <c r="J16" s="4735"/>
      <c r="K16" s="4735"/>
      <c r="L16" s="4800"/>
      <c r="M16" s="4104" t="s">
        <v>57</v>
      </c>
      <c r="N16" s="4737"/>
      <c r="O16" s="4737"/>
      <c r="P16" s="4737"/>
      <c r="Q16" s="4737"/>
      <c r="R16" s="4737"/>
      <c r="S16" s="4738"/>
      <c r="AE16" s="1266"/>
      <c r="AF16" s="501"/>
      <c r="AG16" s="501"/>
      <c r="AH16" s="501"/>
      <c r="AI16" s="501"/>
      <c r="AJ16" s="501"/>
      <c r="AK16" s="501"/>
      <c r="AL16" s="501"/>
      <c r="AM16" s="501"/>
      <c r="AN16" s="501"/>
      <c r="AO16" s="501"/>
      <c r="AP16" s="501"/>
      <c r="AQ16" s="501"/>
      <c r="AR16" s="501"/>
      <c r="AS16" s="501"/>
      <c r="AT16" s="501"/>
      <c r="AU16" s="501"/>
      <c r="AV16" s="501"/>
      <c r="AW16" s="501"/>
      <c r="AX16" s="501"/>
      <c r="AY16" s="501"/>
      <c r="AZ16" s="501"/>
      <c r="BA16" s="501"/>
      <c r="BB16" s="501"/>
      <c r="BC16" s="501"/>
      <c r="BD16" s="501"/>
      <c r="BE16" s="501"/>
      <c r="BF16" s="501"/>
      <c r="BG16" s="501"/>
      <c r="BH16" s="501"/>
      <c r="BI16" s="501"/>
      <c r="BJ16" s="501"/>
      <c r="BK16" s="501"/>
      <c r="BL16" s="501"/>
      <c r="BM16" s="501"/>
      <c r="BN16" s="501"/>
      <c r="BO16" s="501"/>
      <c r="BP16" s="501"/>
      <c r="BQ16" s="501"/>
      <c r="BR16" s="501"/>
      <c r="BS16" s="501"/>
      <c r="BT16" s="501"/>
      <c r="BU16" s="501"/>
      <c r="BV16" s="501"/>
      <c r="BW16" s="501"/>
      <c r="BX16" s="501"/>
      <c r="BY16" s="501"/>
      <c r="BZ16" s="501"/>
      <c r="CA16" s="501"/>
      <c r="CB16" s="501"/>
      <c r="CC16" s="501"/>
      <c r="CD16" s="501"/>
      <c r="CE16" s="501"/>
      <c r="CF16" s="501"/>
      <c r="CG16" s="501"/>
      <c r="CH16" s="501"/>
      <c r="CI16" s="501"/>
      <c r="CJ16" s="501"/>
      <c r="CK16" s="501"/>
      <c r="CL16" s="501"/>
      <c r="CM16" s="501"/>
      <c r="CN16" s="501"/>
      <c r="CO16" s="501"/>
      <c r="CP16" s="501"/>
      <c r="CQ16" s="501"/>
      <c r="CR16" s="501"/>
      <c r="CS16" s="501"/>
      <c r="CT16" s="501"/>
      <c r="CU16" s="501"/>
      <c r="CV16" s="501"/>
      <c r="CW16" s="501"/>
      <c r="CX16" s="501"/>
      <c r="CY16" s="501"/>
      <c r="CZ16" s="501"/>
      <c r="DA16" s="501"/>
      <c r="DB16" s="501"/>
      <c r="DC16" s="501"/>
      <c r="DD16" s="501"/>
      <c r="DE16" s="501"/>
      <c r="DF16" s="501"/>
      <c r="DG16" s="501"/>
      <c r="DH16" s="501"/>
      <c r="DI16" s="501"/>
      <c r="DJ16" s="501"/>
      <c r="DK16" s="501"/>
      <c r="DL16" s="501"/>
      <c r="DM16" s="501"/>
      <c r="DN16" s="501"/>
      <c r="DO16" s="501"/>
    </row>
    <row r="17" spans="1:120" ht="13.5" thickBot="1">
      <c r="B17" s="4793"/>
      <c r="C17" s="4796"/>
      <c r="D17" s="4799"/>
      <c r="E17" s="1610">
        <f t="array" ref="E17:I17">PRCP</f>
        <v>2008</v>
      </c>
      <c r="F17" s="891">
        <v>2009</v>
      </c>
      <c r="G17" s="891">
        <v>2010</v>
      </c>
      <c r="H17" s="891">
        <v>2011</v>
      </c>
      <c r="I17" s="891">
        <v>2012</v>
      </c>
      <c r="J17" s="892">
        <f>CRCP_y1</f>
        <v>2013</v>
      </c>
      <c r="K17" s="892">
        <f>CRCP_y2</f>
        <v>2014</v>
      </c>
      <c r="L17" s="892">
        <f>CRCP_y3</f>
        <v>2015</v>
      </c>
      <c r="M17" s="892">
        <f>CRCP_y4</f>
        <v>2016</v>
      </c>
      <c r="N17" s="892">
        <f>CRCP_y5</f>
        <v>2017</v>
      </c>
      <c r="O17" s="891" t="str">
        <f t="array" ref="O17:S17">FRCP</f>
        <v>2018</v>
      </c>
      <c r="P17" s="891">
        <v>2019</v>
      </c>
      <c r="Q17" s="891">
        <v>2020</v>
      </c>
      <c r="R17" s="891">
        <v>2021</v>
      </c>
      <c r="S17" s="893">
        <v>2022</v>
      </c>
      <c r="AE17" s="1266"/>
      <c r="AF17" s="501"/>
      <c r="AG17" s="501"/>
      <c r="AH17" s="501"/>
      <c r="AI17" s="501"/>
      <c r="AJ17" s="501"/>
      <c r="AK17" s="501"/>
      <c r="AL17" s="501"/>
      <c r="AM17" s="501"/>
      <c r="AN17" s="501"/>
      <c r="AO17" s="501"/>
      <c r="AP17" s="501"/>
      <c r="AQ17" s="501"/>
      <c r="AR17" s="501"/>
      <c r="AS17" s="501"/>
      <c r="AT17" s="501"/>
      <c r="AU17" s="501"/>
      <c r="AV17" s="501"/>
      <c r="AW17" s="501"/>
      <c r="AX17" s="501"/>
      <c r="AY17" s="501"/>
      <c r="AZ17" s="501"/>
      <c r="BA17" s="501"/>
      <c r="BB17" s="501"/>
      <c r="BC17" s="501"/>
      <c r="BD17" s="501"/>
      <c r="BE17" s="501"/>
      <c r="BF17" s="501"/>
      <c r="BG17" s="501"/>
      <c r="BH17" s="501"/>
      <c r="BI17" s="501"/>
      <c r="BJ17" s="501"/>
      <c r="BK17" s="501"/>
      <c r="BL17" s="501"/>
      <c r="BM17" s="501"/>
      <c r="BN17" s="501"/>
      <c r="BO17" s="501"/>
      <c r="BP17" s="501"/>
      <c r="BQ17" s="501"/>
      <c r="BR17" s="501"/>
      <c r="BS17" s="501"/>
      <c r="BT17" s="501"/>
      <c r="BU17" s="501"/>
      <c r="BV17" s="501"/>
      <c r="BW17" s="501"/>
      <c r="BX17" s="501"/>
      <c r="BY17" s="501"/>
      <c r="BZ17" s="501"/>
      <c r="CA17" s="501"/>
      <c r="CB17" s="501"/>
      <c r="CC17" s="501"/>
      <c r="CD17" s="501"/>
      <c r="CE17" s="501"/>
      <c r="CF17" s="501"/>
      <c r="CG17" s="501"/>
      <c r="CH17" s="501"/>
      <c r="CI17" s="501"/>
      <c r="CJ17" s="501"/>
      <c r="CK17" s="501"/>
      <c r="CL17" s="501"/>
      <c r="CM17" s="501"/>
      <c r="CN17" s="501"/>
      <c r="CO17" s="501"/>
      <c r="CP17" s="501"/>
      <c r="CQ17" s="501"/>
      <c r="CR17" s="501"/>
      <c r="CS17" s="501"/>
      <c r="CT17" s="501"/>
      <c r="CU17" s="501"/>
      <c r="CV17" s="501"/>
      <c r="CW17" s="501"/>
      <c r="CX17" s="501"/>
      <c r="CY17" s="501"/>
      <c r="CZ17" s="501"/>
      <c r="DA17" s="501"/>
      <c r="DB17" s="501"/>
      <c r="DC17" s="501"/>
      <c r="DD17" s="501"/>
      <c r="DE17" s="501"/>
      <c r="DF17" s="501"/>
      <c r="DG17" s="501"/>
      <c r="DH17" s="501"/>
      <c r="DI17" s="501"/>
      <c r="DJ17" s="501"/>
      <c r="DK17" s="501"/>
      <c r="DL17" s="501"/>
      <c r="DM17" s="501"/>
      <c r="DN17" s="501"/>
      <c r="DO17" s="501"/>
    </row>
    <row r="18" spans="1:120" s="1266" customFormat="1" ht="25.5" customHeight="1" thickBot="1">
      <c r="A18" s="1268"/>
      <c r="B18" s="771" t="s">
        <v>715</v>
      </c>
      <c r="C18" s="3478"/>
      <c r="D18" s="3478"/>
      <c r="E18" s="772"/>
      <c r="F18" s="772"/>
      <c r="G18" s="772"/>
      <c r="H18" s="772"/>
      <c r="I18" s="772"/>
      <c r="J18" s="772"/>
      <c r="K18" s="772"/>
      <c r="L18" s="772"/>
      <c r="M18" s="772"/>
      <c r="N18" s="772"/>
      <c r="O18" s="772"/>
      <c r="P18" s="772"/>
      <c r="Q18" s="772"/>
      <c r="R18" s="772"/>
      <c r="S18" s="773"/>
    </row>
    <row r="19" spans="1:120" s="1266" customFormat="1" ht="25.5" customHeight="1" thickBot="1">
      <c r="A19" s="1268"/>
      <c r="B19" s="2265" t="s">
        <v>1635</v>
      </c>
      <c r="C19" s="2271"/>
      <c r="D19" s="2271"/>
      <c r="E19" s="814"/>
      <c r="F19" s="814"/>
      <c r="G19" s="814"/>
      <c r="H19" s="814"/>
      <c r="I19" s="814"/>
      <c r="J19" s="814"/>
      <c r="K19" s="814"/>
      <c r="L19" s="814"/>
      <c r="M19" s="814"/>
      <c r="N19" s="814"/>
      <c r="O19" s="814"/>
      <c r="P19" s="814"/>
      <c r="Q19" s="814"/>
      <c r="R19" s="814"/>
      <c r="S19" s="815"/>
    </row>
    <row r="20" spans="1:120" s="1266" customFormat="1" ht="25.5" customHeight="1" thickBot="1">
      <c r="A20" s="1268"/>
      <c r="B20" s="2269" t="s">
        <v>1636</v>
      </c>
      <c r="C20" s="2271"/>
      <c r="D20" s="2271"/>
      <c r="E20" s="814"/>
      <c r="F20" s="814"/>
      <c r="G20" s="814"/>
      <c r="H20" s="814"/>
      <c r="I20" s="814"/>
      <c r="J20" s="814"/>
      <c r="K20" s="814"/>
      <c r="L20" s="814"/>
      <c r="M20" s="814"/>
      <c r="N20" s="814"/>
      <c r="O20" s="814"/>
      <c r="P20" s="814"/>
      <c r="Q20" s="814"/>
      <c r="R20" s="814"/>
      <c r="S20" s="815"/>
    </row>
    <row r="21" spans="1:120" s="1266" customFormat="1" ht="20.25" customHeight="1" thickBot="1">
      <c r="A21" s="1268"/>
      <c r="B21" s="1387" t="s">
        <v>750</v>
      </c>
      <c r="C21" s="1431"/>
      <c r="D21" s="1431"/>
      <c r="E21" s="1678"/>
      <c r="F21" s="1678"/>
      <c r="G21" s="1678"/>
      <c r="H21" s="1678"/>
      <c r="I21" s="1678"/>
      <c r="J21" s="1678"/>
      <c r="K21" s="1678"/>
      <c r="L21" s="1678"/>
      <c r="M21" s="1678"/>
      <c r="N21" s="1678"/>
      <c r="O21" s="1678"/>
      <c r="P21" s="1678"/>
      <c r="Q21" s="1678"/>
      <c r="R21" s="1678"/>
      <c r="S21" s="1685"/>
    </row>
    <row r="22" spans="1:120">
      <c r="B22" s="4784" t="s">
        <v>1637</v>
      </c>
      <c r="C22" s="4787" t="s">
        <v>48</v>
      </c>
      <c r="D22" s="4790"/>
      <c r="E22" s="1650">
        <f>'[18]27.1 Customer numbers Total'!D28</f>
        <v>637667.5</v>
      </c>
      <c r="F22" s="1651">
        <f>'[18]27.1 Customer numbers Total'!E28</f>
        <v>643353.5</v>
      </c>
      <c r="G22" s="1651">
        <f>'[18]27.1 Customer numbers Total'!F28</f>
        <v>649035.5</v>
      </c>
      <c r="H22" s="1651">
        <f>'[18]27.1 Customer numbers Total'!G28</f>
        <v>654031.5</v>
      </c>
      <c r="I22" s="1683">
        <f>'[18]27.1 Customer numbers Total'!H28</f>
        <v>659128</v>
      </c>
      <c r="J22" s="1650">
        <f>'[18]27.1 Customer numbers Total'!I28</f>
        <v>664034</v>
      </c>
      <c r="K22" s="1651">
        <f>'[18]27.1 Customer numbers Total'!J28</f>
        <v>668686</v>
      </c>
      <c r="L22" s="1651">
        <f>'[18]27.1 Customer numbers Total'!K28</f>
        <v>673033</v>
      </c>
      <c r="M22" s="1651">
        <f>'[18]27.1 Customer numbers Total'!L28</f>
        <v>676543.25333423866</v>
      </c>
      <c r="N22" s="1683">
        <f>'[18]27.1 Customer numbers Total'!M28</f>
        <v>679744.30684699398</v>
      </c>
      <c r="O22" s="1650">
        <f>'[18]27.1 Customer numbers Total'!N28</f>
        <v>683241.90185601055</v>
      </c>
      <c r="P22" s="1651">
        <f>'[18]27.1 Customer numbers Total'!O28</f>
        <v>686951.9645023169</v>
      </c>
      <c r="Q22" s="1651">
        <f>'[18]27.1 Customer numbers Total'!P28</f>
        <v>690717.08039339259</v>
      </c>
      <c r="R22" s="1651">
        <f>'[18]27.1 Customer numbers Total'!Q28</f>
        <v>694462.92843544018</v>
      </c>
      <c r="S22" s="1652">
        <f>'[18]27.1 Customer numbers Total'!R28</f>
        <v>698120.85244528204</v>
      </c>
      <c r="AE22" s="1266"/>
      <c r="DP22" s="223"/>
    </row>
    <row r="23" spans="1:120">
      <c r="B23" s="4785"/>
      <c r="C23" s="890" t="s">
        <v>1638</v>
      </c>
      <c r="D23" s="851" t="s">
        <v>1638</v>
      </c>
      <c r="E23" s="3479">
        <f>'28.2 Consumption &amp; demand METRO'!E23+'28.3 Consumption &amp; demand YV'!E23+'28.4 Consumption &amp; demand SG'!E23</f>
        <v>3546.3599999999997</v>
      </c>
      <c r="F23" s="3480">
        <f>'28.2 Consumption &amp; demand METRO'!F23+'28.3 Consumption &amp; demand YV'!F23+'28.4 Consumption &amp; demand SG'!F23</f>
        <v>3573.665</v>
      </c>
      <c r="G23" s="3480">
        <f>'28.2 Consumption &amp; demand METRO'!G23+'28.3 Consumption &amp; demand YV'!G23+'28.4 Consumption &amp; demand SG'!G23</f>
        <v>3600.127</v>
      </c>
      <c r="H23" s="3480">
        <f>'28.2 Consumption &amp; demand METRO'!H23+'28.3 Consumption &amp; demand YV'!H23+'28.4 Consumption &amp; demand SG'!H23</f>
        <v>3599.1106620815062</v>
      </c>
      <c r="I23" s="3481">
        <f>'28.2 Consumption &amp; demand METRO'!I23+'28.3 Consumption &amp; demand YV'!I23+'28.4 Consumption &amp; demand SG'!I23</f>
        <v>3618.5961044351998</v>
      </c>
      <c r="J23" s="3479">
        <f>'28.2 Consumption &amp; demand METRO'!J23+'28.3 Consumption &amp; demand YV'!J23+'28.4 Consumption &amp; demand SG'!J23</f>
        <v>3638.785159855734</v>
      </c>
      <c r="K23" s="3480">
        <f>'28.2 Consumption &amp; demand METRO'!K23+'28.3 Consumption &amp; demand YV'!K23+'28.4 Consumption &amp; demand SG'!K23</f>
        <v>3644.0088554007511</v>
      </c>
      <c r="L23" s="3480">
        <f>'28.2 Consumption &amp; demand METRO'!L23+'28.3 Consumption &amp; demand YV'!L23+'28.4 Consumption &amp; demand SG'!L23</f>
        <v>3675.8138467478047</v>
      </c>
      <c r="M23" s="3480">
        <f>'28.2 Consumption &amp; demand METRO'!M23+'28.3 Consumption &amp; demand YV'!M23+'28.4 Consumption &amp; demand SG'!M23</f>
        <v>3594.6231681146273</v>
      </c>
      <c r="N23" s="3481">
        <f>'28.2 Consumption &amp; demand METRO'!N23+'28.3 Consumption &amp; demand YV'!N23+'28.4 Consumption &amp; demand SG'!N23</f>
        <v>3585.7425523577826</v>
      </c>
      <c r="O23" s="3479">
        <f>'28.2 Consumption &amp; demand METRO'!O23+'28.3 Consumption &amp; demand YV'!O23+'28.4 Consumption &amp; demand SG'!O23</f>
        <v>3549.5754727715575</v>
      </c>
      <c r="P23" s="3480">
        <f>'28.2 Consumption &amp; demand METRO'!P23+'28.3 Consumption &amp; demand YV'!P23+'28.4 Consumption &amp; demand SG'!P23</f>
        <v>3501.2439544485969</v>
      </c>
      <c r="Q23" s="3480">
        <f>'28.2 Consumption &amp; demand METRO'!Q23+'28.3 Consumption &amp; demand YV'!Q23+'28.4 Consumption &amp; demand SG'!Q23</f>
        <v>3455.8202628085496</v>
      </c>
      <c r="R23" s="3480">
        <f>'28.2 Consumption &amp; demand METRO'!R23+'28.3 Consumption &amp; demand YV'!R23+'28.4 Consumption &amp; demand SG'!R23</f>
        <v>3403.3630674755905</v>
      </c>
      <c r="S23" s="3482">
        <f>'28.2 Consumption &amp; demand METRO'!S23+'28.3 Consumption &amp; demand YV'!S23+'28.4 Consumption &amp; demand SG'!S23</f>
        <v>3354.7511521794572</v>
      </c>
      <c r="AE23" s="1266"/>
      <c r="DP23" s="223"/>
    </row>
    <row r="24" spans="1:120">
      <c r="B24" s="4785"/>
      <c r="C24" s="890" t="s">
        <v>1639</v>
      </c>
      <c r="D24" s="851" t="s">
        <v>1639</v>
      </c>
      <c r="E24" s="3479">
        <f>'28.2 Consumption &amp; demand METRO'!E24+'28.3 Consumption &amp; demand YV'!E24+'28.4 Consumption &amp; demand SG'!E24</f>
        <v>3153.2740000000003</v>
      </c>
      <c r="F24" s="3480">
        <f>'28.2 Consumption &amp; demand METRO'!F24+'28.3 Consumption &amp; demand YV'!F24+'28.4 Consumption &amp; demand SG'!F24</f>
        <v>3161.9419999999996</v>
      </c>
      <c r="G24" s="3480">
        <f>'28.2 Consumption &amp; demand METRO'!G24+'28.3 Consumption &amp; demand YV'!G24+'28.4 Consumption &amp; demand SG'!G24</f>
        <v>3201.5060000000003</v>
      </c>
      <c r="H24" s="3480">
        <f>'28.2 Consumption &amp; demand METRO'!H24+'28.3 Consumption &amp; demand YV'!H24+'28.4 Consumption &amp; demand SG'!H24</f>
        <v>3134.3911154127936</v>
      </c>
      <c r="I24" s="3481">
        <f>'28.2 Consumption &amp; demand METRO'!I24+'28.3 Consumption &amp; demand YV'!I24+'28.4 Consumption &amp; demand SG'!I24</f>
        <v>3170.6036053666426</v>
      </c>
      <c r="J24" s="3479">
        <f>'28.2 Consumption &amp; demand METRO'!J24+'28.3 Consumption &amp; demand YV'!J24+'28.4 Consumption &amp; demand SG'!J24</f>
        <v>3129.6110641076102</v>
      </c>
      <c r="K24" s="3480">
        <f>'28.2 Consumption &amp; demand METRO'!K24+'28.3 Consumption &amp; demand YV'!K24+'28.4 Consumption &amp; demand SG'!K24</f>
        <v>3112.4460337988771</v>
      </c>
      <c r="L24" s="3480">
        <f>'28.2 Consumption &amp; demand METRO'!L24+'28.3 Consumption &amp; demand YV'!L24+'28.4 Consumption &amp; demand SG'!L24</f>
        <v>3163.2431647406011</v>
      </c>
      <c r="M24" s="3480">
        <f>'28.2 Consumption &amp; demand METRO'!M24+'28.3 Consumption &amp; demand YV'!M24+'28.4 Consumption &amp; demand SG'!M24</f>
        <v>3134.7317967781291</v>
      </c>
      <c r="N24" s="3481">
        <f>'28.2 Consumption &amp; demand METRO'!N24+'28.3 Consumption &amp; demand YV'!N24+'28.4 Consumption &amp; demand SG'!N24</f>
        <v>3126.66403429402</v>
      </c>
      <c r="O24" s="3479">
        <f>'28.2 Consumption &amp; demand METRO'!O24+'28.3 Consumption &amp; demand YV'!O24+'28.4 Consumption &amp; demand SG'!O24</f>
        <v>3095.1475011313491</v>
      </c>
      <c r="P24" s="3480">
        <f>'28.2 Consumption &amp; demand METRO'!P24+'28.3 Consumption &amp; demand YV'!P24+'28.4 Consumption &amp; demand SG'!P24</f>
        <v>3053.0586402867511</v>
      </c>
      <c r="Q24" s="3480">
        <f>'28.2 Consumption &amp; demand METRO'!Q24+'28.3 Consumption &amp; demand YV'!Q24+'28.4 Consumption &amp; demand SG'!Q24</f>
        <v>3013.5084643325226</v>
      </c>
      <c r="R24" s="3480">
        <f>'28.2 Consumption &amp; demand METRO'!R24+'28.3 Consumption &amp; demand YV'!R24+'28.4 Consumption &amp; demand SG'!R24</f>
        <v>2967.7338443393141</v>
      </c>
      <c r="S24" s="3482">
        <f>'28.2 Consumption &amp; demand METRO'!S24+'28.3 Consumption &amp; demand YV'!S24+'28.4 Consumption &amp; demand SG'!S24</f>
        <v>2925.3388558525612</v>
      </c>
      <c r="AE24" s="1266"/>
      <c r="DP24" s="223"/>
    </row>
    <row r="25" spans="1:120">
      <c r="B25" s="4785"/>
      <c r="C25" s="890" t="s">
        <v>1640</v>
      </c>
      <c r="D25" s="851" t="s">
        <v>1640</v>
      </c>
      <c r="E25" s="3479">
        <f>'28.2 Consumption &amp; demand METRO'!E25+'28.3 Consumption &amp; demand YV'!E25+'28.4 Consumption &amp; demand SG'!E25</f>
        <v>2795.6660000000002</v>
      </c>
      <c r="F25" s="3480">
        <f>'28.2 Consumption &amp; demand METRO'!F25+'28.3 Consumption &amp; demand YV'!F25+'28.4 Consumption &amp; demand SG'!F25</f>
        <v>2794.4259999999999</v>
      </c>
      <c r="G25" s="3480">
        <f>'28.2 Consumption &amp; demand METRO'!G25+'28.3 Consumption &amp; demand YV'!G25+'28.4 Consumption &amp; demand SG'!G25</f>
        <v>2870.895</v>
      </c>
      <c r="H25" s="3480">
        <f>'28.2 Consumption &amp; demand METRO'!H25+'28.3 Consumption &amp; demand YV'!H25+'28.4 Consumption &amp; demand SG'!H25</f>
        <v>2732.3905535549848</v>
      </c>
      <c r="I25" s="3481">
        <f>'28.2 Consumption &amp; demand METRO'!I25+'28.3 Consumption &amp; demand YV'!I25+'28.4 Consumption &amp; demand SG'!I25</f>
        <v>2805.0217519669595</v>
      </c>
      <c r="J25" s="3479">
        <f>'28.2 Consumption &amp; demand METRO'!J25+'28.3 Consumption &amp; demand YV'!J25+'28.4 Consumption &amp; demand SG'!J25</f>
        <v>2707.1948574036946</v>
      </c>
      <c r="K25" s="3480">
        <f>'28.2 Consumption &amp; demand METRO'!K25+'28.3 Consumption &amp; demand YV'!K25+'28.4 Consumption &amp; demand SG'!K25</f>
        <v>2683.4409976747124</v>
      </c>
      <c r="L25" s="3480">
        <f>'28.2 Consumption &amp; demand METRO'!L25+'28.3 Consumption &amp; demand YV'!L25+'28.4 Consumption &amp; demand SG'!L25</f>
        <v>2775.8221731971107</v>
      </c>
      <c r="M25" s="3480">
        <f>'28.2 Consumption &amp; demand METRO'!M25+'28.3 Consumption &amp; demand YV'!M25+'28.4 Consumption &amp; demand SG'!M25</f>
        <v>2751.5371049086989</v>
      </c>
      <c r="N25" s="3481">
        <f>'28.2 Consumption &amp; demand METRO'!N25+'28.3 Consumption &amp; demand YV'!N25+'28.4 Consumption &amp; demand SG'!N25</f>
        <v>2744.3713542468786</v>
      </c>
      <c r="O25" s="3479">
        <f>'28.2 Consumption &amp; demand METRO'!O25+'28.3 Consumption &amp; demand YV'!O25+'28.4 Consumption &amp; demand SG'!O25</f>
        <v>2716.7296267479419</v>
      </c>
      <c r="P25" s="3480">
        <f>'28.2 Consumption &amp; demand METRO'!P25+'28.3 Consumption &amp; demand YV'!P25+'28.4 Consumption &amp; demand SG'!P25</f>
        <v>2679.9051223038841</v>
      </c>
      <c r="Q25" s="3480">
        <f>'28.2 Consumption &amp; demand METRO'!Q25+'28.3 Consumption &amp; demand YV'!Q25+'28.4 Consumption &amp; demand SG'!Q25</f>
        <v>2645.3455327159049</v>
      </c>
      <c r="R25" s="3480">
        <f>'28.2 Consumption &amp; demand METRO'!R25+'28.3 Consumption &amp; demand YV'!R25+'28.4 Consumption &amp; demand SG'!R25</f>
        <v>2605.1895316428308</v>
      </c>
      <c r="S25" s="3482">
        <f>'28.2 Consumption &amp; demand METRO'!S25+'28.3 Consumption &amp; demand YV'!S25+'28.4 Consumption &amp; demand SG'!S25</f>
        <v>2568.0657080726651</v>
      </c>
      <c r="AE25" s="1266"/>
      <c r="DP25" s="223"/>
    </row>
    <row r="26" spans="1:120">
      <c r="B26" s="4785"/>
      <c r="C26" s="890" t="s">
        <v>1641</v>
      </c>
      <c r="D26" s="851" t="s">
        <v>1641</v>
      </c>
      <c r="E26" s="3479">
        <f>'28.2 Consumption &amp; demand METRO'!E26+'28.3 Consumption &amp; demand YV'!E26+'28.4 Consumption &amp; demand SG'!E26</f>
        <v>4544.21</v>
      </c>
      <c r="F26" s="3480">
        <f>'28.2 Consumption &amp; demand METRO'!F26+'28.3 Consumption &amp; demand YV'!F26+'28.4 Consumption &amp; demand SG'!F26</f>
        <v>4480.6970000000001</v>
      </c>
      <c r="G26" s="3480">
        <f>'28.2 Consumption &amp; demand METRO'!G26+'28.3 Consumption &amp; demand YV'!G26+'28.4 Consumption &amp; demand SG'!G26</f>
        <v>4766.518</v>
      </c>
      <c r="H26" s="3480">
        <f>'28.2 Consumption &amp; demand METRO'!H26+'28.3 Consumption &amp; demand YV'!H26+'28.4 Consumption &amp; demand SG'!H26</f>
        <v>4325.3332733241214</v>
      </c>
      <c r="I26" s="3481">
        <f>'28.2 Consumption &amp; demand METRO'!I26+'28.3 Consumption &amp; demand YV'!I26+'28.4 Consumption &amp; demand SG'!I26</f>
        <v>4569.9331021433773</v>
      </c>
      <c r="J26" s="3479">
        <f>'28.2 Consumption &amp; demand METRO'!J26+'28.3 Consumption &amp; demand YV'!J26+'28.4 Consumption &amp; demand SG'!J26</f>
        <v>4235.1204011494974</v>
      </c>
      <c r="K26" s="3480">
        <f>'28.2 Consumption &amp; demand METRO'!K26+'28.3 Consumption &amp; demand YV'!K26+'28.4 Consumption &amp; demand SG'!K26</f>
        <v>4200.4064452808161</v>
      </c>
      <c r="L26" s="3480">
        <f>'28.2 Consumption &amp; demand METRO'!L26+'28.3 Consumption &amp; demand YV'!L26+'28.4 Consumption &amp; demand SG'!L26</f>
        <v>4528.8547553214239</v>
      </c>
      <c r="M26" s="3480">
        <f>'28.2 Consumption &amp; demand METRO'!M26+'28.3 Consumption &amp; demand YV'!M26+'28.4 Consumption &amp; demand SG'!M26</f>
        <v>4418.6609520211496</v>
      </c>
      <c r="N26" s="3481">
        <f>'28.2 Consumption &amp; demand METRO'!N26+'28.3 Consumption &amp; demand YV'!N26+'28.4 Consumption &amp; demand SG'!N26</f>
        <v>4407.0158813734943</v>
      </c>
      <c r="O26" s="3479">
        <f>'28.2 Consumption &amp; demand METRO'!O26+'28.3 Consumption &amp; demand YV'!O26+'28.4 Consumption &amp; demand SG'!O26</f>
        <v>4361.4554168853738</v>
      </c>
      <c r="P26" s="3480">
        <f>'28.2 Consumption &amp; demand METRO'!P26+'28.3 Consumption &amp; demand YV'!P26+'28.4 Consumption &amp; demand SG'!P26</f>
        <v>4301.3271151793879</v>
      </c>
      <c r="Q26" s="3480">
        <f>'28.2 Consumption &amp; demand METRO'!Q26+'28.3 Consumption &amp; demand YV'!Q26+'28.4 Consumption &amp; demand SG'!Q26</f>
        <v>4244.8626802034732</v>
      </c>
      <c r="R26" s="3480">
        <f>'28.2 Consumption &amp; demand METRO'!R26+'28.3 Consumption &amp; demand YV'!R26+'28.4 Consumption &amp; demand SG'!R26</f>
        <v>4179.1020699348292</v>
      </c>
      <c r="S26" s="3482">
        <f>'28.2 Consumption &amp; demand METRO'!S26+'28.3 Consumption &amp; demand YV'!S26+'28.4 Consumption &amp; demand SG'!S26</f>
        <v>4118.4182488833621</v>
      </c>
      <c r="AE26" s="1266"/>
      <c r="DP26" s="223"/>
    </row>
    <row r="27" spans="1:120">
      <c r="B27" s="4785"/>
      <c r="C27" s="890" t="s">
        <v>1642</v>
      </c>
      <c r="D27" s="851" t="s">
        <v>1642</v>
      </c>
      <c r="E27" s="3479">
        <f>'28.2 Consumption &amp; demand METRO'!E27+'28.3 Consumption &amp; demand YV'!E27+'28.4 Consumption &amp; demand SG'!E27</f>
        <v>8765.7709999999988</v>
      </c>
      <c r="F27" s="3480">
        <f>'28.2 Consumption &amp; demand METRO'!F27+'28.3 Consumption &amp; demand YV'!F27+'28.4 Consumption &amp; demand SG'!F27</f>
        <v>7742.88</v>
      </c>
      <c r="G27" s="3480">
        <f>'28.2 Consumption &amp; demand METRO'!G27+'28.3 Consumption &amp; demand YV'!G27+'28.4 Consumption &amp; demand SG'!G27</f>
        <v>9708.6770000000015</v>
      </c>
      <c r="H27" s="3480">
        <f>'28.2 Consumption &amp; demand METRO'!H27+'28.3 Consumption &amp; demand YV'!H27+'28.4 Consumption &amp; demand SG'!H27</f>
        <v>7656.2168465252289</v>
      </c>
      <c r="I27" s="3481">
        <f>'28.2 Consumption &amp; demand METRO'!I27+'28.3 Consumption &amp; demand YV'!I27+'28.4 Consumption &amp; demand SG'!I27</f>
        <v>8897.7927212771083</v>
      </c>
      <c r="J27" s="3479">
        <f>'28.2 Consumption &amp; demand METRO'!J27+'28.3 Consumption &amp; demand YV'!J27+'28.4 Consumption &amp; demand SG'!J27</f>
        <v>7326.8189147893972</v>
      </c>
      <c r="K27" s="3480">
        <f>'28.2 Consumption &amp; demand METRO'!K27+'28.3 Consumption &amp; demand YV'!K27+'28.4 Consumption &amp; demand SG'!K27</f>
        <v>7296.2263655807101</v>
      </c>
      <c r="L27" s="3480">
        <f>'28.2 Consumption &amp; demand METRO'!L27+'28.3 Consumption &amp; demand YV'!L27+'28.4 Consumption &amp; demand SG'!L27</f>
        <v>9220.3768167996877</v>
      </c>
      <c r="M27" s="3480">
        <f>'28.2 Consumption &amp; demand METRO'!M27+'28.3 Consumption &amp; demand YV'!M27+'28.4 Consumption &amp; demand SG'!M27</f>
        <v>8219.6440796523839</v>
      </c>
      <c r="N27" s="3481">
        <f>'28.2 Consumption &amp; demand METRO'!N27+'28.3 Consumption &amp; demand YV'!N27+'28.4 Consumption &amp; demand SG'!N27</f>
        <v>8197.2650645687263</v>
      </c>
      <c r="O27" s="3479">
        <f>'28.2 Consumption &amp; demand METRO'!O27+'28.3 Consumption &amp; demand YV'!O27+'28.4 Consumption &amp; demand SG'!O27</f>
        <v>8154.6951149165216</v>
      </c>
      <c r="P27" s="3480">
        <f>'28.2 Consumption &amp; demand METRO'!P27+'28.3 Consumption &amp; demand YV'!P27+'28.4 Consumption &amp; demand SG'!P27</f>
        <v>8085.3493095422809</v>
      </c>
      <c r="Q27" s="3480">
        <f>'28.2 Consumption &amp; demand METRO'!Q27+'28.3 Consumption &amp; demand YV'!Q27+'28.4 Consumption &amp; demand SG'!Q27</f>
        <v>8022.5087576545611</v>
      </c>
      <c r="R27" s="3480">
        <f>'28.2 Consumption &amp; demand METRO'!R27+'28.3 Consumption &amp; demand YV'!R27+'28.4 Consumption &amp; demand SG'!R27</f>
        <v>7941.4657110245826</v>
      </c>
      <c r="S27" s="3482">
        <f>'28.2 Consumption &amp; demand METRO'!S27+'28.3 Consumption &amp; demand YV'!S27+'28.4 Consumption &amp; demand SG'!S27</f>
        <v>7870.6481959949169</v>
      </c>
      <c r="AE27" s="1266"/>
      <c r="DP27" s="223"/>
    </row>
    <row r="28" spans="1:120">
      <c r="B28" s="4785"/>
      <c r="C28" s="890" t="s">
        <v>1643</v>
      </c>
      <c r="D28" s="851" t="s">
        <v>1643</v>
      </c>
      <c r="E28" s="3479">
        <f>'28.2 Consumption &amp; demand METRO'!E28+'28.3 Consumption &amp; demand YV'!E28+'28.4 Consumption &amp; demand SG'!E28</f>
        <v>1757.4390000000001</v>
      </c>
      <c r="F28" s="3480">
        <f>'28.2 Consumption &amp; demand METRO'!F28+'28.3 Consumption &amp; demand YV'!F28+'28.4 Consumption &amp; demand SG'!F28</f>
        <v>1775.6670000000001</v>
      </c>
      <c r="G28" s="3480">
        <f>'28.2 Consumption &amp; demand METRO'!G28+'28.3 Consumption &amp; demand YV'!G28+'28.4 Consumption &amp; demand SG'!G28</f>
        <v>1782.998</v>
      </c>
      <c r="H28" s="3480">
        <f>'28.2 Consumption &amp; demand METRO'!H28+'28.3 Consumption &amp; demand YV'!H28+'28.4 Consumption &amp; demand SG'!H28</f>
        <v>1786.4807194651141</v>
      </c>
      <c r="I28" s="3481">
        <f>'28.2 Consumption &amp; demand METRO'!I28+'28.3 Consumption &amp; demand YV'!I28+'28.4 Consumption &amp; demand SG'!I28</f>
        <v>1796.5046373714019</v>
      </c>
      <c r="J28" s="3479">
        <f>'28.2 Consumption &amp; demand METRO'!J28+'28.3 Consumption &amp; demand YV'!J28+'28.4 Consumption &amp; demand SG'!J28</f>
        <v>1803.6021316208646</v>
      </c>
      <c r="K28" s="3480">
        <f>'28.2 Consumption &amp; demand METRO'!K28+'28.3 Consumption &amp; demand YV'!K28+'28.4 Consumption &amp; demand SG'!K28</f>
        <v>1789.0145588599482</v>
      </c>
      <c r="L28" s="3480">
        <f>'28.2 Consumption &amp; demand METRO'!L28+'28.3 Consumption &amp; demand YV'!L28+'28.4 Consumption &amp; demand SG'!L28</f>
        <v>1798.5873559799215</v>
      </c>
      <c r="M28" s="3480">
        <f>'28.2 Consumption &amp; demand METRO'!M28+'28.3 Consumption &amp; demand YV'!M28+'28.4 Consumption &amp; demand SG'!M28</f>
        <v>1722.1662197294149</v>
      </c>
      <c r="N28" s="3481">
        <f>'28.2 Consumption &amp; demand METRO'!N28+'28.3 Consumption &amp; demand YV'!N28+'28.4 Consumption &amp; demand SG'!N28</f>
        <v>1719.8059492328277</v>
      </c>
      <c r="O28" s="3479">
        <f>'28.2 Consumption &amp; demand METRO'!O28+'28.3 Consumption &amp; demand YV'!O28+'28.4 Consumption &amp; demand SG'!O28</f>
        <v>1704.5210122339342</v>
      </c>
      <c r="P28" s="3480">
        <f>'28.2 Consumption &amp; demand METRO'!P28+'28.3 Consumption &amp; demand YV'!P28+'28.4 Consumption &amp; demand SG'!P28</f>
        <v>1683.4063272319952</v>
      </c>
      <c r="Q28" s="3480">
        <f>'28.2 Consumption &amp; demand METRO'!Q28+'28.3 Consumption &amp; demand YV'!Q28+'28.4 Consumption &amp; demand SG'!Q28</f>
        <v>1663.3525158523307</v>
      </c>
      <c r="R28" s="3480">
        <f>'28.2 Consumption &amp; demand METRO'!R28+'28.3 Consumption &amp; demand YV'!R28+'28.4 Consumption &amp; demand SG'!R28</f>
        <v>1640.0879309694189</v>
      </c>
      <c r="S28" s="3482">
        <f>'28.2 Consumption &amp; demand METRO'!S28+'28.3 Consumption &amp; demand YV'!S28+'28.4 Consumption &amp; demand SG'!S28</f>
        <v>1618.5638398763615</v>
      </c>
      <c r="AE28" s="1266"/>
      <c r="DP28" s="223"/>
    </row>
    <row r="29" spans="1:120">
      <c r="B29" s="4785"/>
      <c r="C29" s="890" t="s">
        <v>1644</v>
      </c>
      <c r="D29" s="851" t="s">
        <v>1644</v>
      </c>
      <c r="E29" s="3479">
        <f>'28.2 Consumption &amp; demand METRO'!E29+'28.3 Consumption &amp; demand YV'!E29+'28.4 Consumption &amp; demand SG'!E29</f>
        <v>1411.9540000000002</v>
      </c>
      <c r="F29" s="3480">
        <f>'28.2 Consumption &amp; demand METRO'!F29+'28.3 Consumption &amp; demand YV'!F29+'28.4 Consumption &amp; demand SG'!F29</f>
        <v>1437.7920000000001</v>
      </c>
      <c r="G29" s="3480">
        <f>'28.2 Consumption &amp; demand METRO'!G29+'28.3 Consumption &amp; demand YV'!G29+'28.4 Consumption &amp; demand SG'!G29</f>
        <v>1432.307</v>
      </c>
      <c r="H29" s="3480">
        <f>'28.2 Consumption &amp; demand METRO'!H29+'28.3 Consumption &amp; demand YV'!H29+'28.4 Consumption &amp; demand SG'!H29</f>
        <v>1413.0429089070337</v>
      </c>
      <c r="I29" s="3481">
        <f>'28.2 Consumption &amp; demand METRO'!I29+'28.3 Consumption &amp; demand YV'!I29+'28.4 Consumption &amp; demand SG'!I29</f>
        <v>1436.4652763440647</v>
      </c>
      <c r="J29" s="3479">
        <f>'28.2 Consumption &amp; demand METRO'!J29+'28.3 Consumption &amp; demand YV'!J29+'28.4 Consumption &amp; demand SG'!J29</f>
        <v>1427.7057437453036</v>
      </c>
      <c r="K29" s="3480">
        <f>'28.2 Consumption &amp; demand METRO'!K29+'28.3 Consumption &amp; demand YV'!K29+'28.4 Consumption &amp; demand SG'!K29</f>
        <v>1326.6670028347341</v>
      </c>
      <c r="L29" s="3480">
        <f>'28.2 Consumption &amp; demand METRO'!L29+'28.3 Consumption &amp; demand YV'!L29+'28.4 Consumption &amp; demand SG'!L29</f>
        <v>1344.9207905932678</v>
      </c>
      <c r="M29" s="3480">
        <f>'28.2 Consumption &amp; demand METRO'!M29+'28.3 Consumption &amp; demand YV'!M29+'28.4 Consumption &amp; demand SG'!M29</f>
        <v>1349.8785289356174</v>
      </c>
      <c r="N29" s="3481">
        <f>'28.2 Consumption &amp; demand METRO'!N29+'28.3 Consumption &amp; demand YV'!N29+'28.4 Consumption &amp; demand SG'!N29</f>
        <v>1347.8903036056074</v>
      </c>
      <c r="O29" s="3479">
        <f>'28.2 Consumption &amp; demand METRO'!O29+'28.3 Consumption &amp; demand YV'!O29+'28.4 Consumption &amp; demand SG'!O29</f>
        <v>1335.9390979066566</v>
      </c>
      <c r="P29" s="3480">
        <f>'28.2 Consumption &amp; demand METRO'!P29+'28.3 Consumption &amp; demand YV'!P29+'28.4 Consumption &amp; demand SG'!P29</f>
        <v>1319.4279886676031</v>
      </c>
      <c r="Q29" s="3480">
        <f>'28.2 Consumption &amp; demand METRO'!Q29+'28.3 Consumption &amp; demand YV'!Q29+'28.4 Consumption &amp; demand SG'!Q29</f>
        <v>1303.9998768094201</v>
      </c>
      <c r="R29" s="3480">
        <f>'28.2 Consumption &amp; demand METRO'!R29+'28.3 Consumption &amp; demand YV'!R29+'28.4 Consumption &amp; demand SG'!R29</f>
        <v>1285.8393096907607</v>
      </c>
      <c r="S29" s="3482">
        <f>'28.2 Consumption &amp; demand METRO'!S29+'28.3 Consumption &amp; demand YV'!S29+'28.4 Consumption &amp; demand SG'!S29</f>
        <v>1269.0767849411802</v>
      </c>
      <c r="AE29" s="1266"/>
      <c r="DP29" s="223"/>
    </row>
    <row r="30" spans="1:120">
      <c r="B30" s="4785"/>
      <c r="C30" s="890" t="s">
        <v>1645</v>
      </c>
      <c r="D30" s="851" t="s">
        <v>1645</v>
      </c>
      <c r="E30" s="3479">
        <f>'28.2 Consumption &amp; demand METRO'!E30+'28.3 Consumption &amp; demand YV'!E30+'28.4 Consumption &amp; demand SG'!E30</f>
        <v>1079.9459999999999</v>
      </c>
      <c r="F30" s="3480">
        <f>'28.2 Consumption &amp; demand METRO'!F30+'28.3 Consumption &amp; demand YV'!F30+'28.4 Consumption &amp; demand SG'!F30</f>
        <v>1123.749</v>
      </c>
      <c r="G30" s="3480">
        <f>'28.2 Consumption &amp; demand METRO'!G30+'28.3 Consumption &amp; demand YV'!G30+'28.4 Consumption &amp; demand SG'!G30</f>
        <v>1105.771</v>
      </c>
      <c r="H30" s="3480">
        <f>'28.2 Consumption &amp; demand METRO'!H30+'28.3 Consumption &amp; demand YV'!H30+'28.4 Consumption &amp; demand SG'!H30</f>
        <v>1078.6127290125978</v>
      </c>
      <c r="I30" s="3481">
        <f>'28.2 Consumption &amp; demand METRO'!I30+'28.3 Consumption &amp; demand YV'!I30+'28.4 Consumption &amp; demand SG'!I30</f>
        <v>1113.9596196117109</v>
      </c>
      <c r="J30" s="3479">
        <f>'28.2 Consumption &amp; demand METRO'!J30+'28.3 Consumption &amp; demand YV'!J30+'28.4 Consumption &amp; demand SG'!J30</f>
        <v>1094.173742803976</v>
      </c>
      <c r="K30" s="3480">
        <f>'28.2 Consumption &amp; demand METRO'!K30+'28.3 Consumption &amp; demand YV'!K30+'28.4 Consumption &amp; demand SG'!K30</f>
        <v>938.50834305451679</v>
      </c>
      <c r="L30" s="3480">
        <f>'28.2 Consumption &amp; demand METRO'!L30+'28.3 Consumption &amp; demand YV'!L30+'28.4 Consumption &amp; demand SG'!L30</f>
        <v>1001.7958827666696</v>
      </c>
      <c r="M30" s="3480">
        <f>'28.2 Consumption &amp; demand METRO'!M30+'28.3 Consumption &amp; demand YV'!M30+'28.4 Consumption &amp; demand SG'!M30</f>
        <v>1023.5742360625095</v>
      </c>
      <c r="N30" s="3481">
        <f>'28.2 Consumption &amp; demand METRO'!N30+'28.3 Consumption &amp; demand YV'!N30+'28.4 Consumption &amp; demand SG'!N30</f>
        <v>1021.9852867148111</v>
      </c>
      <c r="O30" s="3479">
        <f>'28.2 Consumption &amp; demand METRO'!O30+'28.3 Consumption &amp; demand YV'!O30+'28.4 Consumption &amp; demand SG'!O30</f>
        <v>1012.5360558271984</v>
      </c>
      <c r="P30" s="3480">
        <f>'28.2 Consumption &amp; demand METRO'!P30+'28.3 Consumption &amp; demand YV'!P30+'28.4 Consumption &amp; demand SG'!P30</f>
        <v>999.66829437895137</v>
      </c>
      <c r="Q30" s="3480">
        <f>'28.2 Consumption &amp; demand METRO'!Q30+'28.3 Consumption &amp; demand YV'!Q30+'28.4 Consumption &amp; demand SG'!Q30</f>
        <v>987.70120284449729</v>
      </c>
      <c r="R30" s="3480">
        <f>'28.2 Consumption &amp; demand METRO'!R30+'28.3 Consumption &amp; demand YV'!R30+'28.4 Consumption &amp; demand SG'!R30</f>
        <v>973.4947264418463</v>
      </c>
      <c r="S30" s="3482">
        <f>'28.2 Consumption &amp; demand METRO'!S30+'28.3 Consumption &amp; demand YV'!S30+'28.4 Consumption &amp; demand SG'!S30</f>
        <v>960.42027840302808</v>
      </c>
      <c r="AE30" s="1266"/>
      <c r="DP30" s="223"/>
    </row>
    <row r="31" spans="1:120">
      <c r="B31" s="4785"/>
      <c r="C31" s="890" t="s">
        <v>1646</v>
      </c>
      <c r="D31" s="851" t="s">
        <v>1646</v>
      </c>
      <c r="E31" s="3479">
        <f>'28.2 Consumption &amp; demand METRO'!E31+'28.3 Consumption &amp; demand YV'!E31+'28.4 Consumption &amp; demand SG'!E31</f>
        <v>1410.133</v>
      </c>
      <c r="F31" s="3480">
        <f>'28.2 Consumption &amp; demand METRO'!F31+'28.3 Consumption &amp; demand YV'!F31+'28.4 Consumption &amp; demand SG'!F31</f>
        <v>1507.5830000000001</v>
      </c>
      <c r="G31" s="3480">
        <f>'28.2 Consumption &amp; demand METRO'!G31+'28.3 Consumption &amp; demand YV'!G31+'28.4 Consumption &amp; demand SG'!G31</f>
        <v>1457.153</v>
      </c>
      <c r="H31" s="3480">
        <f>'28.2 Consumption &amp; demand METRO'!H31+'28.3 Consumption &amp; demand YV'!H31+'28.4 Consumption &amp; demand SG'!H31</f>
        <v>1426.7585633741405</v>
      </c>
      <c r="I31" s="3481">
        <f>'28.2 Consumption &amp; demand METRO'!I31+'28.3 Consumption &amp; demand YV'!I31+'28.4 Consumption &amp; demand SG'!I31</f>
        <v>1487.8001977933623</v>
      </c>
      <c r="J31" s="3479">
        <f>'28.2 Consumption &amp; demand METRO'!J31+'28.3 Consumption &amp; demand YV'!J31+'28.4 Consumption &amp; demand SG'!J31</f>
        <v>1405.6770671354113</v>
      </c>
      <c r="K31" s="3480">
        <f>'28.2 Consumption &amp; demand METRO'!K31+'28.3 Consumption &amp; demand YV'!K31+'28.4 Consumption &amp; demand SG'!K31</f>
        <v>1104.6503201166836</v>
      </c>
      <c r="L31" s="3480">
        <f>'28.2 Consumption &amp; demand METRO'!L31+'28.3 Consumption &amp; demand YV'!L31+'28.4 Consumption &amp; demand SG'!L31</f>
        <v>1338.1002895602001</v>
      </c>
      <c r="M31" s="3480">
        <f>'28.2 Consumption &amp; demand METRO'!M31+'28.3 Consumption &amp; demand YV'!M31+'28.4 Consumption &amp; demand SG'!M31</f>
        <v>1331.5251462182082</v>
      </c>
      <c r="N31" s="3481">
        <f>'28.2 Consumption &amp; demand METRO'!N31+'28.3 Consumption &amp; demand YV'!N31+'28.4 Consumption &amp; demand SG'!N31</f>
        <v>1329.3558020729486</v>
      </c>
      <c r="O31" s="3479">
        <f>'28.2 Consumption &amp; demand METRO'!O31+'28.3 Consumption &amp; demand YV'!O31+'28.4 Consumption &amp; demand SG'!O31</f>
        <v>1331.974884016902</v>
      </c>
      <c r="P31" s="3480">
        <f>'28.2 Consumption &amp; demand METRO'!P31+'28.3 Consumption &amp; demand YV'!P31+'28.4 Consumption &amp; demand SG'!P31</f>
        <v>1330.2103976146302</v>
      </c>
      <c r="Q31" s="3480">
        <f>'28.2 Consumption &amp; demand METRO'!Q31+'28.3 Consumption &amp; demand YV'!Q31+'28.4 Consumption &amp; demand SG'!Q31</f>
        <v>1329.6276022538393</v>
      </c>
      <c r="R31" s="3480">
        <f>'28.2 Consumption &amp; demand METRO'!R31+'28.3 Consumption &amp; demand YV'!R31+'28.4 Consumption &amp; demand SG'!R31</f>
        <v>1325.9894507385388</v>
      </c>
      <c r="S31" s="3482">
        <f>'28.2 Consumption &amp; demand METRO'!S31+'28.3 Consumption &amp; demand YV'!S31+'28.4 Consumption &amp; demand SG'!S31</f>
        <v>1323.9119529798927</v>
      </c>
      <c r="AE31" s="1266"/>
      <c r="DP31" s="223"/>
    </row>
    <row r="32" spans="1:120">
      <c r="B32" s="4785"/>
      <c r="C32" s="890" t="s">
        <v>1647</v>
      </c>
      <c r="D32" s="851" t="s">
        <v>1647</v>
      </c>
      <c r="E32" s="3479">
        <f>'28.2 Consumption &amp; demand METRO'!E32+'28.3 Consumption &amp; demand YV'!E32+'28.4 Consumption &amp; demand SG'!E32</f>
        <v>1773.7350000000001</v>
      </c>
      <c r="F32" s="3480">
        <f>'28.2 Consumption &amp; demand METRO'!F32+'28.3 Consumption &amp; demand YV'!F32+'28.4 Consumption &amp; demand SG'!F32</f>
        <v>1952.9539999999997</v>
      </c>
      <c r="G32" s="3480">
        <f>'28.2 Consumption &amp; demand METRO'!G32+'28.3 Consumption &amp; demand YV'!G32+'28.4 Consumption &amp; demand SG'!G32</f>
        <v>1914.644</v>
      </c>
      <c r="H32" s="3480">
        <f>'28.2 Consumption &amp; demand METRO'!H32+'28.3 Consumption &amp; demand YV'!H32+'28.4 Consumption &amp; demand SG'!H32</f>
        <v>1946.7140572953988</v>
      </c>
      <c r="I32" s="3481">
        <f>'28.2 Consumption &amp; demand METRO'!I32+'28.3 Consumption &amp; demand YV'!I32+'28.4 Consumption &amp; demand SG'!I32</f>
        <v>2037.2161498527141</v>
      </c>
      <c r="J32" s="3479">
        <f>'28.2 Consumption &amp; demand METRO'!J32+'28.3 Consumption &amp; demand YV'!J32+'28.4 Consumption &amp; demand SG'!J32</f>
        <v>1771.325953483044</v>
      </c>
      <c r="K32" s="3480">
        <f>'28.2 Consumption &amp; demand METRO'!K32+'28.3 Consumption &amp; demand YV'!K32+'28.4 Consumption &amp; demand SG'!K32</f>
        <v>1246.0202372354286</v>
      </c>
      <c r="L32" s="3480">
        <f>'28.2 Consumption &amp; demand METRO'!L32+'28.3 Consumption &amp; demand YV'!L32+'28.4 Consumption &amp; demand SG'!L32</f>
        <v>1923.1919174151744</v>
      </c>
      <c r="M32" s="3480">
        <f>'28.2 Consumption &amp; demand METRO'!M32+'28.3 Consumption &amp; demand YV'!M32+'28.4 Consumption &amp; demand SG'!M32</f>
        <v>1735.524719020297</v>
      </c>
      <c r="N32" s="3481">
        <f>'28.2 Consumption &amp; demand METRO'!N32+'28.3 Consumption &amp; demand YV'!N32+'28.4 Consumption &amp; demand SG'!N32</f>
        <v>1732.7644733686086</v>
      </c>
      <c r="O32" s="3479">
        <f>'28.2 Consumption &amp; demand METRO'!O32+'28.3 Consumption &amp; demand YV'!O32+'28.4 Consumption &amp; demand SG'!O32</f>
        <v>1716.0225816708914</v>
      </c>
      <c r="P32" s="3480">
        <f>'28.2 Consumption &amp; demand METRO'!P32+'28.3 Consumption &amp; demand YV'!P32+'28.4 Consumption &amp; demand SG'!P32</f>
        <v>1693.5662263179156</v>
      </c>
      <c r="Q32" s="3480">
        <f>'28.2 Consumption &amp; demand METRO'!Q32+'28.3 Consumption &amp; demand YV'!Q32+'28.4 Consumption &amp; demand SG'!Q32</f>
        <v>1672.456017630629</v>
      </c>
      <c r="R32" s="3480">
        <f>'28.2 Consumption &amp; demand METRO'!R32+'28.3 Consumption &amp; demand YV'!R32+'28.4 Consumption &amp; demand SG'!R32</f>
        <v>1647.3104804790019</v>
      </c>
      <c r="S32" s="3482">
        <f>'28.2 Consumption &amp; demand METRO'!S32+'28.3 Consumption &amp; demand YV'!S32+'28.4 Consumption &amp; demand SG'!S32</f>
        <v>1624.3362082795277</v>
      </c>
      <c r="AE32" s="1266"/>
      <c r="DP32" s="223"/>
    </row>
    <row r="33" spans="2:120">
      <c r="B33" s="4785"/>
      <c r="C33" s="890" t="s">
        <v>1648</v>
      </c>
      <c r="D33" s="851" t="s">
        <v>1648</v>
      </c>
      <c r="E33" s="3479">
        <f>'28.2 Consumption &amp; demand METRO'!E33+'28.3 Consumption &amp; demand YV'!E33+'28.4 Consumption &amp; demand SG'!E33</f>
        <v>4610.2250000000004</v>
      </c>
      <c r="F33" s="3480">
        <f>'28.2 Consumption &amp; demand METRO'!F33+'28.3 Consumption &amp; demand YV'!F33+'28.4 Consumption &amp; demand SG'!F33</f>
        <v>4526.3139999999994</v>
      </c>
      <c r="G33" s="3480">
        <f>'28.2 Consumption &amp; demand METRO'!G33+'28.3 Consumption &amp; demand YV'!G33+'28.4 Consumption &amp; demand SG'!G33</f>
        <v>4499.8330000000005</v>
      </c>
      <c r="H33" s="3480">
        <f>'28.2 Consumption &amp; demand METRO'!H33+'28.3 Consumption &amp; demand YV'!H33+'28.4 Consumption &amp; demand SG'!H33</f>
        <v>4646.931040238921</v>
      </c>
      <c r="I33" s="3481">
        <f>'28.2 Consumption &amp; demand METRO'!I33+'28.3 Consumption &amp; demand YV'!I33+'28.4 Consumption &amp; demand SG'!I33</f>
        <v>4616.0371299846083</v>
      </c>
      <c r="J33" s="3479">
        <f>'28.2 Consumption &amp; demand METRO'!J33+'28.3 Consumption &amp; demand YV'!J33+'28.4 Consumption &amp; demand SG'!J33</f>
        <v>4599.5008818416391</v>
      </c>
      <c r="K33" s="3480">
        <f>'28.2 Consumption &amp; demand METRO'!K33+'28.3 Consumption &amp; demand YV'!K33+'28.4 Consumption &amp; demand SG'!K33</f>
        <v>4529.4404296204357</v>
      </c>
      <c r="L33" s="3480">
        <f>'28.2 Consumption &amp; demand METRO'!L33+'28.3 Consumption &amp; demand YV'!L33+'28.4 Consumption &amp; demand SG'!L33</f>
        <v>4611.3687694437576</v>
      </c>
      <c r="M33" s="3480">
        <f>'28.2 Consumption &amp; demand METRO'!M33+'28.3 Consumption &amp; demand YV'!M33+'28.4 Consumption &amp; demand SG'!M33</f>
        <v>4128.7572447466418</v>
      </c>
      <c r="N33" s="3481">
        <f>'28.2 Consumption &amp; demand METRO'!N33+'28.3 Consumption &amp; demand YV'!N33+'28.4 Consumption &amp; demand SG'!N33</f>
        <v>4138.0306160059172</v>
      </c>
      <c r="O33" s="3479">
        <f>'28.2 Consumption &amp; demand METRO'!O33+'28.3 Consumption &amp; demand YV'!O33+'28.4 Consumption &amp; demand SG'!O33</f>
        <v>4116.7926286349675</v>
      </c>
      <c r="P33" s="3480">
        <f>'28.2 Consumption &amp; demand METRO'!P33+'28.3 Consumption &amp; demand YV'!P33+'28.4 Consumption &amp; demand SG'!P33</f>
        <v>4081.5121605477393</v>
      </c>
      <c r="Q33" s="3480">
        <f>'28.2 Consumption &amp; demand METRO'!Q33+'28.3 Consumption &amp; demand YV'!Q33+'28.4 Consumption &amp; demand SG'!Q33</f>
        <v>4048.9433314603298</v>
      </c>
      <c r="R33" s="3480">
        <f>'28.2 Consumption &amp; demand METRO'!R33+'28.3 Consumption &amp; demand YV'!R33+'28.4 Consumption &amp; demand SG'!R33</f>
        <v>4007.5022743283607</v>
      </c>
      <c r="S33" s="3482">
        <f>'28.2 Consumption &amp; demand METRO'!S33+'28.3 Consumption &amp; demand YV'!S33+'28.4 Consumption &amp; demand SG'!S33</f>
        <v>3970.2209135968924</v>
      </c>
      <c r="AE33" s="1266"/>
      <c r="DP33" s="223"/>
    </row>
    <row r="34" spans="2:120">
      <c r="B34" s="4785"/>
      <c r="C34" s="890" t="s">
        <v>1649</v>
      </c>
      <c r="D34" s="851" t="s">
        <v>1649</v>
      </c>
      <c r="E34" s="3479">
        <f>'28.2 Consumption &amp; demand METRO'!E34+'28.3 Consumption &amp; demand YV'!E34+'28.4 Consumption &amp; demand SG'!E34</f>
        <v>2374.962</v>
      </c>
      <c r="F34" s="3480">
        <f>'28.2 Consumption &amp; demand METRO'!F34+'28.3 Consumption &amp; demand YV'!F34+'28.4 Consumption &amp; demand SG'!F34</f>
        <v>2145.6750000000002</v>
      </c>
      <c r="G34" s="3480">
        <f>'28.2 Consumption &amp; demand METRO'!G34+'28.3 Consumption &amp; demand YV'!G34+'28.4 Consumption &amp; demand SG'!G34</f>
        <v>2017.8119999999999</v>
      </c>
      <c r="H34" s="3480">
        <f>'28.2 Consumption &amp; demand METRO'!H34+'28.3 Consumption &amp; demand YV'!H34+'28.4 Consumption &amp; demand SG'!H34</f>
        <v>2293.8755205200346</v>
      </c>
      <c r="I34" s="3481">
        <f>'28.2 Consumption &amp; demand METRO'!I34+'28.3 Consumption &amp; demand YV'!I34+'28.4 Consumption &amp; demand SG'!I34</f>
        <v>2170.2422143290128</v>
      </c>
      <c r="J34" s="3479">
        <f>'28.2 Consumption &amp; demand METRO'!J34+'28.3 Consumption &amp; demand YV'!J34+'28.4 Consumption &amp; demand SG'!J34</f>
        <v>2179.761870732254</v>
      </c>
      <c r="K34" s="3480">
        <f>'28.2 Consumption &amp; demand METRO'!K34+'28.3 Consumption &amp; demand YV'!K34+'28.4 Consumption &amp; demand SG'!K34</f>
        <v>1934.5097991446873</v>
      </c>
      <c r="L34" s="3480">
        <f>'28.2 Consumption &amp; demand METRO'!L34+'28.3 Consumption &amp; demand YV'!L34+'28.4 Consumption &amp; demand SG'!L34</f>
        <v>2046.0379376456854</v>
      </c>
      <c r="M34" s="3480">
        <f>'28.2 Consumption &amp; demand METRO'!M34+'28.3 Consumption &amp; demand YV'!M34+'28.4 Consumption &amp; demand SG'!M34</f>
        <v>1927.8481056359331</v>
      </c>
      <c r="N34" s="3481">
        <f>'28.2 Consumption &amp; demand METRO'!N34+'28.3 Consumption &amp; demand YV'!N34+'28.4 Consumption &amp; demand SG'!N34</f>
        <v>1931.9389037625306</v>
      </c>
      <c r="O34" s="3479">
        <f>'28.2 Consumption &amp; demand METRO'!O34+'28.3 Consumption &amp; demand YV'!O34+'28.4 Consumption &amp; demand SG'!O34</f>
        <v>1941.4208689376051</v>
      </c>
      <c r="P34" s="3480">
        <f>'28.2 Consumption &amp; demand METRO'!P34+'28.3 Consumption &amp; demand YV'!P34+'28.4 Consumption &amp; demand SG'!P34</f>
        <v>1944.3741833544427</v>
      </c>
      <c r="Q34" s="3480">
        <f>'28.2 Consumption &amp; demand METRO'!Q34+'28.3 Consumption &amp; demand YV'!Q34+'28.4 Consumption &amp; demand SG'!Q34</f>
        <v>1948.7656141167547</v>
      </c>
      <c r="R34" s="3480">
        <f>'28.2 Consumption &amp; demand METRO'!R34+'28.3 Consumption &amp; demand YV'!R34+'28.4 Consumption &amp; demand SG'!R34</f>
        <v>1948.9331407918746</v>
      </c>
      <c r="S34" s="3482">
        <f>'28.2 Consumption &amp; demand METRO'!S34+'28.3 Consumption &amp; demand YV'!S34+'28.4 Consumption &amp; demand SG'!S34</f>
        <v>1950.9949818307582</v>
      </c>
      <c r="AE34" s="1266"/>
      <c r="DP34" s="223"/>
    </row>
    <row r="35" spans="2:120">
      <c r="B35" s="4785"/>
      <c r="C35" s="890" t="s">
        <v>1650</v>
      </c>
      <c r="D35" s="851" t="s">
        <v>1650</v>
      </c>
      <c r="E35" s="3479">
        <f>'28.2 Consumption &amp; demand METRO'!E35+'28.3 Consumption &amp; demand YV'!E35+'28.4 Consumption &amp; demand SG'!E35</f>
        <v>1160.8879999999999</v>
      </c>
      <c r="F35" s="3480">
        <f>'28.2 Consumption &amp; demand METRO'!F35+'28.3 Consumption &amp; demand YV'!F35+'28.4 Consumption &amp; demand SG'!F35</f>
        <v>1016.092</v>
      </c>
      <c r="G35" s="3480">
        <f>'28.2 Consumption &amp; demand METRO'!G35+'28.3 Consumption &amp; demand YV'!G35+'28.4 Consumption &amp; demand SG'!G35</f>
        <v>898.07299999999998</v>
      </c>
      <c r="H35" s="3480">
        <f>'28.2 Consumption &amp; demand METRO'!H35+'28.3 Consumption &amp; demand YV'!H35+'28.4 Consumption &amp; demand SG'!H35</f>
        <v>1092.7306671974293</v>
      </c>
      <c r="I35" s="3481">
        <f>'28.2 Consumption &amp; demand METRO'!I35+'28.3 Consumption &amp; demand YV'!I35+'28.4 Consumption &amp; demand SG'!I35</f>
        <v>1022.5525612713689</v>
      </c>
      <c r="J35" s="3479">
        <f>'28.2 Consumption &amp; demand METRO'!J35+'28.3 Consumption &amp; demand YV'!J35+'28.4 Consumption &amp; demand SG'!J35</f>
        <v>1067.9669474517505</v>
      </c>
      <c r="K35" s="3480">
        <f>'28.2 Consumption &amp; demand METRO'!K35+'28.3 Consumption &amp; demand YV'!K35+'28.4 Consumption &amp; demand SG'!K35</f>
        <v>834.9328637554778</v>
      </c>
      <c r="L35" s="3480">
        <f>'28.2 Consumption &amp; demand METRO'!L35+'28.3 Consumption &amp; demand YV'!L35+'28.4 Consumption &amp; demand SG'!L35</f>
        <v>960.15268718491825</v>
      </c>
      <c r="M35" s="3480">
        <f>'28.2 Consumption &amp; demand METRO'!M35+'28.3 Consumption &amp; demand YV'!M35+'28.4 Consumption &amp; demand SG'!M35</f>
        <v>903.30565053158716</v>
      </c>
      <c r="N35" s="3481">
        <f>'28.2 Consumption &amp; demand METRO'!N35+'28.3 Consumption &amp; demand YV'!N35+'28.4 Consumption &amp; demand SG'!N35</f>
        <v>905.2398818384778</v>
      </c>
      <c r="O35" s="3479">
        <f>'28.2 Consumption &amp; demand METRO'!O35+'28.3 Consumption &amp; demand YV'!O35+'28.4 Consumption &amp; demand SG'!O35</f>
        <v>899.900510624395</v>
      </c>
      <c r="P35" s="3480">
        <f>'28.2 Consumption &amp; demand METRO'!P35+'28.3 Consumption &amp; demand YV'!P35+'28.4 Consumption &amp; demand SG'!P35</f>
        <v>891.50097078612725</v>
      </c>
      <c r="Q35" s="3480">
        <f>'28.2 Consumption &amp; demand METRO'!Q35+'28.3 Consumption &amp; demand YV'!Q35+'28.4 Consumption &amp; demand SG'!Q35</f>
        <v>883.84568572752698</v>
      </c>
      <c r="R35" s="3480">
        <f>'28.2 Consumption &amp; demand METRO'!R35+'28.3 Consumption &amp; demand YV'!R35+'28.4 Consumption &amp; demand SG'!R35</f>
        <v>874.14847546693454</v>
      </c>
      <c r="S35" s="3482">
        <f>'28.2 Consumption &amp; demand METRO'!S35+'28.3 Consumption &amp; demand YV'!S35+'28.4 Consumption &amp; demand SG'!S35</f>
        <v>865.34555995415974</v>
      </c>
      <c r="AE35" s="1266"/>
      <c r="DP35" s="223"/>
    </row>
    <row r="36" spans="2:120">
      <c r="B36" s="4785"/>
      <c r="C36" s="890" t="s">
        <v>1651</v>
      </c>
      <c r="D36" s="851" t="s">
        <v>1651</v>
      </c>
      <c r="E36" s="3479">
        <f>'28.2 Consumption &amp; demand METRO'!E36+'28.3 Consumption &amp; demand YV'!E36+'28.4 Consumption &amp; demand SG'!E36</f>
        <v>1044.9839999999999</v>
      </c>
      <c r="F36" s="3480">
        <f>'28.2 Consumption &amp; demand METRO'!F36+'28.3 Consumption &amp; demand YV'!F36+'28.4 Consumption &amp; demand SG'!F36</f>
        <v>934.31500000000005</v>
      </c>
      <c r="G36" s="3480">
        <f>'28.2 Consumption &amp; demand METRO'!G36+'28.3 Consumption &amp; demand YV'!G36+'28.4 Consumption &amp; demand SG'!G36</f>
        <v>773.37099999999998</v>
      </c>
      <c r="H36" s="3480">
        <f>'28.2 Consumption &amp; demand METRO'!H36+'28.3 Consumption &amp; demand YV'!H36+'28.4 Consumption &amp; demand SG'!H36</f>
        <v>1014.3981516506143</v>
      </c>
      <c r="I36" s="3481">
        <f>'28.2 Consumption &amp; demand METRO'!I36+'28.3 Consumption &amp; demand YV'!I36+'28.4 Consumption &amp; demand SG'!I36</f>
        <v>944.58172341805789</v>
      </c>
      <c r="J36" s="3479">
        <f>'28.2 Consumption &amp; demand METRO'!J36+'28.3 Consumption &amp; demand YV'!J36+'28.4 Consumption &amp; demand SG'!J36</f>
        <v>970.19241378801485</v>
      </c>
      <c r="K36" s="3480">
        <f>'28.2 Consumption &amp; demand METRO'!K36+'28.3 Consumption &amp; demand YV'!K36+'28.4 Consumption &amp; demand SG'!K36</f>
        <v>696.95005676533742</v>
      </c>
      <c r="L36" s="3480">
        <f>'28.2 Consumption &amp; demand METRO'!L36+'28.3 Consumption &amp; demand YV'!L36+'28.4 Consumption &amp; demand SG'!L36</f>
        <v>918.97985476361885</v>
      </c>
      <c r="M36" s="3480">
        <f>'28.2 Consumption &amp; demand METRO'!M36+'28.3 Consumption &amp; demand YV'!M36+'28.4 Consumption &amp; demand SG'!M36</f>
        <v>817.25137562606972</v>
      </c>
      <c r="N36" s="3481">
        <f>'28.2 Consumption &amp; demand METRO'!N36+'28.3 Consumption &amp; demand YV'!N36+'28.4 Consumption &amp; demand SG'!N36</f>
        <v>818.98545689561593</v>
      </c>
      <c r="O36" s="3479">
        <f>'28.2 Consumption &amp; demand METRO'!O36+'28.3 Consumption &amp; demand YV'!O36+'28.4 Consumption &amp; demand SG'!O36</f>
        <v>814.12232965083672</v>
      </c>
      <c r="P36" s="3480">
        <f>'28.2 Consumption &amp; demand METRO'!P36+'28.3 Consumption &amp; demand YV'!P36+'28.4 Consumption &amp; demand SG'!P36</f>
        <v>806.52574145246183</v>
      </c>
      <c r="Q36" s="3480">
        <f>'28.2 Consumption &amp; demand METRO'!Q36+'28.3 Consumption &amp; demand YV'!Q36+'28.4 Consumption &amp; demand SG'!Q36</f>
        <v>799.61547180008233</v>
      </c>
      <c r="R36" s="3480">
        <f>'28.2 Consumption &amp; demand METRO'!R36+'28.3 Consumption &amp; demand YV'!R36+'28.4 Consumption &amp; demand SG'!R36</f>
        <v>790.77993705986523</v>
      </c>
      <c r="S36" s="3482">
        <f>'28.2 Consumption &amp; demand METRO'!S36+'28.3 Consumption &amp; demand YV'!S36+'28.4 Consumption &amp; demand SG'!S36</f>
        <v>782.80021845821159</v>
      </c>
      <c r="AE36" s="1266"/>
      <c r="DP36" s="223"/>
    </row>
    <row r="37" spans="2:120">
      <c r="B37" s="4785"/>
      <c r="C37" s="890" t="s">
        <v>1652</v>
      </c>
      <c r="D37" s="851" t="s">
        <v>1652</v>
      </c>
      <c r="E37" s="3479">
        <f>'28.2 Consumption &amp; demand METRO'!E37+'28.3 Consumption &amp; demand YV'!E37+'28.4 Consumption &amp; demand SG'!E37</f>
        <v>1172.6379999999999</v>
      </c>
      <c r="F37" s="3480">
        <f>'28.2 Consumption &amp; demand METRO'!F37+'28.3 Consumption &amp; demand YV'!F37+'28.4 Consumption &amp; demand SG'!F37</f>
        <v>1106.2</v>
      </c>
      <c r="G37" s="3480">
        <f>'28.2 Consumption &amp; demand METRO'!G37+'28.3 Consumption &amp; demand YV'!G37+'28.4 Consumption &amp; demand SG'!G37</f>
        <v>998.45099999999991</v>
      </c>
      <c r="H37" s="3480">
        <f>'28.2 Consumption &amp; demand METRO'!H37+'28.3 Consumption &amp; demand YV'!H37+'28.4 Consumption &amp; demand SG'!H37</f>
        <v>1290.104183951308</v>
      </c>
      <c r="I37" s="3481">
        <f>'28.2 Consumption &amp; demand METRO'!I37+'28.3 Consumption &amp; demand YV'!I37+'28.4 Consumption &amp; demand SG'!I37</f>
        <v>1267.9648353495045</v>
      </c>
      <c r="J37" s="3479">
        <f>'28.2 Consumption &amp; demand METRO'!J37+'28.3 Consumption &amp; demand YV'!J37+'28.4 Consumption &amp; demand SG'!J37</f>
        <v>1221.5905829216365</v>
      </c>
      <c r="K37" s="3480">
        <f>'28.2 Consumption &amp; demand METRO'!K37+'28.3 Consumption &amp; demand YV'!K37+'28.4 Consumption &amp; demand SG'!K37</f>
        <v>1040.5554858167352</v>
      </c>
      <c r="L37" s="3480">
        <f>'28.2 Consumption &amp; demand METRO'!L37+'28.3 Consumption &amp; demand YV'!L37+'28.4 Consumption &amp; demand SG'!L37</f>
        <v>1369.8746962207754</v>
      </c>
      <c r="M37" s="3480">
        <f>'28.2 Consumption &amp; demand METRO'!M37+'28.3 Consumption &amp; demand YV'!M37+'28.4 Consumption &amp; demand SG'!M37</f>
        <v>1062.2482314338745</v>
      </c>
      <c r="N37" s="3481">
        <f>'28.2 Consumption &amp; demand METRO'!N37+'28.3 Consumption &amp; demand YV'!N37+'28.4 Consumption &amp; demand SG'!N37</f>
        <v>1064.8108852170365</v>
      </c>
      <c r="O37" s="3479">
        <f>'28.2 Consumption &amp; demand METRO'!O37+'28.3 Consumption &amp; demand YV'!O37+'28.4 Consumption &amp; demand SG'!O37</f>
        <v>1058.9257491860089</v>
      </c>
      <c r="P37" s="3480">
        <f>'28.2 Consumption &amp; demand METRO'!P37+'28.3 Consumption &amp; demand YV'!P37+'28.4 Consumption &amp; demand SG'!P37</f>
        <v>1049.4727571066969</v>
      </c>
      <c r="Q37" s="3480">
        <f>'28.2 Consumption &amp; demand METRO'!Q37+'28.3 Consumption &amp; demand YV'!Q37+'28.4 Consumption &amp; demand SG'!Q37</f>
        <v>1040.6441780871287</v>
      </c>
      <c r="R37" s="3480">
        <f>'28.2 Consumption &amp; demand METRO'!R37+'28.3 Consumption &amp; demand YV'!R37+'28.4 Consumption &amp; demand SG'!R37</f>
        <v>1029.2415135218841</v>
      </c>
      <c r="S37" s="3482">
        <f>'28.2 Consumption &amp; demand METRO'!S37+'28.3 Consumption &amp; demand YV'!S37+'28.4 Consumption &amp; demand SG'!S37</f>
        <v>1019.149602996482</v>
      </c>
      <c r="AE37" s="1266"/>
      <c r="DP37" s="223"/>
    </row>
    <row r="38" spans="2:120" ht="13.5" thickBot="1">
      <c r="B38" s="4786"/>
      <c r="C38" s="3483" t="s">
        <v>396</v>
      </c>
      <c r="D38" s="3484"/>
      <c r="E38" s="1681">
        <f t="shared" ref="E38:S38" si="0">SUM(E23:E37)</f>
        <v>40602.18499999999</v>
      </c>
      <c r="F38" s="1682">
        <f t="shared" si="0"/>
        <v>39279.951000000001</v>
      </c>
      <c r="G38" s="1682">
        <f t="shared" si="0"/>
        <v>41028.135999999999</v>
      </c>
      <c r="H38" s="1682">
        <f t="shared" si="0"/>
        <v>39437.090992511228</v>
      </c>
      <c r="I38" s="1684">
        <f t="shared" si="0"/>
        <v>40955.271630515097</v>
      </c>
      <c r="J38" s="1681">
        <f t="shared" si="0"/>
        <v>38579.027732829825</v>
      </c>
      <c r="K38" s="1682">
        <f t="shared" si="0"/>
        <v>36377.777794939859</v>
      </c>
      <c r="L38" s="1682">
        <f t="shared" si="0"/>
        <v>40677.120938380613</v>
      </c>
      <c r="M38" s="1682">
        <f t="shared" si="0"/>
        <v>38121.276559415142</v>
      </c>
      <c r="N38" s="1684">
        <f t="shared" si="0"/>
        <v>38071.866445555279</v>
      </c>
      <c r="O38" s="1681">
        <f t="shared" si="0"/>
        <v>37809.758851142135</v>
      </c>
      <c r="P38" s="1682">
        <f t="shared" si="0"/>
        <v>37420.549189219462</v>
      </c>
      <c r="Q38" s="1682">
        <f t="shared" si="0"/>
        <v>37060.997194297561</v>
      </c>
      <c r="R38" s="1682">
        <f t="shared" si="0"/>
        <v>36620.181463905632</v>
      </c>
      <c r="S38" s="3485">
        <f t="shared" si="0"/>
        <v>36222.04250229946</v>
      </c>
      <c r="AE38" s="1266"/>
      <c r="DP38" s="223"/>
    </row>
    <row r="39" spans="2:120">
      <c r="B39" s="4784" t="s">
        <v>1653</v>
      </c>
      <c r="C39" s="4787" t="s">
        <v>48</v>
      </c>
      <c r="D39" s="4788"/>
      <c r="E39" s="1650">
        <f>'[18]27.1 Customer numbers Total'!D34</f>
        <v>16638</v>
      </c>
      <c r="F39" s="1651">
        <f>'[18]27.1 Customer numbers Total'!E34</f>
        <v>16564.5</v>
      </c>
      <c r="G39" s="1651">
        <f>'[18]27.1 Customer numbers Total'!F34</f>
        <v>16533.5</v>
      </c>
      <c r="H39" s="1651">
        <f>'[18]27.1 Customer numbers Total'!G34</f>
        <v>16517.5</v>
      </c>
      <c r="I39" s="1683">
        <f>'[18]27.1 Customer numbers Total'!H34</f>
        <v>16386</v>
      </c>
      <c r="J39" s="1650">
        <f>'[18]27.1 Customer numbers Total'!I34</f>
        <v>16249</v>
      </c>
      <c r="K39" s="1651">
        <f>'[18]27.1 Customer numbers Total'!J34</f>
        <v>16198.5</v>
      </c>
      <c r="L39" s="1651">
        <f>'[18]27.1 Customer numbers Total'!K34</f>
        <v>16050</v>
      </c>
      <c r="M39" s="1651">
        <f>'[18]27.1 Customer numbers Total'!L34</f>
        <v>15797</v>
      </c>
      <c r="N39" s="1683">
        <f>'[18]27.1 Customer numbers Total'!M34</f>
        <v>15648.991583122286</v>
      </c>
      <c r="O39" s="1650">
        <f>'[18]27.1 Customer numbers Total'!N34</f>
        <v>15520.548191589001</v>
      </c>
      <c r="P39" s="1651">
        <f>'[18]27.1 Customer numbers Total'!O34</f>
        <v>15456.053696783667</v>
      </c>
      <c r="Q39" s="1651">
        <f>'[18]27.1 Customer numbers Total'!P34</f>
        <v>15338.819927172142</v>
      </c>
      <c r="R39" s="1651">
        <f>'[18]27.1 Customer numbers Total'!Q34</f>
        <v>15131.579974999142</v>
      </c>
      <c r="S39" s="1652">
        <f>'[18]27.1 Customer numbers Total'!R34</f>
        <v>14935.855825620465</v>
      </c>
      <c r="AE39" s="1266"/>
      <c r="DP39" s="223"/>
    </row>
    <row r="40" spans="2:120">
      <c r="B40" s="4785"/>
      <c r="C40" s="890" t="s">
        <v>1638</v>
      </c>
      <c r="D40" s="851" t="s">
        <v>1638</v>
      </c>
      <c r="E40" s="3479">
        <f>'28.2 Consumption &amp; demand METRO'!E40+'28.3 Consumption &amp; demand YV'!E40+'28.4 Consumption &amp; demand SG'!E40</f>
        <v>322.649</v>
      </c>
      <c r="F40" s="3480">
        <f>'28.2 Consumption &amp; demand METRO'!F40+'28.3 Consumption &amp; demand YV'!F40+'28.4 Consumption &amp; demand SG'!F40</f>
        <v>314.92</v>
      </c>
      <c r="G40" s="3480">
        <f>'28.2 Consumption &amp; demand METRO'!G40+'28.3 Consumption &amp; demand YV'!G40+'28.4 Consumption &amp; demand SG'!G40</f>
        <v>316.91600000000005</v>
      </c>
      <c r="H40" s="3480">
        <f>'28.2 Consumption &amp; demand METRO'!H40+'28.3 Consumption &amp; demand YV'!H40+'28.4 Consumption &amp; demand SG'!H40</f>
        <v>306.18697221976021</v>
      </c>
      <c r="I40" s="3481">
        <f>'28.2 Consumption &amp; demand METRO'!I40+'28.3 Consumption &amp; demand YV'!I40+'28.4 Consumption &amp; demand SG'!I40</f>
        <v>305.7140443027377</v>
      </c>
      <c r="J40" s="3479">
        <f>'28.2 Consumption &amp; demand METRO'!J40+'28.3 Consumption &amp; demand YV'!J40+'28.4 Consumption &amp; demand SG'!J40</f>
        <v>299.92278020212467</v>
      </c>
      <c r="K40" s="3480">
        <f>'28.2 Consumption &amp; demand METRO'!K40+'28.3 Consumption &amp; demand YV'!K40+'28.4 Consumption &amp; demand SG'!K40</f>
        <v>297.38986063974852</v>
      </c>
      <c r="L40" s="3480">
        <f>'28.2 Consumption &amp; demand METRO'!L40+'28.3 Consumption &amp; demand YV'!L40+'28.4 Consumption &amp; demand SG'!L40</f>
        <v>304.18963960264705</v>
      </c>
      <c r="M40" s="3480">
        <f>'28.2 Consumption &amp; demand METRO'!M40+'28.3 Consumption &amp; demand YV'!M40+'28.4 Consumption &amp; demand SG'!M40</f>
        <v>275.67077597724244</v>
      </c>
      <c r="N40" s="3481">
        <f>'28.2 Consumption &amp; demand METRO'!N40+'28.3 Consumption &amp; demand YV'!N40+'28.4 Consumption &amp; demand SG'!N40</f>
        <v>274.72940171762093</v>
      </c>
      <c r="O40" s="3479">
        <f>'28.2 Consumption &amp; demand METRO'!O40+'28.3 Consumption &amp; demand YV'!O40+'28.4 Consumption &amp; demand SG'!O40</f>
        <v>269.47197355704435</v>
      </c>
      <c r="P40" s="3480">
        <f>'28.2 Consumption &amp; demand METRO'!P40+'28.3 Consumption &amp; demand YV'!P40+'28.4 Consumption &amp; demand SG'!P40</f>
        <v>261.87260389742647</v>
      </c>
      <c r="Q40" s="3480">
        <f>'28.2 Consumption &amp; demand METRO'!Q40+'28.3 Consumption &amp; demand YV'!Q40+'28.4 Consumption &amp; demand SG'!Q40</f>
        <v>254.24604454999488</v>
      </c>
      <c r="R40" s="3480">
        <f>'28.2 Consumption &amp; demand METRO'!R40+'28.3 Consumption &amp; demand YV'!R40+'28.4 Consumption &amp; demand SG'!R40</f>
        <v>245.67351715520041</v>
      </c>
      <c r="S40" s="3482">
        <f>'28.2 Consumption &amp; demand METRO'!S40+'28.3 Consumption &amp; demand YV'!S40+'28.4 Consumption &amp; demand SG'!S40</f>
        <v>238.63276983496243</v>
      </c>
      <c r="AE40" s="1266"/>
      <c r="DP40" s="223"/>
    </row>
    <row r="41" spans="2:120">
      <c r="B41" s="4785"/>
      <c r="C41" s="890" t="s">
        <v>1639</v>
      </c>
      <c r="D41" s="851" t="s">
        <v>1639</v>
      </c>
      <c r="E41" s="3479">
        <f>'28.2 Consumption &amp; demand METRO'!E41+'28.3 Consumption &amp; demand YV'!E41+'28.4 Consumption &amp; demand SG'!E41</f>
        <v>514.8420000000001</v>
      </c>
      <c r="F41" s="3480">
        <f>'28.2 Consumption &amp; demand METRO'!F41+'28.3 Consumption &amp; demand YV'!F41+'28.4 Consumption &amp; demand SG'!F41</f>
        <v>492.28800000000001</v>
      </c>
      <c r="G41" s="3480">
        <f>'28.2 Consumption &amp; demand METRO'!G41+'28.3 Consumption &amp; demand YV'!G41+'28.4 Consumption &amp; demand SG'!G41</f>
        <v>511.56700000000001</v>
      </c>
      <c r="H41" s="3480">
        <f>'28.2 Consumption &amp; demand METRO'!H41+'28.3 Consumption &amp; demand YV'!H41+'28.4 Consumption &amp; demand SG'!H41</f>
        <v>483.75733908201073</v>
      </c>
      <c r="I41" s="3481">
        <f>'28.2 Consumption &amp; demand METRO'!I41+'28.3 Consumption &amp; demand YV'!I41+'28.4 Consumption &amp; demand SG'!I41</f>
        <v>486.34369318559715</v>
      </c>
      <c r="J41" s="3479">
        <f>'28.2 Consumption &amp; demand METRO'!J41+'28.3 Consumption &amp; demand YV'!J41+'28.4 Consumption &amp; demand SG'!J41</f>
        <v>468.4606505852035</v>
      </c>
      <c r="K41" s="3480">
        <f>'28.2 Consumption &amp; demand METRO'!K41+'28.3 Consumption &amp; demand YV'!K41+'28.4 Consumption &amp; demand SG'!K41</f>
        <v>463.03528730591881</v>
      </c>
      <c r="L41" s="3480">
        <f>'28.2 Consumption &amp; demand METRO'!L41+'28.3 Consumption &amp; demand YV'!L41+'28.4 Consumption &amp; demand SG'!L41</f>
        <v>484.52906443239124</v>
      </c>
      <c r="M41" s="3480">
        <f>'28.2 Consumption &amp; demand METRO'!M41+'28.3 Consumption &amp; demand YV'!M41+'28.4 Consumption &amp; demand SG'!M41</f>
        <v>436.29197601650458</v>
      </c>
      <c r="N41" s="3481">
        <f>'28.2 Consumption &amp; demand METRO'!N41+'28.3 Consumption &amp; demand YV'!N41+'28.4 Consumption &amp; demand SG'!N41</f>
        <v>434.85466648652135</v>
      </c>
      <c r="O41" s="3479">
        <f>'28.2 Consumption &amp; demand METRO'!O41+'28.3 Consumption &amp; demand YV'!O41+'28.4 Consumption &amp; demand SG'!O41</f>
        <v>426.61052789632612</v>
      </c>
      <c r="P41" s="3480">
        <f>'28.2 Consumption &amp; demand METRO'!P41+'28.3 Consumption &amp; demand YV'!P41+'28.4 Consumption &amp; demand SG'!P41</f>
        <v>414.68446641931411</v>
      </c>
      <c r="Q41" s="3480">
        <f>'28.2 Consumption &amp; demand METRO'!Q41+'28.3 Consumption &amp; demand YV'!Q41+'28.4 Consumption &amp; demand SG'!Q41</f>
        <v>402.65614794893401</v>
      </c>
      <c r="R41" s="3480">
        <f>'28.2 Consumption &amp; demand METRO'!R41+'28.3 Consumption &amp; demand YV'!R41+'28.4 Consumption &amp; demand SG'!R41</f>
        <v>389.12192804725873</v>
      </c>
      <c r="S41" s="3482">
        <f>'28.2 Consumption &amp; demand METRO'!S41+'28.3 Consumption &amp; demand YV'!S41+'28.4 Consumption &amp; demand SG'!S41</f>
        <v>378.01222175313495</v>
      </c>
      <c r="AE41" s="1266"/>
      <c r="DP41" s="223"/>
    </row>
    <row r="42" spans="2:120">
      <c r="B42" s="4785"/>
      <c r="C42" s="890" t="s">
        <v>1640</v>
      </c>
      <c r="D42" s="851" t="s">
        <v>1640</v>
      </c>
      <c r="E42" s="3479">
        <f>'28.2 Consumption &amp; demand METRO'!E42+'28.3 Consumption &amp; demand YV'!E42+'28.4 Consumption &amp; demand SG'!E42</f>
        <v>200.82400000000001</v>
      </c>
      <c r="F42" s="3480">
        <f>'28.2 Consumption &amp; demand METRO'!F42+'28.3 Consumption &amp; demand YV'!F42+'28.4 Consumption &amp; demand SG'!F42</f>
        <v>191.78</v>
      </c>
      <c r="G42" s="3480">
        <f>'28.2 Consumption &amp; demand METRO'!G42+'28.3 Consumption &amp; demand YV'!G42+'28.4 Consumption &amp; demand SG'!G42</f>
        <v>201.77600000000001</v>
      </c>
      <c r="H42" s="3480">
        <f>'28.2 Consumption &amp; demand METRO'!H42+'28.3 Consumption &amp; demand YV'!H42+'28.4 Consumption &amp; demand SG'!H42</f>
        <v>188.74612440529083</v>
      </c>
      <c r="I42" s="3481">
        <f>'28.2 Consumption &amp; demand METRO'!I42+'28.3 Consumption &amp; demand YV'!I42+'28.4 Consumption &amp; demand SG'!I42</f>
        <v>189.96485686097535</v>
      </c>
      <c r="J42" s="3479">
        <f>'28.2 Consumption &amp; demand METRO'!J42+'28.3 Consumption &amp; demand YV'!J42+'28.4 Consumption &amp; demand SG'!J42</f>
        <v>182.14309687686691</v>
      </c>
      <c r="K42" s="3480">
        <f>'28.2 Consumption &amp; demand METRO'!K42+'28.3 Consumption &amp; demand YV'!K42+'28.4 Consumption &amp; demand SG'!K42</f>
        <v>179.22336946624759</v>
      </c>
      <c r="L42" s="3480">
        <f>'28.2 Consumption &amp; demand METRO'!L42+'28.3 Consumption &amp; demand YV'!L42+'28.4 Consumption &amp; demand SG'!L42</f>
        <v>187.53164224924487</v>
      </c>
      <c r="M42" s="3480">
        <f>'28.2 Consumption &amp; demand METRO'!M42+'28.3 Consumption &amp; demand YV'!M42+'28.4 Consumption &amp; demand SG'!M42</f>
        <v>170.18483038890494</v>
      </c>
      <c r="N42" s="3481">
        <f>'28.2 Consumption &amp; demand METRO'!N42+'28.3 Consumption &amp; demand YV'!N42+'28.4 Consumption &amp; demand SG'!N42</f>
        <v>169.65495210167239</v>
      </c>
      <c r="O42" s="3479">
        <f>'28.2 Consumption &amp; demand METRO'!O42+'28.3 Consumption &amp; demand YV'!O42+'28.4 Consumption &amp; demand SG'!O42</f>
        <v>166.48473144749434</v>
      </c>
      <c r="P42" s="3480">
        <f>'28.2 Consumption &amp; demand METRO'!P42+'28.3 Consumption &amp; demand YV'!P42+'28.4 Consumption &amp; demand SG'!P42</f>
        <v>161.84606475274705</v>
      </c>
      <c r="Q42" s="3480">
        <f>'28.2 Consumption &amp; demand METRO'!Q42+'28.3 Consumption &amp; demand YV'!Q42+'28.4 Consumption &amp; demand SG'!Q42</f>
        <v>157.15478713016637</v>
      </c>
      <c r="R42" s="3480">
        <f>'28.2 Consumption &amp; demand METRO'!R42+'28.3 Consumption &amp; demand YV'!R42+'28.4 Consumption &amp; demand SG'!R42</f>
        <v>151.8904902521754</v>
      </c>
      <c r="S42" s="3482">
        <f>'28.2 Consumption &amp; demand METRO'!S42+'28.3 Consumption &amp; demand YV'!S42+'28.4 Consumption &amp; demand SG'!S42</f>
        <v>147.56861587637641</v>
      </c>
      <c r="AE42" s="1266"/>
      <c r="DP42" s="223"/>
    </row>
    <row r="43" spans="2:120">
      <c r="B43" s="4785"/>
      <c r="C43" s="890" t="s">
        <v>1641</v>
      </c>
      <c r="D43" s="851" t="s">
        <v>1641</v>
      </c>
      <c r="E43" s="3479">
        <f>'28.2 Consumption &amp; demand METRO'!E43+'28.3 Consumption &amp; demand YV'!E43+'28.4 Consumption &amp; demand SG'!E43</f>
        <v>691.25300000000004</v>
      </c>
      <c r="F43" s="3480">
        <f>'28.2 Consumption &amp; demand METRO'!F43+'28.3 Consumption &amp; demand YV'!F43+'28.4 Consumption &amp; demand SG'!F43</f>
        <v>644.52900000000011</v>
      </c>
      <c r="G43" s="3480">
        <f>'28.2 Consumption &amp; demand METRO'!G43+'28.3 Consumption &amp; demand YV'!G43+'28.4 Consumption &amp; demand SG'!G43</f>
        <v>693.5379999999999</v>
      </c>
      <c r="H43" s="3480">
        <f>'28.2 Consumption &amp; demand METRO'!H43+'28.3 Consumption &amp; demand YV'!H43+'28.4 Consumption &amp; demand SG'!H43</f>
        <v>648.14884846044447</v>
      </c>
      <c r="I43" s="3481">
        <f>'28.2 Consumption &amp; demand METRO'!I43+'28.3 Consumption &amp; demand YV'!I43+'28.4 Consumption &amp; demand SG'!I43</f>
        <v>652.53575084211957</v>
      </c>
      <c r="J43" s="3479">
        <f>'28.2 Consumption &amp; demand METRO'!J43+'28.3 Consumption &amp; demand YV'!J43+'28.4 Consumption &amp; demand SG'!J43</f>
        <v>622.52067493926563</v>
      </c>
      <c r="K43" s="3480">
        <f>'28.2 Consumption &amp; demand METRO'!K43+'28.3 Consumption &amp; demand YV'!K43+'28.4 Consumption &amp; demand SG'!K43</f>
        <v>610.73064672868395</v>
      </c>
      <c r="L43" s="3480">
        <f>'28.2 Consumption &amp; demand METRO'!L43+'28.3 Consumption &amp; demand YV'!L43+'28.4 Consumption &amp; demand SG'!L43</f>
        <v>629.8533683460405</v>
      </c>
      <c r="M43" s="3480">
        <f>'28.2 Consumption &amp; demand METRO'!M43+'28.3 Consumption &amp; demand YV'!M43+'28.4 Consumption &amp; demand SG'!M43</f>
        <v>581.00830067314178</v>
      </c>
      <c r="N43" s="3481">
        <f>'28.2 Consumption &amp; demand METRO'!N43+'28.3 Consumption &amp; demand YV'!N43+'28.4 Consumption &amp; demand SG'!N43</f>
        <v>579.30680542870152</v>
      </c>
      <c r="O43" s="3479">
        <f>'28.2 Consumption &amp; demand METRO'!O43+'28.3 Consumption &amp; demand YV'!O43+'28.4 Consumption &amp; demand SG'!O43</f>
        <v>568.47086227903981</v>
      </c>
      <c r="P43" s="3480">
        <f>'28.2 Consumption &amp; demand METRO'!P43+'28.3 Consumption &amp; demand YV'!P43+'28.4 Consumption &amp; demand SG'!P43</f>
        <v>552.71298078662551</v>
      </c>
      <c r="Q43" s="3480">
        <f>'28.2 Consumption &amp; demand METRO'!Q43+'28.3 Consumption &amp; demand YV'!Q43+'28.4 Consumption &amp; demand SG'!Q43</f>
        <v>536.66985159839271</v>
      </c>
      <c r="R43" s="3480">
        <f>'28.2 Consumption &amp; demand METRO'!R43+'28.3 Consumption &amp; demand YV'!R43+'28.4 Consumption &amp; demand SG'!R43</f>
        <v>518.79948667722078</v>
      </c>
      <c r="S43" s="3482">
        <f>'28.2 Consumption &amp; demand METRO'!S43+'28.3 Consumption &amp; demand YV'!S43+'28.4 Consumption &amp; demand SG'!S43</f>
        <v>504.06123670853299</v>
      </c>
      <c r="AE43" s="1266"/>
      <c r="DP43" s="223"/>
    </row>
    <row r="44" spans="2:120">
      <c r="B44" s="4785"/>
      <c r="C44" s="890" t="s">
        <v>1642</v>
      </c>
      <c r="D44" s="851" t="s">
        <v>1642</v>
      </c>
      <c r="E44" s="3479">
        <f>'28.2 Consumption &amp; demand METRO'!E44+'28.3 Consumption &amp; demand YV'!E44+'28.4 Consumption &amp; demand SG'!E44</f>
        <v>891.24200000000008</v>
      </c>
      <c r="F44" s="3480">
        <f>'28.2 Consumption &amp; demand METRO'!F44+'28.3 Consumption &amp; demand YV'!F44+'28.4 Consumption &amp; demand SG'!F44</f>
        <v>783.75299999999993</v>
      </c>
      <c r="G44" s="3480">
        <f>'28.2 Consumption &amp; demand METRO'!G44+'28.3 Consumption &amp; demand YV'!G44+'28.4 Consumption &amp; demand SG'!G44</f>
        <v>897.46400000000006</v>
      </c>
      <c r="H44" s="3480">
        <f>'28.2 Consumption &amp; demand METRO'!H44+'28.3 Consumption &amp; demand YV'!H44+'28.4 Consumption &amp; demand SG'!H44</f>
        <v>820.62228352755938</v>
      </c>
      <c r="I44" s="3481">
        <f>'28.2 Consumption &amp; demand METRO'!I44+'28.3 Consumption &amp; demand YV'!I44+'28.4 Consumption &amp; demand SG'!I44</f>
        <v>793.75473412667259</v>
      </c>
      <c r="J44" s="3479">
        <f>'28.2 Consumption &amp; demand METRO'!J44+'28.3 Consumption &amp; demand YV'!J44+'28.4 Consumption &amp; demand SG'!J44</f>
        <v>714.57502861882108</v>
      </c>
      <c r="K44" s="3480">
        <f>'28.2 Consumption &amp; demand METRO'!K44+'28.3 Consumption &amp; demand YV'!K44+'28.4 Consumption &amp; demand SG'!K44</f>
        <v>708.78345446541107</v>
      </c>
      <c r="L44" s="3480">
        <f>'28.2 Consumption &amp; demand METRO'!L44+'28.3 Consumption &amp; demand YV'!L44+'28.4 Consumption &amp; demand SG'!L44</f>
        <v>775.8533804895925</v>
      </c>
      <c r="M44" s="3480">
        <f>'28.2 Consumption &amp; demand METRO'!M44+'28.3 Consumption &amp; demand YV'!M44+'28.4 Consumption &amp; demand SG'!M44</f>
        <v>714.01649391349201</v>
      </c>
      <c r="N44" s="3481">
        <f>'28.2 Consumption &amp; demand METRO'!N44+'28.3 Consumption &amp; demand YV'!N44+'28.4 Consumption &amp; demand SG'!N44</f>
        <v>711.81332870528047</v>
      </c>
      <c r="O44" s="3479">
        <f>'28.2 Consumption &amp; demand METRO'!O44+'28.3 Consumption &amp; demand YV'!O44+'28.4 Consumption &amp; demand SG'!O44</f>
        <v>698.75587009568562</v>
      </c>
      <c r="P44" s="3480">
        <f>'28.2 Consumption &amp; demand METRO'!P44+'28.3 Consumption &amp; demand YV'!P44+'28.4 Consumption &amp; demand SG'!P44</f>
        <v>679.80702105821831</v>
      </c>
      <c r="Q44" s="3480">
        <f>'28.2 Consumption &amp; demand METRO'!Q44+'28.3 Consumption &amp; demand YV'!Q44+'28.4 Consumption &amp; demand SG'!Q44</f>
        <v>660.31307391164137</v>
      </c>
      <c r="R44" s="3480">
        <f>'28.2 Consumption &amp; demand METRO'!R44+'28.3 Consumption &amp; demand YV'!R44+'28.4 Consumption &amp; demand SG'!R44</f>
        <v>638.40588925056625</v>
      </c>
      <c r="S44" s="3482">
        <f>'28.2 Consumption &amp; demand METRO'!S44+'28.3 Consumption &amp; demand YV'!S44+'28.4 Consumption &amp; demand SG'!S44</f>
        <v>620.34176803719322</v>
      </c>
      <c r="AE44" s="1266"/>
      <c r="DP44" s="223"/>
    </row>
    <row r="45" spans="2:120">
      <c r="B45" s="4785"/>
      <c r="C45" s="890" t="s">
        <v>1643</v>
      </c>
      <c r="D45" s="851" t="s">
        <v>1643</v>
      </c>
      <c r="E45" s="3479">
        <f>'28.2 Consumption &amp; demand METRO'!E45+'28.3 Consumption &amp; demand YV'!E45+'28.4 Consumption &amp; demand SG'!E45</f>
        <v>148.59199999999998</v>
      </c>
      <c r="F45" s="3480">
        <f>'28.2 Consumption &amp; demand METRO'!F45+'28.3 Consumption &amp; demand YV'!F45+'28.4 Consumption &amp; demand SG'!F45</f>
        <v>147.57000000000002</v>
      </c>
      <c r="G45" s="3480">
        <f>'28.2 Consumption &amp; demand METRO'!G45+'28.3 Consumption &amp; demand YV'!G45+'28.4 Consumption &amp; demand SG'!G45</f>
        <v>145.41</v>
      </c>
      <c r="H45" s="3480">
        <f>'28.2 Consumption &amp; demand METRO'!H45+'28.3 Consumption &amp; demand YV'!H45+'28.4 Consumption &amp; demand SG'!H45</f>
        <v>143.12316460325792</v>
      </c>
      <c r="I45" s="3481">
        <f>'28.2 Consumption &amp; demand METRO'!I45+'28.3 Consumption &amp; demand YV'!I45+'28.4 Consumption &amp; demand SG'!I45</f>
        <v>142.27501633965775</v>
      </c>
      <c r="J45" s="3479">
        <f>'28.2 Consumption &amp; demand METRO'!J45+'28.3 Consumption &amp; demand YV'!J45+'28.4 Consumption &amp; demand SG'!J45</f>
        <v>140.60092331248538</v>
      </c>
      <c r="K45" s="3480">
        <f>'28.2 Consumption &amp; demand METRO'!K45+'28.3 Consumption &amp; demand YV'!K45+'28.4 Consumption &amp; demand SG'!K45</f>
        <v>135.71719309338695</v>
      </c>
      <c r="L45" s="3480">
        <f>'28.2 Consumption &amp; demand METRO'!L45+'28.3 Consumption &amp; demand YV'!L45+'28.4 Consumption &amp; demand SG'!L45</f>
        <v>139.54172106382887</v>
      </c>
      <c r="M45" s="3480">
        <f>'28.2 Consumption &amp; demand METRO'!M45+'28.3 Consumption &amp; demand YV'!M45+'28.4 Consumption &amp; demand SG'!M45</f>
        <v>129.6950507537465</v>
      </c>
      <c r="N45" s="3481">
        <f>'28.2 Consumption &amp; demand METRO'!N45+'28.3 Consumption &amp; demand YV'!N45+'28.4 Consumption &amp; demand SG'!N45</f>
        <v>129.41573293056859</v>
      </c>
      <c r="O45" s="3479">
        <f>'28.2 Consumption &amp; demand METRO'!O45+'28.3 Consumption &amp; demand YV'!O45+'28.4 Consumption &amp; demand SG'!O45</f>
        <v>127.17774641065753</v>
      </c>
      <c r="P45" s="3480">
        <f>'28.2 Consumption &amp; demand METRO'!P45+'28.3 Consumption &amp; demand YV'!P45+'28.4 Consumption &amp; demand SG'!P45</f>
        <v>123.86731838735115</v>
      </c>
      <c r="Q45" s="3480">
        <f>'28.2 Consumption &amp; demand METRO'!Q45+'28.3 Consumption &amp; demand YV'!Q45+'28.4 Consumption &amp; demand SG'!Q45</f>
        <v>120.49245119245602</v>
      </c>
      <c r="R45" s="3480">
        <f>'28.2 Consumption &amp; demand METRO'!R45+'28.3 Consumption &amp; demand YV'!R45+'28.4 Consumption &amp; demand SG'!R45</f>
        <v>116.69065219669201</v>
      </c>
      <c r="S45" s="3482">
        <f>'28.2 Consumption &amp; demand METRO'!S45+'28.3 Consumption &amp; demand YV'!S45+'28.4 Consumption &amp; demand SG'!S45</f>
        <v>113.59795107292469</v>
      </c>
      <c r="AE45" s="1266"/>
      <c r="DP45" s="223"/>
    </row>
    <row r="46" spans="2:120">
      <c r="B46" s="4785"/>
      <c r="C46" s="890" t="s">
        <v>1644</v>
      </c>
      <c r="D46" s="851" t="s">
        <v>1644</v>
      </c>
      <c r="E46" s="3479">
        <f>'28.2 Consumption &amp; demand METRO'!E46+'28.3 Consumption &amp; demand YV'!E46+'28.4 Consumption &amp; demand SG'!E46</f>
        <v>221.244</v>
      </c>
      <c r="F46" s="3480">
        <f>'28.2 Consumption &amp; demand METRO'!F46+'28.3 Consumption &amp; demand YV'!F46+'28.4 Consumption &amp; demand SG'!F46</f>
        <v>219.345</v>
      </c>
      <c r="G46" s="3480">
        <f>'28.2 Consumption &amp; demand METRO'!G46+'28.3 Consumption &amp; demand YV'!G46+'28.4 Consumption &amp; demand SG'!G46</f>
        <v>216.86</v>
      </c>
      <c r="H46" s="3480">
        <f>'28.2 Consumption &amp; demand METRO'!H46+'28.3 Consumption &amp; demand YV'!H46+'28.4 Consumption &amp; demand SG'!H46</f>
        <v>214.6106756112712</v>
      </c>
      <c r="I46" s="3481">
        <f>'28.2 Consumption &amp; demand METRO'!I46+'28.3 Consumption &amp; demand YV'!I46+'28.4 Consumption &amp; demand SG'!I46</f>
        <v>212.74834026869959</v>
      </c>
      <c r="J46" s="3479">
        <f>'28.2 Consumption &amp; demand METRO'!J46+'28.3 Consumption &amp; demand YV'!J46+'28.4 Consumption &amp; demand SG'!J46</f>
        <v>206.90749166067036</v>
      </c>
      <c r="K46" s="3480">
        <f>'28.2 Consumption &amp; demand METRO'!K46+'28.3 Consumption &amp; demand YV'!K46+'28.4 Consumption &amp; demand SG'!K46</f>
        <v>198.39448338222562</v>
      </c>
      <c r="L46" s="3480">
        <f>'28.2 Consumption &amp; demand METRO'!L46+'28.3 Consumption &amp; demand YV'!L46+'28.4 Consumption &amp; demand SG'!L46</f>
        <v>209.19584654824286</v>
      </c>
      <c r="M46" s="3480">
        <f>'28.2 Consumption &amp; demand METRO'!M46+'28.3 Consumption &amp; demand YV'!M46+'28.4 Consumption &amp; demand SG'!M46</f>
        <v>192.92437409629872</v>
      </c>
      <c r="N46" s="3481">
        <f>'28.2 Consumption &amp; demand METRO'!N46+'28.3 Consumption &amp; demand YV'!N46+'28.4 Consumption &amp; demand SG'!N46</f>
        <v>192.52582764526557</v>
      </c>
      <c r="O46" s="3479">
        <f>'28.2 Consumption &amp; demand METRO'!O46+'28.3 Consumption &amp; demand YV'!O46+'28.4 Consumption &amp; demand SG'!O46</f>
        <v>189.2284257493115</v>
      </c>
      <c r="P46" s="3480">
        <f>'28.2 Consumption &amp; demand METRO'!P46+'28.3 Consumption &amp; demand YV'!P46+'28.4 Consumption &amp; demand SG'!P46</f>
        <v>184.33976695989296</v>
      </c>
      <c r="Q46" s="3480">
        <f>'28.2 Consumption &amp; demand METRO'!Q46+'28.3 Consumption &amp; demand YV'!Q46+'28.4 Consumption &amp; demand SG'!Q46</f>
        <v>179.34338328684171</v>
      </c>
      <c r="R46" s="3480">
        <f>'28.2 Consumption &amp; demand METRO'!R46+'28.3 Consumption &amp; demand YV'!R46+'28.4 Consumption &amp; demand SG'!R46</f>
        <v>173.70383801008924</v>
      </c>
      <c r="S46" s="3482">
        <f>'28.2 Consumption &amp; demand METRO'!S46+'28.3 Consumption &amp; demand YV'!S46+'28.4 Consumption &amp; demand SG'!S46</f>
        <v>169.11502404126065</v>
      </c>
      <c r="AE46" s="1266"/>
      <c r="DP46" s="223"/>
    </row>
    <row r="47" spans="2:120">
      <c r="B47" s="4785"/>
      <c r="C47" s="890" t="s">
        <v>1645</v>
      </c>
      <c r="D47" s="851" t="s">
        <v>1645</v>
      </c>
      <c r="E47" s="3479">
        <f>'28.2 Consumption &amp; demand METRO'!E47+'28.3 Consumption &amp; demand YV'!E47+'28.4 Consumption &amp; demand SG'!E47</f>
        <v>85.616</v>
      </c>
      <c r="F47" s="3480">
        <f>'28.2 Consumption &amp; demand METRO'!F47+'28.3 Consumption &amp; demand YV'!F47+'28.4 Consumption &amp; demand SG'!F47</f>
        <v>84.691000000000003</v>
      </c>
      <c r="G47" s="3480">
        <f>'28.2 Consumption &amp; demand METRO'!G47+'28.3 Consumption &amp; demand YV'!G47+'28.4 Consumption &amp; demand SG'!G47</f>
        <v>84.424000000000007</v>
      </c>
      <c r="H47" s="3480">
        <f>'28.2 Consumption &amp; demand METRO'!H47+'28.3 Consumption &amp; demand YV'!H47+'28.4 Consumption &amp; demand SG'!H47</f>
        <v>82.836795609647069</v>
      </c>
      <c r="I47" s="3481">
        <f>'28.2 Consumption &amp; demand METRO'!I47+'28.3 Consumption &amp; demand YV'!I47+'28.4 Consumption &amp; demand SG'!I47</f>
        <v>82.439701868774279</v>
      </c>
      <c r="J47" s="3479">
        <f>'28.2 Consumption &amp; demand METRO'!J47+'28.3 Consumption &amp; demand YV'!J47+'28.4 Consumption &amp; demand SG'!J47</f>
        <v>79.679528321728597</v>
      </c>
      <c r="K47" s="3480">
        <f>'28.2 Consumption &amp; demand METRO'!K47+'28.3 Consumption &amp; demand YV'!K47+'28.4 Consumption &amp; demand SG'!K47</f>
        <v>75.97485999470392</v>
      </c>
      <c r="L47" s="3480">
        <f>'28.2 Consumption &amp; demand METRO'!L47+'28.3 Consumption &amp; demand YV'!L47+'28.4 Consumption &amp; demand SG'!L47</f>
        <v>79.070329495939092</v>
      </c>
      <c r="M47" s="3480">
        <f>'28.2 Consumption &amp; demand METRO'!M47+'28.3 Consumption &amp; demand YV'!M47+'28.4 Consumption &amp; demand SG'!M47</f>
        <v>74.357453119505053</v>
      </c>
      <c r="N47" s="3481">
        <f>'28.2 Consumption &amp; demand METRO'!N47+'28.3 Consumption &amp; demand YV'!N47+'28.4 Consumption &amp; demand SG'!N47</f>
        <v>74.205982991327559</v>
      </c>
      <c r="O47" s="3479">
        <f>'28.2 Consumption &amp; demand METRO'!O47+'28.3 Consumption &amp; demand YV'!O47+'28.4 Consumption &amp; demand SG'!O47</f>
        <v>72.940718015542771</v>
      </c>
      <c r="P47" s="3480">
        <f>'28.2 Consumption &amp; demand METRO'!P47+'28.3 Consumption &amp; demand YV'!P47+'28.4 Consumption &amp; demand SG'!P47</f>
        <v>71.063420380629765</v>
      </c>
      <c r="Q47" s="3480">
        <f>'28.2 Consumption &amp; demand METRO'!Q47+'28.3 Consumption &amp; demand YV'!Q47+'28.4 Consumption &amp; demand SG'!Q47</f>
        <v>69.138952552291556</v>
      </c>
      <c r="R47" s="3480">
        <f>'28.2 Consumption &amp; demand METRO'!R47+'28.3 Consumption &amp; demand YV'!R47+'28.4 Consumption &amp; demand SG'!R47</f>
        <v>66.96788351230802</v>
      </c>
      <c r="S47" s="3482">
        <f>'28.2 Consumption &amp; demand METRO'!S47+'28.3 Consumption &amp; demand YV'!S47+'28.4 Consumption &amp; demand SG'!S47</f>
        <v>65.200181956299019</v>
      </c>
      <c r="AE47" s="1266"/>
      <c r="DP47" s="223"/>
    </row>
    <row r="48" spans="2:120">
      <c r="B48" s="4785"/>
      <c r="C48" s="890" t="s">
        <v>1646</v>
      </c>
      <c r="D48" s="851" t="s">
        <v>1646</v>
      </c>
      <c r="E48" s="3479">
        <f>'28.2 Consumption &amp; demand METRO'!E48+'28.3 Consumption &amp; demand YV'!E48+'28.4 Consumption &amp; demand SG'!E48</f>
        <v>288.702</v>
      </c>
      <c r="F48" s="3480">
        <f>'28.2 Consumption &amp; demand METRO'!F48+'28.3 Consumption &amp; demand YV'!F48+'28.4 Consumption &amp; demand SG'!F48</f>
        <v>280.69600000000003</v>
      </c>
      <c r="G48" s="3480">
        <f>'28.2 Consumption &amp; demand METRO'!G48+'28.3 Consumption &amp; demand YV'!G48+'28.4 Consumption &amp; demand SG'!G48</f>
        <v>286.65600000000001</v>
      </c>
      <c r="H48" s="3480">
        <f>'28.2 Consumption &amp; demand METRO'!H48+'28.3 Consumption &amp; demand YV'!H48+'28.4 Consumption &amp; demand SG'!H48</f>
        <v>280.63408921279336</v>
      </c>
      <c r="I48" s="3481">
        <f>'28.2 Consumption &amp; demand METRO'!I48+'28.3 Consumption &amp; demand YV'!I48+'28.4 Consumption &amp; demand SG'!I48</f>
        <v>278.23230288361691</v>
      </c>
      <c r="J48" s="3479">
        <f>'28.2 Consumption &amp; demand METRO'!J48+'28.3 Consumption &amp; demand YV'!J48+'28.4 Consumption &amp; demand SG'!J48</f>
        <v>268.0421758591159</v>
      </c>
      <c r="K48" s="3480">
        <f>'28.2 Consumption &amp; demand METRO'!K48+'28.3 Consumption &amp; demand YV'!K48+'28.4 Consumption &amp; demand SG'!K48</f>
        <v>251.4342729688729</v>
      </c>
      <c r="L48" s="3480">
        <f>'28.2 Consumption &amp; demand METRO'!L48+'28.3 Consumption &amp; demand YV'!L48+'28.4 Consumption &amp; demand SG'!L48</f>
        <v>255.46368136221508</v>
      </c>
      <c r="M48" s="3480">
        <f>'28.2 Consumption &amp; demand METRO'!M48+'28.3 Consumption &amp; demand YV'!M48+'28.4 Consumption &amp; demand SG'!M48</f>
        <v>248.59013813954539</v>
      </c>
      <c r="N48" s="3481">
        <f>'28.2 Consumption &amp; demand METRO'!N48+'28.3 Consumption &amp; demand YV'!N48+'28.4 Consumption &amp; demand SG'!N48</f>
        <v>248.07994873045118</v>
      </c>
      <c r="O48" s="3479">
        <f>'28.2 Consumption &amp; demand METRO'!O48+'28.3 Consumption &amp; demand YV'!O48+'28.4 Consumption &amp; demand SG'!O48</f>
        <v>243.85385038596263</v>
      </c>
      <c r="P48" s="3480">
        <f>'28.2 Consumption &amp; demand METRO'!P48+'28.3 Consumption &amp; demand YV'!P48+'28.4 Consumption &amp; demand SG'!P48</f>
        <v>237.59314520519388</v>
      </c>
      <c r="Q48" s="3480">
        <f>'28.2 Consumption &amp; demand METRO'!Q48+'28.3 Consumption &amp; demand YV'!Q48+'28.4 Consumption &amp; demand SG'!Q48</f>
        <v>231.15480148081008</v>
      </c>
      <c r="R48" s="3480">
        <f>'28.2 Consumption &amp; demand METRO'!R48+'28.3 Consumption &amp; demand YV'!R48+'28.4 Consumption &amp; demand SG'!R48</f>
        <v>223.9341391663387</v>
      </c>
      <c r="S48" s="3482">
        <f>'28.2 Consumption &amp; demand METRO'!S48+'28.3 Consumption &amp; demand YV'!S48+'28.4 Consumption &amp; demand SG'!S48</f>
        <v>218.0210456741022</v>
      </c>
      <c r="AE48" s="1266"/>
      <c r="DP48" s="223"/>
    </row>
    <row r="49" spans="1:120">
      <c r="B49" s="4785"/>
      <c r="C49" s="890" t="s">
        <v>1647</v>
      </c>
      <c r="D49" s="851" t="s">
        <v>1647</v>
      </c>
      <c r="E49" s="3479">
        <f>'28.2 Consumption &amp; demand METRO'!E49+'28.3 Consumption &amp; demand YV'!E49+'28.4 Consumption &amp; demand SG'!E49</f>
        <v>332.05600000000004</v>
      </c>
      <c r="F49" s="3480">
        <f>'28.2 Consumption &amp; demand METRO'!F49+'28.3 Consumption &amp; demand YV'!F49+'28.4 Consumption &amp; demand SG'!F49</f>
        <v>302.31299999999993</v>
      </c>
      <c r="G49" s="3480">
        <f>'28.2 Consumption &amp; demand METRO'!G49+'28.3 Consumption &amp; demand YV'!G49+'28.4 Consumption &amp; demand SG'!G49</f>
        <v>308.96599999999995</v>
      </c>
      <c r="H49" s="3480">
        <f>'28.2 Consumption &amp; demand METRO'!H49+'28.3 Consumption &amp; demand YV'!H49+'28.4 Consumption &amp; demand SG'!H49</f>
        <v>317.37059413628288</v>
      </c>
      <c r="I49" s="3481">
        <f>'28.2 Consumption &amp; demand METRO'!I49+'28.3 Consumption &amp; demand YV'!I49+'28.4 Consumption &amp; demand SG'!I49</f>
        <v>304.70982700522256</v>
      </c>
      <c r="J49" s="3479">
        <f>'28.2 Consumption &amp; demand METRO'!J49+'28.3 Consumption &amp; demand YV'!J49+'28.4 Consumption &amp; demand SG'!J49</f>
        <v>266.85801889544439</v>
      </c>
      <c r="K49" s="3480">
        <f>'28.2 Consumption &amp; demand METRO'!K49+'28.3 Consumption &amp; demand YV'!K49+'28.4 Consumption &amp; demand SG'!K49</f>
        <v>236.44575671841386</v>
      </c>
      <c r="L49" s="3480">
        <f>'28.2 Consumption &amp; demand METRO'!L49+'28.3 Consumption &amp; demand YV'!L49+'28.4 Consumption &amp; demand SG'!L49</f>
        <v>267.31548596069416</v>
      </c>
      <c r="M49" s="3480">
        <f>'28.2 Consumption &amp; demand METRO'!M49+'28.3 Consumption &amp; demand YV'!M49+'28.4 Consumption &amp; demand SG'!M49</f>
        <v>264.54936718928877</v>
      </c>
      <c r="N49" s="3481">
        <f>'28.2 Consumption &amp; demand METRO'!N49+'28.3 Consumption &amp; demand YV'!N49+'28.4 Consumption &amp; demand SG'!N49</f>
        <v>264.06878264192528</v>
      </c>
      <c r="O49" s="3479">
        <f>'28.2 Consumption &amp; demand METRO'!O49+'28.3 Consumption &amp; demand YV'!O49+'28.4 Consumption &amp; demand SG'!O49</f>
        <v>259.62415926193398</v>
      </c>
      <c r="P49" s="3480">
        <f>'28.2 Consumption &amp; demand METRO'!P49+'28.3 Consumption &amp; demand YV'!P49+'28.4 Consumption &amp; demand SG'!P49</f>
        <v>252.9583452739069</v>
      </c>
      <c r="Q49" s="3480">
        <f>'28.2 Consumption &amp; demand METRO'!Q49+'28.3 Consumption &amp; demand YV'!Q49+'28.4 Consumption &amp; demand SG'!Q49</f>
        <v>246.18825099981424</v>
      </c>
      <c r="R49" s="3480">
        <f>'28.2 Consumption &amp; demand METRO'!R49+'28.3 Consumption &amp; demand YV'!R49+'28.4 Consumption &amp; demand SG'!R49</f>
        <v>238.50821934947191</v>
      </c>
      <c r="S49" s="3482">
        <f>'28.2 Consumption &amp; demand METRO'!S49+'28.3 Consumption &amp; demand YV'!S49+'28.4 Consumption &amp; demand SG'!S49</f>
        <v>232.23293178502416</v>
      </c>
      <c r="AE49" s="1266"/>
      <c r="DP49" s="223"/>
    </row>
    <row r="50" spans="1:120">
      <c r="B50" s="4785"/>
      <c r="C50" s="890" t="s">
        <v>1648</v>
      </c>
      <c r="D50" s="851" t="s">
        <v>1648</v>
      </c>
      <c r="E50" s="3479">
        <f>'28.2 Consumption &amp; demand METRO'!E50+'28.3 Consumption &amp; demand YV'!E50+'28.4 Consumption &amp; demand SG'!E50</f>
        <v>350.512</v>
      </c>
      <c r="F50" s="3480">
        <f>'28.2 Consumption &amp; demand METRO'!F50+'28.3 Consumption &amp; demand YV'!F50+'28.4 Consumption &amp; demand SG'!F50</f>
        <v>340.44800000000004</v>
      </c>
      <c r="G50" s="3480">
        <f>'28.2 Consumption &amp; demand METRO'!G50+'28.3 Consumption &amp; demand YV'!G50+'28.4 Consumption &amp; demand SG'!G50</f>
        <v>333.50600000000003</v>
      </c>
      <c r="H50" s="3480">
        <f>'28.2 Consumption &amp; demand METRO'!H50+'28.3 Consumption &amp; demand YV'!H50+'28.4 Consumption &amp; demand SG'!H50</f>
        <v>339.14987131110087</v>
      </c>
      <c r="I50" s="3481">
        <f>'28.2 Consumption &amp; demand METRO'!I50+'28.3 Consumption &amp; demand YV'!I50+'28.4 Consumption &amp; demand SG'!I50</f>
        <v>333.3577103952021</v>
      </c>
      <c r="J50" s="3479">
        <f>'28.2 Consumption &amp; demand METRO'!J50+'28.3 Consumption &amp; demand YV'!J50+'28.4 Consumption &amp; demand SG'!J50</f>
        <v>330.27900787512522</v>
      </c>
      <c r="K50" s="3480">
        <f>'28.2 Consumption &amp; demand METRO'!K50+'28.3 Consumption &amp; demand YV'!K50+'28.4 Consumption &amp; demand SG'!K50</f>
        <v>324.25086489694991</v>
      </c>
      <c r="L50" s="3480">
        <f>'28.2 Consumption &amp; demand METRO'!L50+'28.3 Consumption &amp; demand YV'!L50+'28.4 Consumption &amp; demand SG'!L50</f>
        <v>335.16079166497275</v>
      </c>
      <c r="M50" s="3480">
        <f>'28.2 Consumption &amp; demand METRO'!M50+'28.3 Consumption &amp; demand YV'!M50+'28.4 Consumption &amp; demand SG'!M50</f>
        <v>303.45275050258283</v>
      </c>
      <c r="N50" s="3481">
        <f>'28.2 Consumption &amp; demand METRO'!N50+'28.3 Consumption &amp; demand YV'!N50+'28.4 Consumption &amp; demand SG'!N50</f>
        <v>303.89838169823054</v>
      </c>
      <c r="O50" s="3479">
        <f>'28.2 Consumption &amp; demand METRO'!O50+'28.3 Consumption &amp; demand YV'!O50+'28.4 Consumption &amp; demand SG'!O50</f>
        <v>299.89640384220706</v>
      </c>
      <c r="P50" s="3480">
        <f>'28.2 Consumption &amp; demand METRO'!P50+'28.3 Consumption &amp; demand YV'!P50+'28.4 Consumption &amp; demand SG'!P50</f>
        <v>293.42022283861604</v>
      </c>
      <c r="Q50" s="3480">
        <f>'28.2 Consumption &amp; demand METRO'!Q50+'28.3 Consumption &amp; demand YV'!Q50+'28.4 Consumption &amp; demand SG'!Q50</f>
        <v>286.69566398561147</v>
      </c>
      <c r="R50" s="3480">
        <f>'28.2 Consumption &amp; demand METRO'!R50+'28.3 Consumption &amp; demand YV'!R50+'28.4 Consumption &amp; demand SG'!R50</f>
        <v>278.94829710769153</v>
      </c>
      <c r="S50" s="3482">
        <f>'28.2 Consumption &amp; demand METRO'!S50+'28.3 Consumption &amp; demand YV'!S50+'28.4 Consumption &amp; demand SG'!S50</f>
        <v>272.80837270691546</v>
      </c>
      <c r="AE50" s="1266"/>
      <c r="DP50" s="223"/>
    </row>
    <row r="51" spans="1:120">
      <c r="B51" s="4785"/>
      <c r="C51" s="890" t="s">
        <v>1649</v>
      </c>
      <c r="D51" s="851" t="s">
        <v>1649</v>
      </c>
      <c r="E51" s="3479">
        <f>'28.2 Consumption &amp; demand METRO'!E51+'28.3 Consumption &amp; demand YV'!E51+'28.4 Consumption &amp; demand SG'!E51</f>
        <v>498.54200000000003</v>
      </c>
      <c r="F51" s="3480">
        <f>'28.2 Consumption &amp; demand METRO'!F51+'28.3 Consumption &amp; demand YV'!F51+'28.4 Consumption &amp; demand SG'!F51</f>
        <v>481.51</v>
      </c>
      <c r="G51" s="3480">
        <f>'28.2 Consumption &amp; demand METRO'!G51+'28.3 Consumption &amp; demand YV'!G51+'28.4 Consumption &amp; demand SG'!G51</f>
        <v>477.959</v>
      </c>
      <c r="H51" s="3480">
        <f>'28.2 Consumption &amp; demand METRO'!H51+'28.3 Consumption &amp; demand YV'!H51+'28.4 Consumption &amp; demand SG'!H51</f>
        <v>488.93760393232384</v>
      </c>
      <c r="I51" s="3481">
        <f>'28.2 Consumption &amp; demand METRO'!I51+'28.3 Consumption &amp; demand YV'!I51+'28.4 Consumption &amp; demand SG'!I51</f>
        <v>475.4292621754384</v>
      </c>
      <c r="J51" s="3479">
        <f>'28.2 Consumption &amp; demand METRO'!J51+'28.3 Consumption &amp; demand YV'!J51+'28.4 Consumption &amp; demand SG'!J51</f>
        <v>467.38920264733935</v>
      </c>
      <c r="K51" s="3480">
        <f>'28.2 Consumption &amp; demand METRO'!K51+'28.3 Consumption &amp; demand YV'!K51+'28.4 Consumption &amp; demand SG'!K51</f>
        <v>462.2170481293241</v>
      </c>
      <c r="L51" s="3480">
        <f>'28.2 Consumption &amp; demand METRO'!L51+'28.3 Consumption &amp; demand YV'!L51+'28.4 Consumption &amp; demand SG'!L51</f>
        <v>481.80179403855203</v>
      </c>
      <c r="M51" s="3480">
        <f>'28.2 Consumption &amp; demand METRO'!M51+'28.3 Consumption &amp; demand YV'!M51+'28.4 Consumption &amp; demand SG'!M51</f>
        <v>433.42590108436895</v>
      </c>
      <c r="N51" s="3481">
        <f>'28.2 Consumption &amp; demand METRO'!N51+'28.3 Consumption &amp; demand YV'!N51+'28.4 Consumption &amp; demand SG'!N51</f>
        <v>434.09813859935963</v>
      </c>
      <c r="O51" s="3479">
        <f>'28.2 Consumption &amp; demand METRO'!O51+'28.3 Consumption &amp; demand YV'!O51+'28.4 Consumption &amp; demand SG'!O51</f>
        <v>428.41714895539928</v>
      </c>
      <c r="P51" s="3480">
        <f>'28.2 Consumption &amp; demand METRO'!P51+'28.3 Consumption &amp; demand YV'!P51+'28.4 Consumption &amp; demand SG'!P51</f>
        <v>419.24634309603584</v>
      </c>
      <c r="Q51" s="3480">
        <f>'28.2 Consumption &amp; demand METRO'!Q51+'28.3 Consumption &amp; demand YV'!Q51+'28.4 Consumption &amp; demand SG'!Q51</f>
        <v>409.70523162343852</v>
      </c>
      <c r="R51" s="3480">
        <f>'28.2 Consumption &amp; demand METRO'!R51+'28.3 Consumption &amp; demand YV'!R51+'28.4 Consumption &amp; demand SG'!R51</f>
        <v>398.69691487248224</v>
      </c>
      <c r="S51" s="3482">
        <f>'28.2 Consumption &amp; demand METRO'!S51+'28.3 Consumption &amp; demand YV'!S51+'28.4 Consumption &amp; demand SG'!S51</f>
        <v>389.94650750462506</v>
      </c>
      <c r="AE51" s="1266"/>
      <c r="DP51" s="223"/>
    </row>
    <row r="52" spans="1:120">
      <c r="B52" s="4785"/>
      <c r="C52" s="890" t="s">
        <v>1650</v>
      </c>
      <c r="D52" s="851" t="s">
        <v>1650</v>
      </c>
      <c r="E52" s="3479">
        <f>'28.2 Consumption &amp; demand METRO'!E52+'28.3 Consumption &amp; demand YV'!E52+'28.4 Consumption &amp; demand SG'!E52</f>
        <v>190.59</v>
      </c>
      <c r="F52" s="3480">
        <f>'28.2 Consumption &amp; demand METRO'!F52+'28.3 Consumption &amp; demand YV'!F52+'28.4 Consumption &amp; demand SG'!F52</f>
        <v>181.917</v>
      </c>
      <c r="G52" s="3480">
        <f>'28.2 Consumption &amp; demand METRO'!G52+'28.3 Consumption &amp; demand YV'!G52+'28.4 Consumption &amp; demand SG'!G52</f>
        <v>179.88200000000001</v>
      </c>
      <c r="H52" s="3480">
        <f>'28.2 Consumption &amp; demand METRO'!H52+'28.3 Consumption &amp; demand YV'!H52+'28.4 Consumption &amp; demand SG'!H52</f>
        <v>184.82592276249014</v>
      </c>
      <c r="I52" s="3481">
        <f>'28.2 Consumption &amp; demand METRO'!I52+'28.3 Consumption &amp; demand YV'!I52+'28.4 Consumption &amp; demand SG'!I52</f>
        <v>181.00869939252178</v>
      </c>
      <c r="J52" s="3479">
        <f>'28.2 Consumption &amp; demand METRO'!J52+'28.3 Consumption &amp; demand YV'!J52+'28.4 Consumption &amp; demand SG'!J52</f>
        <v>177.40509523596552</v>
      </c>
      <c r="K52" s="3480">
        <f>'28.2 Consumption &amp; demand METRO'!K52+'28.3 Consumption &amp; demand YV'!K52+'28.4 Consumption &amp; demand SG'!K52</f>
        <v>173.9335213333818</v>
      </c>
      <c r="L52" s="3480">
        <f>'28.2 Consumption &amp; demand METRO'!L52+'28.3 Consumption &amp; demand YV'!L52+'28.4 Consumption &amp; demand SG'!L52</f>
        <v>177.81303294503439</v>
      </c>
      <c r="M52" s="3480">
        <f>'28.2 Consumption &amp; demand METRO'!M52+'28.3 Consumption &amp; demand YV'!M52+'28.4 Consumption &amp; demand SG'!M52</f>
        <v>163.64739014405433</v>
      </c>
      <c r="N52" s="3481">
        <f>'28.2 Consumption &amp; demand METRO'!N52+'28.3 Consumption &amp; demand YV'!N52+'28.4 Consumption &amp; demand SG'!N52</f>
        <v>163.90515656383437</v>
      </c>
      <c r="O52" s="3479">
        <f>'28.2 Consumption &amp; demand METRO'!O52+'28.3 Consumption &amp; demand YV'!O52+'28.4 Consumption &amp; demand SG'!O52</f>
        <v>161.76109244482242</v>
      </c>
      <c r="P52" s="3480">
        <f>'28.2 Consumption &amp; demand METRO'!P52+'28.3 Consumption &amp; demand YV'!P52+'28.4 Consumption &amp; demand SG'!P52</f>
        <v>158.29250653357289</v>
      </c>
      <c r="Q52" s="3480">
        <f>'28.2 Consumption &amp; demand METRO'!Q52+'28.3 Consumption &amp; demand YV'!Q52+'28.4 Consumption &amp; demand SG'!Q52</f>
        <v>154.68643285432645</v>
      </c>
      <c r="R52" s="3480">
        <f>'28.2 Consumption &amp; demand METRO'!R52+'28.3 Consumption &amp; demand YV'!R52+'28.4 Consumption &amp; demand SG'!R52</f>
        <v>150.53919608780652</v>
      </c>
      <c r="S52" s="3482">
        <f>'28.2 Consumption &amp; demand METRO'!S52+'28.3 Consumption &amp; demand YV'!S52+'28.4 Consumption &amp; demand SG'!S52</f>
        <v>147.23063940318724</v>
      </c>
      <c r="AE52" s="1266"/>
      <c r="DP52" s="223"/>
    </row>
    <row r="53" spans="1:120">
      <c r="B53" s="4785"/>
      <c r="C53" s="890" t="s">
        <v>1651</v>
      </c>
      <c r="D53" s="851" t="s">
        <v>1651</v>
      </c>
      <c r="E53" s="3479">
        <f>'28.2 Consumption &amp; demand METRO'!E53+'28.3 Consumption &amp; demand YV'!E53+'28.4 Consumption &amp; demand SG'!E53</f>
        <v>585.58500000000004</v>
      </c>
      <c r="F53" s="3480">
        <f>'28.2 Consumption &amp; demand METRO'!F53+'28.3 Consumption &amp; demand YV'!F53+'28.4 Consumption &amp; demand SG'!F53</f>
        <v>549.45600000000002</v>
      </c>
      <c r="G53" s="3480">
        <f>'28.2 Consumption &amp; demand METRO'!G53+'28.3 Consumption &amp; demand YV'!G53+'28.4 Consumption &amp; demand SG'!G53</f>
        <v>544.99600000000009</v>
      </c>
      <c r="H53" s="3480">
        <f>'28.2 Consumption &amp; demand METRO'!H53+'28.3 Consumption &amp; demand YV'!H53+'28.4 Consumption &amp; demand SG'!H53</f>
        <v>577.37738077386098</v>
      </c>
      <c r="I53" s="3481">
        <f>'28.2 Consumption &amp; demand METRO'!I53+'28.3 Consumption &amp; demand YV'!I53+'28.4 Consumption &amp; demand SG'!I53</f>
        <v>558.83459555132492</v>
      </c>
      <c r="J53" s="3479">
        <f>'28.2 Consumption &amp; demand METRO'!J53+'28.3 Consumption &amp; demand YV'!J53+'28.4 Consumption &amp; demand SG'!J53</f>
        <v>551.1464307980209</v>
      </c>
      <c r="K53" s="3480">
        <f>'28.2 Consumption &amp; demand METRO'!K53+'28.3 Consumption &amp; demand YV'!K53+'28.4 Consumption &amp; demand SG'!K53</f>
        <v>528.53090144352359</v>
      </c>
      <c r="L53" s="3480">
        <f>'28.2 Consumption &amp; demand METRO'!L53+'28.3 Consumption &amp; demand YV'!L53+'28.4 Consumption &amp; demand SG'!L53</f>
        <v>531.18277257932516</v>
      </c>
      <c r="M53" s="3480">
        <f>'28.2 Consumption &amp; demand METRO'!M53+'28.3 Consumption &amp; demand YV'!M53+'28.4 Consumption &amp; demand SG'!M53</f>
        <v>500.60552319959123</v>
      </c>
      <c r="N53" s="3481">
        <f>'28.2 Consumption &amp; demand METRO'!N53+'28.3 Consumption &amp; demand YV'!N53+'28.4 Consumption &amp; demand SG'!N53</f>
        <v>501.30993557085998</v>
      </c>
      <c r="O53" s="3479">
        <f>'28.2 Consumption &amp; demand METRO'!O53+'28.3 Consumption &amp; demand YV'!O53+'28.4 Consumption &amp; demand SG'!O53</f>
        <v>494.78472062901244</v>
      </c>
      <c r="P53" s="3480">
        <f>'28.2 Consumption &amp; demand METRO'!P53+'28.3 Consumption &amp; demand YV'!P53+'28.4 Consumption &amp; demand SG'!P53</f>
        <v>484.23188241746811</v>
      </c>
      <c r="Q53" s="3480">
        <f>'28.2 Consumption &amp; demand METRO'!Q53+'28.3 Consumption &amp; demand YV'!Q53+'28.4 Consumption &amp; demand SG'!Q53</f>
        <v>473.24822283120022</v>
      </c>
      <c r="R53" s="3480">
        <f>'28.2 Consumption &amp; demand METRO'!R53+'28.3 Consumption &amp; demand YV'!R53+'28.4 Consumption &amp; demand SG'!R53</f>
        <v>460.5471939482764</v>
      </c>
      <c r="S53" s="3482">
        <f>'28.2 Consumption &amp; demand METRO'!S53+'28.3 Consumption &amp; demand YV'!S53+'28.4 Consumption &amp; demand SG'!S53</f>
        <v>450.41308770108719</v>
      </c>
      <c r="AE53" s="1266"/>
      <c r="DP53" s="223"/>
    </row>
    <row r="54" spans="1:120">
      <c r="B54" s="4785"/>
      <c r="C54" s="890" t="s">
        <v>1652</v>
      </c>
      <c r="D54" s="851" t="s">
        <v>1652</v>
      </c>
      <c r="E54" s="3479">
        <f>'28.2 Consumption &amp; demand METRO'!E54+'28.3 Consumption &amp; demand YV'!E54+'28.4 Consumption &amp; demand SG'!E54</f>
        <v>550.548</v>
      </c>
      <c r="F54" s="3480">
        <f>'28.2 Consumption &amp; demand METRO'!F54+'28.3 Consumption &amp; demand YV'!F54+'28.4 Consumption &amp; demand SG'!F54</f>
        <v>468.42899999999997</v>
      </c>
      <c r="G54" s="3480">
        <f>'28.2 Consumption &amp; demand METRO'!G54+'28.3 Consumption &amp; demand YV'!G54+'28.4 Consumption &amp; demand SG'!G54</f>
        <v>461.73600000000005</v>
      </c>
      <c r="H54" s="3480">
        <f>'28.2 Consumption &amp; demand METRO'!H54+'28.3 Consumption &amp; demand YV'!H54+'28.4 Consumption &amp; demand SG'!H54</f>
        <v>516.6569578305033</v>
      </c>
      <c r="I54" s="3481">
        <f>'28.2 Consumption &amp; demand METRO'!I54+'28.3 Consumption &amp; demand YV'!I54+'28.4 Consumption &amp; demand SG'!I54</f>
        <v>472.9504233033137</v>
      </c>
      <c r="J54" s="3479">
        <f>'28.2 Consumption &amp; demand METRO'!J54+'28.3 Consumption &amp; demand YV'!J54+'28.4 Consumption &amp; demand SG'!J54</f>
        <v>472.42445787539214</v>
      </c>
      <c r="K54" s="3480">
        <f>'28.2 Consumption &amp; demand METRO'!K54+'28.3 Consumption &amp; demand YV'!K54+'28.4 Consumption &amp; demand SG'!K54</f>
        <v>429.73548836097109</v>
      </c>
      <c r="L54" s="3480">
        <f>'28.2 Consumption &amp; demand METRO'!L54+'28.3 Consumption &amp; demand YV'!L54+'28.4 Consumption &amp; demand SG'!L54</f>
        <v>432.82375243023091</v>
      </c>
      <c r="M54" s="3480">
        <f>'28.2 Consumption &amp; demand METRO'!M54+'28.3 Consumption &amp; demand YV'!M54+'28.4 Consumption &amp; demand SG'!M54</f>
        <v>429.54993308406944</v>
      </c>
      <c r="N54" s="3481">
        <f>'28.2 Consumption &amp; demand METRO'!N54+'28.3 Consumption &amp; demand YV'!N54+'28.4 Consumption &amp; demand SG'!N54</f>
        <v>430.17916215563571</v>
      </c>
      <c r="O54" s="3479">
        <f>'28.2 Consumption &amp; demand METRO'!O54+'28.3 Consumption &amp; demand YV'!O54+'28.4 Consumption &amp; demand SG'!O54</f>
        <v>424.75303415572881</v>
      </c>
      <c r="P54" s="3480">
        <f>'28.2 Consumption &amp; demand METRO'!P54+'28.3 Consumption &amp; demand YV'!P54+'28.4 Consumption &amp; demand SG'!P54</f>
        <v>415.60021165543219</v>
      </c>
      <c r="Q54" s="3480">
        <f>'28.2 Consumption &amp; demand METRO'!Q54+'28.3 Consumption &amp; demand YV'!Q54+'28.4 Consumption &amp; demand SG'!Q54</f>
        <v>406.20516211944312</v>
      </c>
      <c r="R54" s="3480">
        <f>'28.2 Consumption &amp; demand METRO'!R54+'28.3 Consumption &amp; demand YV'!R54+'28.4 Consumption &amp; demand SG'!R54</f>
        <v>395.32700308438081</v>
      </c>
      <c r="S54" s="3482">
        <f>'28.2 Consumption &amp; demand METRO'!S54+'28.3 Consumption &amp; demand YV'!S54+'28.4 Consumption &amp; demand SG'!S54</f>
        <v>386.64249237043413</v>
      </c>
      <c r="AE54" s="1266"/>
      <c r="DP54" s="223"/>
    </row>
    <row r="55" spans="1:120" ht="13.5" thickBot="1">
      <c r="B55" s="4786"/>
      <c r="C55" s="3483" t="s">
        <v>396</v>
      </c>
      <c r="D55" s="3486"/>
      <c r="E55" s="1681">
        <f t="shared" ref="E55:S55" si="1">SUM(E40:E54)</f>
        <v>5872.7970000000014</v>
      </c>
      <c r="F55" s="1682">
        <f t="shared" si="1"/>
        <v>5483.6450000000004</v>
      </c>
      <c r="G55" s="1682">
        <f t="shared" si="1"/>
        <v>5661.655999999999</v>
      </c>
      <c r="H55" s="1682">
        <f t="shared" si="1"/>
        <v>5592.9846234785973</v>
      </c>
      <c r="I55" s="1684">
        <f t="shared" si="1"/>
        <v>5470.298958501874</v>
      </c>
      <c r="J55" s="1681">
        <f t="shared" si="1"/>
        <v>5248.3545637035704</v>
      </c>
      <c r="K55" s="1682">
        <f t="shared" si="1"/>
        <v>5075.7970089277633</v>
      </c>
      <c r="L55" s="1682">
        <f t="shared" si="1"/>
        <v>5291.3263032089517</v>
      </c>
      <c r="M55" s="1682">
        <f t="shared" si="1"/>
        <v>4917.9702582823365</v>
      </c>
      <c r="N55" s="1684">
        <f t="shared" si="1"/>
        <v>4912.0462039672548</v>
      </c>
      <c r="O55" s="1681">
        <f t="shared" si="1"/>
        <v>4832.2312651261682</v>
      </c>
      <c r="P55" s="1682">
        <f t="shared" si="1"/>
        <v>4711.5362996624308</v>
      </c>
      <c r="Q55" s="1682">
        <f t="shared" si="1"/>
        <v>4587.8984580653632</v>
      </c>
      <c r="R55" s="1682">
        <f t="shared" si="1"/>
        <v>4447.7546487179588</v>
      </c>
      <c r="S55" s="3485">
        <f t="shared" si="1"/>
        <v>4333.8248464260587</v>
      </c>
      <c r="AE55" s="1266"/>
      <c r="DP55" s="223"/>
    </row>
    <row r="56" spans="1:120" s="1428" customFormat="1" ht="24" customHeight="1" thickBot="1">
      <c r="B56" s="3487" t="s">
        <v>1654</v>
      </c>
      <c r="C56" s="3488"/>
      <c r="D56" s="3488"/>
      <c r="E56" s="3489">
        <f>E38+E55</f>
        <v>46474.981999999989</v>
      </c>
      <c r="F56" s="3490">
        <f t="shared" ref="F56:S56" si="2">F38+F55</f>
        <v>44763.596000000005</v>
      </c>
      <c r="G56" s="3490">
        <f t="shared" si="2"/>
        <v>46689.792000000001</v>
      </c>
      <c r="H56" s="3490">
        <f t="shared" si="2"/>
        <v>45030.075615989823</v>
      </c>
      <c r="I56" s="3491">
        <f t="shared" si="2"/>
        <v>46425.57058901697</v>
      </c>
      <c r="J56" s="3489">
        <f t="shared" si="2"/>
        <v>43827.382296533397</v>
      </c>
      <c r="K56" s="3490">
        <f t="shared" si="2"/>
        <v>41453.574803867625</v>
      </c>
      <c r="L56" s="3490">
        <f t="shared" si="2"/>
        <v>45968.447241589565</v>
      </c>
      <c r="M56" s="3490">
        <f t="shared" si="2"/>
        <v>43039.24681769748</v>
      </c>
      <c r="N56" s="3491">
        <f t="shared" si="2"/>
        <v>42983.912649522536</v>
      </c>
      <c r="O56" s="3489">
        <f t="shared" si="2"/>
        <v>42641.990116268302</v>
      </c>
      <c r="P56" s="3490">
        <f t="shared" si="2"/>
        <v>42132.085488881894</v>
      </c>
      <c r="Q56" s="3490">
        <f t="shared" si="2"/>
        <v>41648.895652362924</v>
      </c>
      <c r="R56" s="3490">
        <f t="shared" si="2"/>
        <v>41067.936112623589</v>
      </c>
      <c r="S56" s="3492">
        <f t="shared" si="2"/>
        <v>40555.867348725522</v>
      </c>
      <c r="T56" s="1429"/>
      <c r="U56" s="1429"/>
      <c r="V56" s="1429"/>
      <c r="W56" s="1429"/>
      <c r="X56" s="1429"/>
      <c r="Y56" s="1429"/>
      <c r="Z56" s="1429"/>
      <c r="AA56" s="1429"/>
      <c r="AB56" s="1429"/>
      <c r="AC56" s="1429"/>
      <c r="AD56" s="1429"/>
      <c r="AE56" s="1429"/>
      <c r="AF56" s="1430"/>
      <c r="AG56" s="1430"/>
      <c r="AH56" s="1430"/>
      <c r="AI56" s="1430"/>
      <c r="AJ56" s="1430"/>
      <c r="AK56" s="1430"/>
      <c r="AL56" s="1430"/>
      <c r="AM56" s="1430"/>
      <c r="AN56" s="1430"/>
      <c r="AO56" s="1430"/>
      <c r="AP56" s="1430"/>
      <c r="AQ56" s="1430"/>
      <c r="AR56" s="1430"/>
      <c r="AS56" s="1430"/>
      <c r="AT56" s="1430"/>
      <c r="AU56" s="1430"/>
      <c r="AV56" s="1430"/>
      <c r="AW56" s="1430"/>
      <c r="AX56" s="1430"/>
      <c r="AY56" s="1430"/>
      <c r="AZ56" s="1430"/>
      <c r="BA56" s="1430"/>
      <c r="BB56" s="1430"/>
      <c r="BC56" s="1430"/>
      <c r="BD56" s="1430"/>
      <c r="BE56" s="1430"/>
      <c r="BF56" s="1430"/>
      <c r="BG56" s="1430"/>
      <c r="BH56" s="1430"/>
      <c r="BI56" s="1430"/>
      <c r="BJ56" s="1430"/>
      <c r="BK56" s="1430"/>
      <c r="BL56" s="1430"/>
      <c r="BM56" s="1430"/>
      <c r="BN56" s="1430"/>
      <c r="BO56" s="1430"/>
      <c r="BP56" s="1430"/>
      <c r="BQ56" s="1430"/>
      <c r="BR56" s="1430"/>
      <c r="BS56" s="1430"/>
      <c r="BT56" s="1430"/>
      <c r="BU56" s="1430"/>
      <c r="BV56" s="1430"/>
      <c r="BW56" s="1430"/>
      <c r="BX56" s="1430"/>
      <c r="BY56" s="1430"/>
      <c r="BZ56" s="1430"/>
      <c r="CA56" s="1430"/>
      <c r="CB56" s="1430"/>
      <c r="CC56" s="1430"/>
      <c r="CD56" s="1430"/>
      <c r="CE56" s="1430"/>
      <c r="CF56" s="1430"/>
      <c r="CG56" s="1430"/>
      <c r="CH56" s="1430"/>
      <c r="CI56" s="1430"/>
      <c r="CJ56" s="1430"/>
      <c r="CK56" s="1430"/>
      <c r="CL56" s="1430"/>
      <c r="CM56" s="1430"/>
      <c r="CN56" s="1430"/>
      <c r="CO56" s="1430"/>
      <c r="CP56" s="1430"/>
      <c r="CQ56" s="1430"/>
      <c r="CR56" s="1430"/>
      <c r="CS56" s="1430"/>
      <c r="CT56" s="1430"/>
      <c r="CU56" s="1430"/>
      <c r="CV56" s="1430"/>
      <c r="CW56" s="1430"/>
      <c r="CX56" s="1430"/>
      <c r="CY56" s="1430"/>
      <c r="CZ56" s="1430"/>
      <c r="DA56" s="1430"/>
      <c r="DB56" s="1430"/>
      <c r="DC56" s="1430"/>
      <c r="DD56" s="1430"/>
      <c r="DE56" s="1430"/>
      <c r="DF56" s="1430"/>
      <c r="DG56" s="1430"/>
      <c r="DH56" s="1430"/>
      <c r="DI56" s="1430"/>
      <c r="DJ56" s="1430"/>
      <c r="DK56" s="1430"/>
      <c r="DL56" s="1430"/>
      <c r="DM56" s="1430"/>
      <c r="DN56" s="1430"/>
      <c r="DO56" s="1430"/>
      <c r="DP56" s="1430"/>
    </row>
    <row r="57" spans="1:120" s="1266" customFormat="1" ht="25.5" customHeight="1" thickBot="1">
      <c r="A57" s="1268"/>
      <c r="B57" s="2269" t="s">
        <v>1655</v>
      </c>
      <c r="C57" s="2271"/>
      <c r="D57" s="2271"/>
      <c r="E57" s="814"/>
      <c r="F57" s="814"/>
      <c r="G57" s="814"/>
      <c r="H57" s="814"/>
      <c r="I57" s="814"/>
      <c r="J57" s="814"/>
      <c r="K57" s="814"/>
      <c r="L57" s="814"/>
      <c r="M57" s="814"/>
      <c r="N57" s="814"/>
      <c r="O57" s="814"/>
      <c r="P57" s="814"/>
      <c r="Q57" s="814"/>
      <c r="R57" s="814"/>
      <c r="S57" s="815"/>
    </row>
    <row r="58" spans="1:120">
      <c r="B58" s="4784" t="s">
        <v>1655</v>
      </c>
      <c r="C58" s="4787" t="s">
        <v>48</v>
      </c>
      <c r="D58" s="4790"/>
      <c r="E58" s="1650">
        <f>'[18]27.1 Customer numbers Total'!D43</f>
        <v>15.5</v>
      </c>
      <c r="F58" s="1651">
        <f>'[18]27.1 Customer numbers Total'!E43</f>
        <v>15</v>
      </c>
      <c r="G58" s="1651">
        <f>'[18]27.1 Customer numbers Total'!F43</f>
        <v>15</v>
      </c>
      <c r="H58" s="1651">
        <f>'[18]27.1 Customer numbers Total'!G43</f>
        <v>15</v>
      </c>
      <c r="I58" s="1683">
        <f>'[18]27.1 Customer numbers Total'!H43</f>
        <v>15.5</v>
      </c>
      <c r="J58" s="1650">
        <f>'[18]27.1 Customer numbers Total'!I43</f>
        <v>16</v>
      </c>
      <c r="K58" s="1651">
        <f>'[18]27.1 Customer numbers Total'!J43</f>
        <v>15.5</v>
      </c>
      <c r="L58" s="1651">
        <f>'[18]27.1 Customer numbers Total'!K43</f>
        <v>14.5</v>
      </c>
      <c r="M58" s="1651">
        <f>'[18]27.1 Customer numbers Total'!L43</f>
        <v>14</v>
      </c>
      <c r="N58" s="1683">
        <f>'[18]27.1 Customer numbers Total'!M43</f>
        <v>14</v>
      </c>
      <c r="O58" s="1650">
        <f>'[18]27.1 Customer numbers Total'!N43</f>
        <v>14</v>
      </c>
      <c r="P58" s="1651">
        <f>'[18]27.1 Customer numbers Total'!O43</f>
        <v>14</v>
      </c>
      <c r="Q58" s="1651">
        <f>'[18]27.1 Customer numbers Total'!P43</f>
        <v>14</v>
      </c>
      <c r="R58" s="1651">
        <f>'[18]27.1 Customer numbers Total'!Q43</f>
        <v>14</v>
      </c>
      <c r="S58" s="1652">
        <f>'[18]27.1 Customer numbers Total'!R43</f>
        <v>14</v>
      </c>
      <c r="AE58" s="1266"/>
      <c r="DP58" s="223"/>
    </row>
    <row r="59" spans="1:120">
      <c r="B59" s="4785"/>
      <c r="C59" s="890" t="s">
        <v>1656</v>
      </c>
      <c r="D59" s="851" t="s">
        <v>1656</v>
      </c>
      <c r="E59" s="3479">
        <f>'28.2 Consumption &amp; demand METRO'!E59+'28.3 Consumption &amp; demand YV'!E59+'28.4 Consumption &amp; demand SG'!E59</f>
        <v>8.5449999999999999</v>
      </c>
      <c r="F59" s="3480">
        <f>'28.2 Consumption &amp; demand METRO'!F59+'28.3 Consumption &amp; demand YV'!F59+'28.4 Consumption &amp; demand SG'!F59</f>
        <v>8.81</v>
      </c>
      <c r="G59" s="3480">
        <f>'28.2 Consumption &amp; demand METRO'!G59+'28.3 Consumption &amp; demand YV'!G59+'28.4 Consumption &amp; demand SG'!G59</f>
        <v>8.5510000000000002</v>
      </c>
      <c r="H59" s="3480">
        <f>'28.2 Consumption &amp; demand METRO'!H59+'28.3 Consumption &amp; demand YV'!H59+'28.4 Consumption &amp; demand SG'!H59</f>
        <v>8.5030143034170003</v>
      </c>
      <c r="I59" s="3481">
        <f>'28.2 Consumption &amp; demand METRO'!I59+'28.3 Consumption &amp; demand YV'!I59+'28.4 Consumption &amp; demand SG'!I59</f>
        <v>8.5419999999999998</v>
      </c>
      <c r="J59" s="3479">
        <f>'28.2 Consumption &amp; demand METRO'!J59+'28.3 Consumption &amp; demand YV'!J59+'28.4 Consumption &amp; demand SG'!J59</f>
        <v>7.8849999999999998</v>
      </c>
      <c r="K59" s="3480">
        <f>'28.2 Consumption &amp; demand METRO'!K59+'28.3 Consumption &amp; demand YV'!K59+'28.4 Consumption &amp; demand SG'!K59</f>
        <v>8.23</v>
      </c>
      <c r="L59" s="3480">
        <f>'28.2 Consumption &amp; demand METRO'!L59+'28.3 Consumption &amp; demand YV'!L59+'28.4 Consumption &amp; demand SG'!L59</f>
        <v>7.5609999999999999</v>
      </c>
      <c r="M59" s="3480">
        <f>'28.2 Consumption &amp; demand METRO'!M59+'28.3 Consumption &amp; demand YV'!M59+'28.4 Consumption &amp; demand SG'!M59</f>
        <v>6.911419058921231</v>
      </c>
      <c r="N59" s="3481">
        <f>'28.2 Consumption &amp; demand METRO'!N59+'28.3 Consumption &amp; demand YV'!N59+'28.4 Consumption &amp; demand SG'!N59</f>
        <v>6.9217631147734897</v>
      </c>
      <c r="O59" s="3479">
        <f>'28.2 Consumption &amp; demand METRO'!O59+'28.3 Consumption &amp; demand YV'!O59+'28.4 Consumption &amp; demand SG'!O59</f>
        <v>6.8262596766181769</v>
      </c>
      <c r="P59" s="3480">
        <f>'28.2 Consumption &amp; demand METRO'!P59+'28.3 Consumption &amp; demand YV'!P59+'28.4 Consumption &amp; demand SG'!P59</f>
        <v>6.7487510044355457</v>
      </c>
      <c r="Q59" s="3480">
        <f>'28.2 Consumption &amp; demand METRO'!Q59+'28.3 Consumption &amp; demand YV'!Q59+'28.4 Consumption &amp; demand SG'!Q59</f>
        <v>6.6956127733035551</v>
      </c>
      <c r="R59" s="3480">
        <f>'28.2 Consumption &amp; demand METRO'!R59+'28.3 Consumption &amp; demand YV'!R59+'28.4 Consumption &amp; demand SG'!R59</f>
        <v>6.6217369950900435</v>
      </c>
      <c r="S59" s="3482">
        <f>'28.2 Consumption &amp; demand METRO'!S59+'28.3 Consumption &amp; demand YV'!S59+'28.4 Consumption &amp; demand SG'!S59</f>
        <v>6.5549262524575198</v>
      </c>
      <c r="AE59" s="1266"/>
      <c r="DP59" s="223"/>
    </row>
    <row r="60" spans="1:120">
      <c r="B60" s="4785"/>
      <c r="C60" s="890" t="s">
        <v>1657</v>
      </c>
      <c r="D60" s="851" t="s">
        <v>1657</v>
      </c>
      <c r="E60" s="3479">
        <f>'28.2 Consumption &amp; demand METRO'!E60+'28.3 Consumption &amp; demand YV'!E60+'28.4 Consumption &amp; demand SG'!E60</f>
        <v>32.936999999999998</v>
      </c>
      <c r="F60" s="3480">
        <f>'28.2 Consumption &amp; demand METRO'!F60+'28.3 Consumption &amp; demand YV'!F60+'28.4 Consumption &amp; demand SG'!F60</f>
        <v>32.881</v>
      </c>
      <c r="G60" s="3480">
        <f>'28.2 Consumption &amp; demand METRO'!G60+'28.3 Consumption &amp; demand YV'!G60+'28.4 Consumption &amp; demand SG'!G60</f>
        <v>32.567999999999998</v>
      </c>
      <c r="H60" s="3480">
        <f>'28.2 Consumption &amp; demand METRO'!H60+'28.3 Consumption &amp; demand YV'!H60+'28.4 Consumption &amp; demand SG'!H60</f>
        <v>29.008444948236999</v>
      </c>
      <c r="I60" s="3481">
        <f>'28.2 Consumption &amp; demand METRO'!I60+'28.3 Consumption &amp; demand YV'!I60+'28.4 Consumption &amp; demand SG'!I60</f>
        <v>28.452000000000002</v>
      </c>
      <c r="J60" s="3479">
        <f>'28.2 Consumption &amp; demand METRO'!J60+'28.3 Consumption &amp; demand YV'!J60+'28.4 Consumption &amp; demand SG'!J60</f>
        <v>23.648</v>
      </c>
      <c r="K60" s="3480">
        <f>'28.2 Consumption &amp; demand METRO'!K60+'28.3 Consumption &amp; demand YV'!K60+'28.4 Consumption &amp; demand SG'!K60</f>
        <v>28.216999999999999</v>
      </c>
      <c r="L60" s="3480">
        <f>'28.2 Consumption &amp; demand METRO'!L60+'28.3 Consumption &amp; demand YV'!L60+'28.4 Consumption &amp; demand SG'!L60</f>
        <v>29.681999999999999</v>
      </c>
      <c r="M60" s="3480">
        <f>'28.2 Consumption &amp; demand METRO'!M60+'28.3 Consumption &amp; demand YV'!M60+'28.4 Consumption &amp; demand SG'!M60</f>
        <v>23.804928619608447</v>
      </c>
      <c r="N60" s="3481">
        <f>'28.2 Consumption &amp; demand METRO'!N60+'28.3 Consumption &amp; demand YV'!N60+'28.4 Consumption &amp; demand SG'!N60</f>
        <v>24.910792016635639</v>
      </c>
      <c r="O60" s="3479">
        <f>'28.2 Consumption &amp; demand METRO'!O60+'28.3 Consumption &amp; demand YV'!O60+'28.4 Consumption &amp; demand SG'!O60</f>
        <v>25.014426575089239</v>
      </c>
      <c r="P60" s="3480">
        <f>'28.2 Consumption &amp; demand METRO'!P60+'28.3 Consumption &amp; demand YV'!P60+'28.4 Consumption &amp; demand SG'!P60</f>
        <v>24.08518142236889</v>
      </c>
      <c r="Q60" s="3480">
        <f>'28.2 Consumption &amp; demand METRO'!Q60+'28.3 Consumption &amp; demand YV'!Q60+'28.4 Consumption &amp; demand SG'!Q60</f>
        <v>24.176730671270633</v>
      </c>
      <c r="R60" s="3480">
        <f>'28.2 Consumption &amp; demand METRO'!R60+'28.3 Consumption &amp; demand YV'!R60+'28.4 Consumption &amp; demand SG'!R60</f>
        <v>23.936937298451394</v>
      </c>
      <c r="S60" s="3482">
        <f>'28.2 Consumption &amp; demand METRO'!S60+'28.3 Consumption &amp; demand YV'!S60+'28.4 Consumption &amp; demand SG'!S60</f>
        <v>23.584957468083029</v>
      </c>
      <c r="AE60" s="1266"/>
      <c r="DP60" s="223"/>
    </row>
    <row r="61" spans="1:120">
      <c r="B61" s="4785"/>
      <c r="C61" s="890" t="s">
        <v>1658</v>
      </c>
      <c r="D61" s="851" t="s">
        <v>1658</v>
      </c>
      <c r="E61" s="3479">
        <f>'28.2 Consumption &amp; demand METRO'!E61+'28.3 Consumption &amp; demand YV'!E61+'28.4 Consumption &amp; demand SG'!E61</f>
        <v>4.4610000000000003</v>
      </c>
      <c r="F61" s="3480">
        <f>'28.2 Consumption &amp; demand METRO'!F61+'28.3 Consumption &amp; demand YV'!F61+'28.4 Consumption &amp; demand SG'!F61</f>
        <v>4.4980000000000002</v>
      </c>
      <c r="G61" s="3480">
        <f>'28.2 Consumption &amp; demand METRO'!G61+'28.3 Consumption &amp; demand YV'!G61+'28.4 Consumption &amp; demand SG'!G61</f>
        <v>4.3079999999999998</v>
      </c>
      <c r="H61" s="3480">
        <f>'28.2 Consumption &amp; demand METRO'!H61+'28.3 Consumption &amp; demand YV'!H61+'28.4 Consumption &amp; demand SG'!H61</f>
        <v>4.3056174335730004</v>
      </c>
      <c r="I61" s="3481">
        <f>'28.2 Consumption &amp; demand METRO'!I61+'28.3 Consumption &amp; demand YV'!I61+'28.4 Consumption &amp; demand SG'!I61</f>
        <v>4.1859999999999999</v>
      </c>
      <c r="J61" s="3479">
        <f>'28.2 Consumption &amp; demand METRO'!J61+'28.3 Consumption &amp; demand YV'!J61+'28.4 Consumption &amp; demand SG'!J61</f>
        <v>4.2050000000000001</v>
      </c>
      <c r="K61" s="3480">
        <f>'28.2 Consumption &amp; demand METRO'!K61+'28.3 Consumption &amp; demand YV'!K61+'28.4 Consumption &amp; demand SG'!K61</f>
        <v>3.9559999999999995</v>
      </c>
      <c r="L61" s="3480">
        <f>'28.2 Consumption &amp; demand METRO'!L61+'28.3 Consumption &amp; demand YV'!L61+'28.4 Consumption &amp; demand SG'!L61</f>
        <v>3.6970000000000001</v>
      </c>
      <c r="M61" s="3480">
        <f>'28.2 Consumption &amp; demand METRO'!M61+'28.3 Consumption &amp; demand YV'!M61+'28.4 Consumption &amp; demand SG'!M61</f>
        <v>3.4615749945438927</v>
      </c>
      <c r="N61" s="3481">
        <f>'28.2 Consumption &amp; demand METRO'!N61+'28.3 Consumption &amp; demand YV'!N61+'28.4 Consumption &amp; demand SG'!N61</f>
        <v>3.3887323787782351</v>
      </c>
      <c r="O61" s="3479">
        <f>'28.2 Consumption &amp; demand METRO'!O61+'28.3 Consumption &amp; demand YV'!O61+'28.4 Consumption &amp; demand SG'!O61</f>
        <v>3.3653760175463301</v>
      </c>
      <c r="P61" s="3480">
        <f>'28.2 Consumption &amp; demand METRO'!P61+'28.3 Consumption &amp; demand YV'!P61+'28.4 Consumption &amp; demand SG'!P61</f>
        <v>3.3371232410170242</v>
      </c>
      <c r="Q61" s="3480">
        <f>'28.2 Consumption &amp; demand METRO'!Q61+'28.3 Consumption &amp; demand YV'!Q61+'28.4 Consumption &amp; demand SG'!Q61</f>
        <v>3.2964690015315852</v>
      </c>
      <c r="R61" s="3480">
        <f>'28.2 Consumption &amp; demand METRO'!R61+'28.3 Consumption &amp; demand YV'!R61+'28.4 Consumption &amp; demand SG'!R61</f>
        <v>3.2663296316310135</v>
      </c>
      <c r="S61" s="3482">
        <f>'28.2 Consumption &amp; demand METRO'!S61+'28.3 Consumption &amp; demand YV'!S61+'28.4 Consumption &amp; demand SG'!S61</f>
        <v>3.2339744788986744</v>
      </c>
      <c r="AE61" s="1266"/>
      <c r="DP61" s="223"/>
    </row>
    <row r="62" spans="1:120">
      <c r="B62" s="4785"/>
      <c r="C62" s="890" t="s">
        <v>1659</v>
      </c>
      <c r="D62" s="851" t="s">
        <v>1659</v>
      </c>
      <c r="E62" s="3479">
        <f>'28.2 Consumption &amp; demand METRO'!E62+'28.3 Consumption &amp; demand YV'!E62+'28.4 Consumption &amp; demand SG'!E62</f>
        <v>21.797999999999998</v>
      </c>
      <c r="F62" s="3480">
        <f>'28.2 Consumption &amp; demand METRO'!F62+'28.3 Consumption &amp; demand YV'!F62+'28.4 Consumption &amp; demand SG'!F62</f>
        <v>13.736000000000001</v>
      </c>
      <c r="G62" s="3480">
        <f>'28.2 Consumption &amp; demand METRO'!G62+'28.3 Consumption &amp; demand YV'!G62+'28.4 Consumption &amp; demand SG'!G62</f>
        <v>11.337999999999999</v>
      </c>
      <c r="H62" s="3480">
        <f>'28.2 Consumption &amp; demand METRO'!H62+'28.3 Consumption &amp; demand YV'!H62+'28.4 Consumption &amp; demand SG'!H62</f>
        <v>11.452635576623001</v>
      </c>
      <c r="I62" s="3481">
        <f>'28.2 Consumption &amp; demand METRO'!I62+'28.3 Consumption &amp; demand YV'!I62+'28.4 Consumption &amp; demand SG'!I62</f>
        <v>11.363</v>
      </c>
      <c r="J62" s="3479">
        <f>'28.2 Consumption &amp; demand METRO'!J62+'28.3 Consumption &amp; demand YV'!J62+'28.4 Consumption &amp; demand SG'!J62</f>
        <v>10.931000000000001</v>
      </c>
      <c r="K62" s="3480">
        <f>'28.2 Consumption &amp; demand METRO'!K62+'28.3 Consumption &amp; demand YV'!K62+'28.4 Consumption &amp; demand SG'!K62</f>
        <v>9.5120000000000005</v>
      </c>
      <c r="L62" s="3480">
        <f>'28.2 Consumption &amp; demand METRO'!L62+'28.3 Consumption &amp; demand YV'!L62+'28.4 Consumption &amp; demand SG'!L62</f>
        <v>9.7370000000000001</v>
      </c>
      <c r="M62" s="3480">
        <f>'28.2 Consumption &amp; demand METRO'!M62+'28.3 Consumption &amp; demand YV'!M62+'28.4 Consumption &amp; demand SG'!M62</f>
        <v>8.8101141284647202</v>
      </c>
      <c r="N62" s="3481">
        <f>'28.2 Consumption &amp; demand METRO'!N62+'28.3 Consumption &amp; demand YV'!N62+'28.4 Consumption &amp; demand SG'!N62</f>
        <v>8.5549675640894112</v>
      </c>
      <c r="O62" s="3479">
        <f>'28.2 Consumption &amp; demand METRO'!O62+'28.3 Consumption &amp; demand YV'!O62+'28.4 Consumption &amp; demand SG'!O62</f>
        <v>8.6475810863730214</v>
      </c>
      <c r="P62" s="3480">
        <f>'28.2 Consumption &amp; demand METRO'!P62+'28.3 Consumption &amp; demand YV'!P62+'28.4 Consumption &amp; demand SG'!P62</f>
        <v>8.4974698411161889</v>
      </c>
      <c r="Q62" s="3480">
        <f>'28.2 Consumption &amp; demand METRO'!Q62+'28.3 Consumption &amp; demand YV'!Q62+'28.4 Consumption &amp; demand SG'!Q62</f>
        <v>8.3953393739156805</v>
      </c>
      <c r="R62" s="3480">
        <f>'28.2 Consumption &amp; demand METRO'!R62+'28.3 Consumption &amp; demand YV'!R62+'28.4 Consumption &amp; demand SG'!R62</f>
        <v>8.343194165125599</v>
      </c>
      <c r="S62" s="3482">
        <f>'28.2 Consumption &amp; demand METRO'!S62+'28.3 Consumption &amp; demand YV'!S62+'28.4 Consumption &amp; demand SG'!S62</f>
        <v>8.2437611041847703</v>
      </c>
      <c r="AE62" s="1266"/>
      <c r="DP62" s="223"/>
    </row>
    <row r="63" spans="1:120">
      <c r="B63" s="4785"/>
      <c r="C63" s="890" t="s">
        <v>1660</v>
      </c>
      <c r="D63" s="851" t="s">
        <v>1660</v>
      </c>
      <c r="E63" s="3479">
        <f>'28.2 Consumption &amp; demand METRO'!E63+'28.3 Consumption &amp; demand YV'!E63+'28.4 Consumption &amp; demand SG'!E63</f>
        <v>9.9890000000000008</v>
      </c>
      <c r="F63" s="3480">
        <f>'28.2 Consumption &amp; demand METRO'!F63+'28.3 Consumption &amp; demand YV'!F63+'28.4 Consumption &amp; demand SG'!F63</f>
        <v>11.352</v>
      </c>
      <c r="G63" s="3480">
        <f>'28.2 Consumption &amp; demand METRO'!G63+'28.3 Consumption &amp; demand YV'!G63+'28.4 Consumption &amp; demand SG'!G63</f>
        <v>11.087999999999999</v>
      </c>
      <c r="H63" s="3480">
        <f>'28.2 Consumption &amp; demand METRO'!H63+'28.3 Consumption &amp; demand YV'!H63+'28.4 Consumption &amp; demand SG'!H63</f>
        <v>11.464712964607001</v>
      </c>
      <c r="I63" s="3481">
        <f>'28.2 Consumption &amp; demand METRO'!I63+'28.3 Consumption &amp; demand YV'!I63+'28.4 Consumption &amp; demand SG'!I63</f>
        <v>10.397</v>
      </c>
      <c r="J63" s="3479">
        <f>'28.2 Consumption &amp; demand METRO'!J63+'28.3 Consumption &amp; demand YV'!J63+'28.4 Consumption &amp; demand SG'!J63</f>
        <v>10.723000000000001</v>
      </c>
      <c r="K63" s="3480">
        <f>'28.2 Consumption &amp; demand METRO'!K63+'28.3 Consumption &amp; demand YV'!K63+'28.4 Consumption &amp; demand SG'!K63</f>
        <v>10.856999999999999</v>
      </c>
      <c r="L63" s="3480">
        <f>'28.2 Consumption &amp; demand METRO'!L63+'28.3 Consumption &amp; demand YV'!L63+'28.4 Consumption &amp; demand SG'!L63</f>
        <v>10.686999999999999</v>
      </c>
      <c r="M63" s="3480">
        <f>'28.2 Consumption &amp; demand METRO'!M63+'28.3 Consumption &amp; demand YV'!M63+'28.4 Consumption &amp; demand SG'!M63</f>
        <v>9.4192523635890737</v>
      </c>
      <c r="N63" s="3481">
        <f>'28.2 Consumption &amp; demand METRO'!N63+'28.3 Consumption &amp; demand YV'!N63+'28.4 Consumption &amp; demand SG'!N63</f>
        <v>9.4403612985926504</v>
      </c>
      <c r="O63" s="3479">
        <f>'28.2 Consumption &amp; demand METRO'!O63+'28.3 Consumption &amp; demand YV'!O63+'28.4 Consumption &amp; demand SG'!O63</f>
        <v>9.4273885172907637</v>
      </c>
      <c r="P63" s="3480">
        <f>'28.2 Consumption &amp; demand METRO'!P63+'28.3 Consumption &amp; demand YV'!P63+'28.4 Consumption &amp; demand SG'!P63</f>
        <v>9.2404207119610149</v>
      </c>
      <c r="Q63" s="3480">
        <f>'28.2 Consumption &amp; demand METRO'!Q63+'28.3 Consumption &amp; demand YV'!Q63+'28.4 Consumption &amp; demand SG'!Q63</f>
        <v>9.1820023724291797</v>
      </c>
      <c r="R63" s="3480">
        <f>'28.2 Consumption &amp; demand METRO'!R63+'28.3 Consumption &amp; demand YV'!R63+'28.4 Consumption &amp; demand SG'!R63</f>
        <v>9.0976051232157804</v>
      </c>
      <c r="S63" s="3482">
        <f>'28.2 Consumption &amp; demand METRO'!S63+'28.3 Consumption &amp; demand YV'!S63+'28.4 Consumption &amp; demand SG'!S63</f>
        <v>8.9898758811512831</v>
      </c>
      <c r="AE63" s="1266"/>
      <c r="DP63" s="223"/>
    </row>
    <row r="64" spans="1:120">
      <c r="B64" s="4785"/>
      <c r="C64" s="890" t="s">
        <v>1661</v>
      </c>
      <c r="D64" s="851" t="s">
        <v>1661</v>
      </c>
      <c r="E64" s="3479">
        <f>'28.2 Consumption &amp; demand METRO'!E64+'28.3 Consumption &amp; demand YV'!E64+'28.4 Consumption &amp; demand SG'!E64</f>
        <v>22.872</v>
      </c>
      <c r="F64" s="3480">
        <f>'28.2 Consumption &amp; demand METRO'!F64+'28.3 Consumption &amp; demand YV'!F64+'28.4 Consumption &amp; demand SG'!F64</f>
        <v>20.800999999999998</v>
      </c>
      <c r="G64" s="3480">
        <f>'28.2 Consumption &amp; demand METRO'!G64+'28.3 Consumption &amp; demand YV'!G64+'28.4 Consumption &amp; demand SG'!G64</f>
        <v>19.116</v>
      </c>
      <c r="H64" s="3480">
        <f>'28.2 Consumption &amp; demand METRO'!H64+'28.3 Consumption &amp; demand YV'!H64+'28.4 Consumption &amp; demand SG'!H64</f>
        <v>18.566363041306001</v>
      </c>
      <c r="I64" s="3481">
        <f>'28.2 Consumption &amp; demand METRO'!I64+'28.3 Consumption &amp; demand YV'!I64+'28.4 Consumption &amp; demand SG'!I64</f>
        <v>16.887</v>
      </c>
      <c r="J64" s="3479">
        <f>'28.2 Consumption &amp; demand METRO'!J64+'28.3 Consumption &amp; demand YV'!J64+'28.4 Consumption &amp; demand SG'!J64</f>
        <v>16.151</v>
      </c>
      <c r="K64" s="3480">
        <f>'28.2 Consumption &amp; demand METRO'!K64+'28.3 Consumption &amp; demand YV'!K64+'28.4 Consumption &amp; demand SG'!K64</f>
        <v>17.478999999999999</v>
      </c>
      <c r="L64" s="3480">
        <f>'28.2 Consumption &amp; demand METRO'!L64+'28.3 Consumption &amp; demand YV'!L64+'28.4 Consumption &amp; demand SG'!L64</f>
        <v>17.308</v>
      </c>
      <c r="M64" s="3480">
        <f>'28.2 Consumption &amp; demand METRO'!M64+'28.3 Consumption &amp; demand YV'!M64+'28.4 Consumption &amp; demand SG'!M64</f>
        <v>14.86961530035331</v>
      </c>
      <c r="N64" s="3481">
        <f>'28.2 Consumption &amp; demand METRO'!N64+'28.3 Consumption &amp; demand YV'!N64+'28.4 Consumption &amp; demand SG'!N64</f>
        <v>15.139765803537228</v>
      </c>
      <c r="O64" s="3479">
        <f>'28.2 Consumption &amp; demand METRO'!O64+'28.3 Consumption &amp; demand YV'!O64+'28.4 Consumption &amp; demand SG'!O64</f>
        <v>15.097477510867831</v>
      </c>
      <c r="P64" s="3480">
        <f>'28.2 Consumption &amp; demand METRO'!P64+'28.3 Consumption &amp; demand YV'!P64+'28.4 Consumption &amp; demand SG'!P64</f>
        <v>14.734907147487736</v>
      </c>
      <c r="Q64" s="3480">
        <f>'28.2 Consumption &amp; demand METRO'!Q64+'28.3 Consumption &amp; demand YV'!Q64+'28.4 Consumption &amp; demand SG'!Q64</f>
        <v>14.690902484218315</v>
      </c>
      <c r="R64" s="3480">
        <f>'28.2 Consumption &amp; demand METRO'!R64+'28.3 Consumption &amp; demand YV'!R64+'28.4 Consumption &amp; demand SG'!R64</f>
        <v>14.544273799907463</v>
      </c>
      <c r="S64" s="3482">
        <f>'28.2 Consumption &amp; demand METRO'!S64+'28.3 Consumption &amp; demand YV'!S64+'28.4 Consumption &amp; demand SG'!S64</f>
        <v>14.363560587660411</v>
      </c>
      <c r="AE64" s="1266"/>
      <c r="DP64" s="223"/>
    </row>
    <row r="65" spans="2:120">
      <c r="B65" s="4785"/>
      <c r="C65" s="890"/>
      <c r="D65" s="851"/>
      <c r="E65" s="3479">
        <f>'28.2 Consumption &amp; demand METRO'!E65+'28.3 Consumption &amp; demand YV'!E65+'28.4 Consumption &amp; demand SG'!E65</f>
        <v>0</v>
      </c>
      <c r="F65" s="3480">
        <f>'28.2 Consumption &amp; demand METRO'!F65+'28.3 Consumption &amp; demand YV'!F65+'28.4 Consumption &amp; demand SG'!F65</f>
        <v>0</v>
      </c>
      <c r="G65" s="3480">
        <f>'28.2 Consumption &amp; demand METRO'!G65+'28.3 Consumption &amp; demand YV'!G65+'28.4 Consumption &amp; demand SG'!G65</f>
        <v>0</v>
      </c>
      <c r="H65" s="3480">
        <f>'28.2 Consumption &amp; demand METRO'!H65+'28.3 Consumption &amp; demand YV'!H65+'28.4 Consumption &amp; demand SG'!H65</f>
        <v>0</v>
      </c>
      <c r="I65" s="3481">
        <f>'28.2 Consumption &amp; demand METRO'!I65+'28.3 Consumption &amp; demand YV'!I65+'28.4 Consumption &amp; demand SG'!I65</f>
        <v>0</v>
      </c>
      <c r="J65" s="3479">
        <f>'28.2 Consumption &amp; demand METRO'!J65+'28.3 Consumption &amp; demand YV'!J65+'28.4 Consumption &amp; demand SG'!J65</f>
        <v>0</v>
      </c>
      <c r="K65" s="3480">
        <f>'28.2 Consumption &amp; demand METRO'!K65+'28.3 Consumption &amp; demand YV'!K65+'28.4 Consumption &amp; demand SG'!K65</f>
        <v>0</v>
      </c>
      <c r="L65" s="3480">
        <f>'28.2 Consumption &amp; demand METRO'!L65+'28.3 Consumption &amp; demand YV'!L65+'28.4 Consumption &amp; demand SG'!L65</f>
        <v>0</v>
      </c>
      <c r="M65" s="3480">
        <f>'28.2 Consumption &amp; demand METRO'!M65+'28.3 Consumption &amp; demand YV'!M65+'28.4 Consumption &amp; demand SG'!M65</f>
        <v>0</v>
      </c>
      <c r="N65" s="3481">
        <f>'28.2 Consumption &amp; demand METRO'!N65+'28.3 Consumption &amp; demand YV'!N65+'28.4 Consumption &amp; demand SG'!N65</f>
        <v>0</v>
      </c>
      <c r="O65" s="3479">
        <f>'28.2 Consumption &amp; demand METRO'!O65+'28.3 Consumption &amp; demand YV'!O65+'28.4 Consumption &amp; demand SG'!O65</f>
        <v>0</v>
      </c>
      <c r="P65" s="3480">
        <f>'28.2 Consumption &amp; demand METRO'!P65+'28.3 Consumption &amp; demand YV'!P65+'28.4 Consumption &amp; demand SG'!P65</f>
        <v>0</v>
      </c>
      <c r="Q65" s="3480">
        <f>'28.2 Consumption &amp; demand METRO'!Q65+'28.3 Consumption &amp; demand YV'!Q65+'28.4 Consumption &amp; demand SG'!Q65</f>
        <v>0</v>
      </c>
      <c r="R65" s="3480">
        <f>'28.2 Consumption &amp; demand METRO'!R65+'28.3 Consumption &amp; demand YV'!R65+'28.4 Consumption &amp; demand SG'!R65</f>
        <v>0</v>
      </c>
      <c r="S65" s="3482">
        <f>'28.2 Consumption &amp; demand METRO'!S65+'28.3 Consumption &amp; demand YV'!S65+'28.4 Consumption &amp; demand SG'!S65</f>
        <v>0</v>
      </c>
      <c r="AE65" s="1266"/>
      <c r="DP65" s="223"/>
    </row>
    <row r="66" spans="2:120">
      <c r="B66" s="4785"/>
      <c r="C66" s="890" t="s">
        <v>1662</v>
      </c>
      <c r="D66" s="851" t="s">
        <v>1662</v>
      </c>
      <c r="E66" s="3479">
        <f>'28.2 Consumption &amp; demand METRO'!E66+'28.3 Consumption &amp; demand YV'!E66+'28.4 Consumption &amp; demand SG'!E66</f>
        <v>69.39</v>
      </c>
      <c r="F66" s="3480">
        <f>'28.2 Consumption &amp; demand METRO'!F66+'28.3 Consumption &amp; demand YV'!F66+'28.4 Consumption &amp; demand SG'!F66</f>
        <v>63.97</v>
      </c>
      <c r="G66" s="3480">
        <f>'28.2 Consumption &amp; demand METRO'!G66+'28.3 Consumption &amp; demand YV'!G66+'28.4 Consumption &amp; demand SG'!G66</f>
        <v>60.21</v>
      </c>
      <c r="H66" s="3480">
        <f>'28.2 Consumption &amp; demand METRO'!H66+'28.3 Consumption &amp; demand YV'!H66+'28.4 Consumption &amp; demand SG'!H66</f>
        <v>60.218406423999994</v>
      </c>
      <c r="I66" s="3481">
        <f>'28.2 Consumption &amp; demand METRO'!I66+'28.3 Consumption &amp; demand YV'!I66+'28.4 Consumption &amp; demand SG'!I66</f>
        <v>55.889917743250003</v>
      </c>
      <c r="J66" s="3479">
        <f>'28.2 Consumption &amp; demand METRO'!J66+'28.3 Consumption &amp; demand YV'!J66+'28.4 Consumption &amp; demand SG'!J66</f>
        <v>57.587318879333331</v>
      </c>
      <c r="K66" s="3480">
        <f>'28.2 Consumption &amp; demand METRO'!K66+'28.3 Consumption &amp; demand YV'!K66+'28.4 Consumption &amp; demand SG'!K66</f>
        <v>57.457949961166662</v>
      </c>
      <c r="L66" s="3480">
        <f>'28.2 Consumption &amp; demand METRO'!L66+'28.3 Consumption &amp; demand YV'!L66+'28.4 Consumption &amp; demand SG'!L66</f>
        <v>57.139113932166673</v>
      </c>
      <c r="M66" s="3480">
        <f>'28.2 Consumption &amp; demand METRO'!M66+'28.3 Consumption &amp; demand YV'!M66+'28.4 Consumption &amp; demand SG'!M66</f>
        <v>50.415929272415056</v>
      </c>
      <c r="N66" s="3481">
        <f>'28.2 Consumption &amp; demand METRO'!N66+'28.3 Consumption &amp; demand YV'!N66+'28.4 Consumption &amp; demand SG'!N66</f>
        <v>51.062048231818764</v>
      </c>
      <c r="O66" s="3479">
        <f>'28.2 Consumption &amp; demand METRO'!O66+'28.3 Consumption &amp; demand YV'!O66+'28.4 Consumption &amp; demand SG'!O66</f>
        <v>51.075270979134245</v>
      </c>
      <c r="P66" s="3480">
        <f>'28.2 Consumption &amp; demand METRO'!P66+'28.3 Consumption &amp; demand YV'!P66+'28.4 Consumption &amp; demand SG'!P66</f>
        <v>50.036054426841702</v>
      </c>
      <c r="Q66" s="3480">
        <f>'28.2 Consumption &amp; demand METRO'!Q66+'28.3 Consumption &amp; demand YV'!Q66+'28.4 Consumption &amp; demand SG'!Q66</f>
        <v>49.911805845550383</v>
      </c>
      <c r="R66" s="3480">
        <f>'28.2 Consumption &amp; demand METRO'!R66+'28.3 Consumption &amp; demand YV'!R66+'28.4 Consumption &amp; demand SG'!R66</f>
        <v>49.53462680332138</v>
      </c>
      <c r="S66" s="3482">
        <f>'28.2 Consumption &amp; demand METRO'!S66+'28.3 Consumption &amp; demand YV'!S66+'28.4 Consumption &amp; demand SG'!S66</f>
        <v>49.028760659808512</v>
      </c>
      <c r="AE66" s="1266"/>
      <c r="DP66" s="223"/>
    </row>
    <row r="67" spans="2:120">
      <c r="B67" s="4785"/>
      <c r="C67" s="890" t="s">
        <v>1663</v>
      </c>
      <c r="D67" s="851" t="s">
        <v>1663</v>
      </c>
      <c r="E67" s="3479">
        <f>'28.2 Consumption &amp; demand METRO'!E67+'28.3 Consumption &amp; demand YV'!E67+'28.4 Consumption &amp; demand SG'!E67</f>
        <v>54.23</v>
      </c>
      <c r="F67" s="3480">
        <f>'28.2 Consumption &amp; demand METRO'!F67+'28.3 Consumption &amp; demand YV'!F67+'28.4 Consumption &amp; demand SG'!F67</f>
        <v>51.47</v>
      </c>
      <c r="G67" s="3480">
        <f>'28.2 Consumption &amp; demand METRO'!G67+'28.3 Consumption &amp; demand YV'!G67+'28.4 Consumption &amp; demand SG'!G67</f>
        <v>48.66</v>
      </c>
      <c r="H67" s="3480">
        <f>'28.2 Consumption &amp; demand METRO'!H67+'28.3 Consumption &amp; demand YV'!H67+'28.4 Consumption &amp; demand SG'!H67</f>
        <v>54.904808908</v>
      </c>
      <c r="I67" s="3481">
        <f>'28.2 Consumption &amp; demand METRO'!I67+'28.3 Consumption &amp; demand YV'!I67+'28.4 Consumption &amp; demand SG'!I67</f>
        <v>47.302226428250002</v>
      </c>
      <c r="J67" s="3479">
        <f>'28.2 Consumption &amp; demand METRO'!J67+'28.3 Consumption &amp; demand YV'!J67+'28.4 Consumption &amp; demand SG'!J67</f>
        <v>46.986925232749996</v>
      </c>
      <c r="K67" s="3480">
        <f>'28.2 Consumption &amp; demand METRO'!K67+'28.3 Consumption &amp; demand YV'!K67+'28.4 Consumption &amp; demand SG'!K67</f>
        <v>54.157248573999993</v>
      </c>
      <c r="L67" s="3480">
        <f>'28.2 Consumption &amp; demand METRO'!L67+'28.3 Consumption &amp; demand YV'!L67+'28.4 Consumption &amp; demand SG'!L67</f>
        <v>53.151263849000003</v>
      </c>
      <c r="M67" s="3480">
        <f>'28.2 Consumption &amp; demand METRO'!M67+'28.3 Consumption &amp; demand YV'!M67+'28.4 Consumption &amp; demand SG'!M67</f>
        <v>44.563256583280562</v>
      </c>
      <c r="N67" s="3481">
        <f>'28.2 Consumption &amp; demand METRO'!N67+'28.3 Consumption &amp; demand YV'!N67+'28.4 Consumption &amp; demand SG'!N67</f>
        <v>45.615983837854778</v>
      </c>
      <c r="O67" s="3479">
        <f>'28.2 Consumption &amp; demand METRO'!O67+'28.3 Consumption &amp; demand YV'!O67+'28.4 Consumption &amp; demand SG'!O67</f>
        <v>46.681654791473143</v>
      </c>
      <c r="P67" s="3480">
        <f>'28.2 Consumption &amp; demand METRO'!P67+'28.3 Consumption &amp; demand YV'!P67+'28.4 Consumption &amp; demand SG'!P67</f>
        <v>45.340033480704399</v>
      </c>
      <c r="Q67" s="3480">
        <f>'28.2 Consumption &amp; demand METRO'!Q67+'28.3 Consumption &amp; demand YV'!Q67+'28.4 Consumption &amp; demand SG'!Q67</f>
        <v>44.88873423810621</v>
      </c>
      <c r="R67" s="3480">
        <f>'28.2 Consumption &amp; demand METRO'!R67+'28.3 Consumption &amp; demand YV'!R67+'28.4 Consumption &amp; demand SG'!R67</f>
        <v>44.740427988444253</v>
      </c>
      <c r="S67" s="3482">
        <f>'28.2 Consumption &amp; demand METRO'!S67+'28.3 Consumption &amp; demand YV'!S67+'28.4 Consumption &amp; demand SG'!S67</f>
        <v>44.406739281146059</v>
      </c>
      <c r="AE67" s="1266"/>
      <c r="DP67" s="223"/>
    </row>
    <row r="68" spans="2:120" ht="13.5" thickBot="1">
      <c r="B68" s="4786"/>
      <c r="C68" s="4802" t="s">
        <v>396</v>
      </c>
      <c r="D68" s="4803"/>
      <c r="E68" s="1681">
        <f t="shared" ref="E68:S68" si="3">SUM(E59:E64)</f>
        <v>100.602</v>
      </c>
      <c r="F68" s="1682">
        <f t="shared" si="3"/>
        <v>92.078000000000003</v>
      </c>
      <c r="G68" s="1682">
        <f t="shared" si="3"/>
        <v>86.968999999999994</v>
      </c>
      <c r="H68" s="1682">
        <f t="shared" si="3"/>
        <v>83.300788267763011</v>
      </c>
      <c r="I68" s="1684">
        <f t="shared" si="3"/>
        <v>79.826999999999998</v>
      </c>
      <c r="J68" s="1681">
        <f t="shared" si="3"/>
        <v>73.542999999999992</v>
      </c>
      <c r="K68" s="1682">
        <f t="shared" si="3"/>
        <v>78.251000000000005</v>
      </c>
      <c r="L68" s="1682">
        <f t="shared" si="3"/>
        <v>78.671999999999997</v>
      </c>
      <c r="M68" s="1682">
        <f t="shared" si="3"/>
        <v>67.276904465480669</v>
      </c>
      <c r="N68" s="1684">
        <f t="shared" si="3"/>
        <v>68.356382176406655</v>
      </c>
      <c r="O68" s="1681">
        <f t="shared" si="3"/>
        <v>68.378509383785371</v>
      </c>
      <c r="P68" s="1682">
        <f t="shared" si="3"/>
        <v>66.643853368386402</v>
      </c>
      <c r="Q68" s="1682">
        <f t="shared" si="3"/>
        <v>66.437056676668959</v>
      </c>
      <c r="R68" s="1682">
        <f t="shared" si="3"/>
        <v>65.810077013421292</v>
      </c>
      <c r="S68" s="3485">
        <f t="shared" si="3"/>
        <v>64.97105577243569</v>
      </c>
      <c r="AE68" s="1266"/>
      <c r="DP68" s="223"/>
    </row>
    <row r="69" spans="2:120" s="1428" customFormat="1" ht="24" customHeight="1" thickBot="1">
      <c r="B69" s="3487" t="s">
        <v>1664</v>
      </c>
      <c r="C69" s="3488"/>
      <c r="D69" s="3488"/>
      <c r="E69" s="3489">
        <f>SUM(E59:E64)</f>
        <v>100.602</v>
      </c>
      <c r="F69" s="3490">
        <f t="shared" ref="F69:S69" si="4">SUM(F59:F64)</f>
        <v>92.078000000000003</v>
      </c>
      <c r="G69" s="3490">
        <f t="shared" si="4"/>
        <v>86.968999999999994</v>
      </c>
      <c r="H69" s="3490">
        <f t="shared" si="4"/>
        <v>83.300788267763011</v>
      </c>
      <c r="I69" s="3491">
        <f t="shared" si="4"/>
        <v>79.826999999999998</v>
      </c>
      <c r="J69" s="3489">
        <f t="shared" si="4"/>
        <v>73.542999999999992</v>
      </c>
      <c r="K69" s="3490">
        <f t="shared" si="4"/>
        <v>78.251000000000005</v>
      </c>
      <c r="L69" s="3490">
        <f t="shared" si="4"/>
        <v>78.671999999999997</v>
      </c>
      <c r="M69" s="3490">
        <f t="shared" si="4"/>
        <v>67.276904465480669</v>
      </c>
      <c r="N69" s="3491">
        <f t="shared" si="4"/>
        <v>68.356382176406655</v>
      </c>
      <c r="O69" s="3489">
        <f t="shared" si="4"/>
        <v>68.378509383785371</v>
      </c>
      <c r="P69" s="3490">
        <f t="shared" si="4"/>
        <v>66.643853368386402</v>
      </c>
      <c r="Q69" s="3490">
        <f t="shared" si="4"/>
        <v>66.437056676668959</v>
      </c>
      <c r="R69" s="3490">
        <f t="shared" si="4"/>
        <v>65.810077013421292</v>
      </c>
      <c r="S69" s="3492">
        <f t="shared" si="4"/>
        <v>64.97105577243569</v>
      </c>
      <c r="T69" s="1429"/>
      <c r="U69" s="1429"/>
      <c r="V69" s="1429"/>
      <c r="W69" s="1429"/>
      <c r="X69" s="1429"/>
      <c r="Y69" s="1429"/>
      <c r="Z69" s="1429"/>
      <c r="AA69" s="1429"/>
      <c r="AB69" s="1429"/>
      <c r="AC69" s="1429"/>
      <c r="AD69" s="1429"/>
      <c r="AE69" s="1429"/>
      <c r="AF69" s="1430"/>
      <c r="AG69" s="1430"/>
      <c r="AH69" s="1430"/>
      <c r="AI69" s="1430"/>
      <c r="AJ69" s="1430"/>
      <c r="AK69" s="1430"/>
      <c r="AL69" s="1430"/>
      <c r="AM69" s="1430"/>
      <c r="AN69" s="1430"/>
      <c r="AO69" s="1430"/>
      <c r="AP69" s="1430"/>
      <c r="AQ69" s="1430"/>
      <c r="AR69" s="1430"/>
      <c r="AS69" s="1430"/>
      <c r="AT69" s="1430"/>
      <c r="AU69" s="1430"/>
      <c r="AV69" s="1430"/>
      <c r="AW69" s="1430"/>
      <c r="AX69" s="1430"/>
      <c r="AY69" s="1430"/>
      <c r="AZ69" s="1430"/>
      <c r="BA69" s="1430"/>
      <c r="BB69" s="1430"/>
      <c r="BC69" s="1430"/>
      <c r="BD69" s="1430"/>
      <c r="BE69" s="1430"/>
      <c r="BF69" s="1430"/>
      <c r="BG69" s="1430"/>
      <c r="BH69" s="1430"/>
      <c r="BI69" s="1430"/>
      <c r="BJ69" s="1430"/>
      <c r="BK69" s="1430"/>
      <c r="BL69" s="1430"/>
      <c r="BM69" s="1430"/>
      <c r="BN69" s="1430"/>
      <c r="BO69" s="1430"/>
      <c r="BP69" s="1430"/>
      <c r="BQ69" s="1430"/>
      <c r="BR69" s="1430"/>
      <c r="BS69" s="1430"/>
      <c r="BT69" s="1430"/>
      <c r="BU69" s="1430"/>
      <c r="BV69" s="1430"/>
      <c r="BW69" s="1430"/>
      <c r="BX69" s="1430"/>
      <c r="BY69" s="1430"/>
      <c r="BZ69" s="1430"/>
      <c r="CA69" s="1430"/>
      <c r="CB69" s="1430"/>
      <c r="CC69" s="1430"/>
      <c r="CD69" s="1430"/>
      <c r="CE69" s="1430"/>
      <c r="CF69" s="1430"/>
      <c r="CG69" s="1430"/>
      <c r="CH69" s="1430"/>
      <c r="CI69" s="1430"/>
      <c r="CJ69" s="1430"/>
      <c r="CK69" s="1430"/>
      <c r="CL69" s="1430"/>
      <c r="CM69" s="1430"/>
      <c r="CN69" s="1430"/>
      <c r="CO69" s="1430"/>
      <c r="CP69" s="1430"/>
      <c r="CQ69" s="1430"/>
      <c r="CR69" s="1430"/>
      <c r="CS69" s="1430"/>
      <c r="CT69" s="1430"/>
      <c r="CU69" s="1430"/>
      <c r="CV69" s="1430"/>
      <c r="CW69" s="1430"/>
      <c r="CX69" s="1430"/>
      <c r="CY69" s="1430"/>
      <c r="CZ69" s="1430"/>
      <c r="DA69" s="1430"/>
      <c r="DB69" s="1430"/>
      <c r="DC69" s="1430"/>
      <c r="DD69" s="1430"/>
      <c r="DE69" s="1430"/>
      <c r="DF69" s="1430"/>
      <c r="DG69" s="1430"/>
      <c r="DH69" s="1430"/>
      <c r="DI69" s="1430"/>
      <c r="DJ69" s="1430"/>
      <c r="DK69" s="1430"/>
      <c r="DL69" s="1430"/>
      <c r="DM69" s="1430"/>
      <c r="DN69" s="1430"/>
      <c r="DO69" s="1430"/>
      <c r="DP69" s="1430"/>
    </row>
    <row r="70" spans="2:120" s="1266" customFormat="1" ht="24" customHeight="1" thickBot="1">
      <c r="B70" s="2269" t="s">
        <v>1622</v>
      </c>
      <c r="C70" s="2271"/>
      <c r="D70" s="2271"/>
      <c r="E70" s="814"/>
      <c r="F70" s="814"/>
      <c r="G70" s="814"/>
      <c r="H70" s="814"/>
      <c r="I70" s="814"/>
      <c r="J70" s="814"/>
      <c r="K70" s="814"/>
      <c r="L70" s="814"/>
      <c r="M70" s="814"/>
      <c r="N70" s="814"/>
      <c r="O70" s="814"/>
      <c r="P70" s="814"/>
      <c r="Q70" s="814"/>
      <c r="R70" s="814"/>
      <c r="S70" s="815"/>
    </row>
    <row r="71" spans="2:120" s="1266" customFormat="1" ht="32.25" customHeight="1">
      <c r="B71" s="4784" t="s">
        <v>1622</v>
      </c>
      <c r="C71" s="4787" t="s">
        <v>48</v>
      </c>
      <c r="D71" s="4790"/>
      <c r="E71" s="1650">
        <f>'[18]27.1 Customer numbers Total'!D52</f>
        <v>264</v>
      </c>
      <c r="F71" s="1651">
        <f>'[18]27.1 Customer numbers Total'!E52</f>
        <v>263.5</v>
      </c>
      <c r="G71" s="1651">
        <f>'[18]27.1 Customer numbers Total'!F52</f>
        <v>267.5</v>
      </c>
      <c r="H71" s="1651">
        <f>'[18]27.1 Customer numbers Total'!G52</f>
        <v>267.5</v>
      </c>
      <c r="I71" s="1683">
        <f>'[18]27.1 Customer numbers Total'!H52</f>
        <v>264.92953020134229</v>
      </c>
      <c r="J71" s="1650">
        <f>'[18]27.1 Customer numbers Total'!I52</f>
        <v>265.42953020134229</v>
      </c>
      <c r="K71" s="1651">
        <f>'[18]27.1 Customer numbers Total'!J52</f>
        <v>265.86937982540246</v>
      </c>
      <c r="L71" s="1651">
        <f>'[18]27.1 Customer numbers Total'!K52</f>
        <v>267.40294791088456</v>
      </c>
      <c r="M71" s="1651">
        <f>'[18]27.1 Customer numbers Total'!L52</f>
        <v>266.05218411377905</v>
      </c>
      <c r="N71" s="1683">
        <f>'[18]27.1 Customer numbers Total'!M52</f>
        <v>263.85298464712457</v>
      </c>
      <c r="O71" s="1650">
        <f>'[18]27.1 Customer numbers Total'!N52</f>
        <v>262.62047329451622</v>
      </c>
      <c r="P71" s="1651">
        <f>'[18]27.1 Customer numbers Total'!O52</f>
        <v>260.98910497859413</v>
      </c>
      <c r="Q71" s="1651">
        <f>'[18]27.1 Customer numbers Total'!P52</f>
        <v>257.66904212874783</v>
      </c>
      <c r="R71" s="1651">
        <f>'[18]27.1 Customer numbers Total'!Q52</f>
        <v>253.79826798613865</v>
      </c>
      <c r="S71" s="1652">
        <f>'[18]27.1 Customer numbers Total'!R52</f>
        <v>250.50932169154817</v>
      </c>
    </row>
    <row r="72" spans="2:120">
      <c r="B72" s="4785"/>
      <c r="C72" s="890" t="s">
        <v>1665</v>
      </c>
      <c r="D72" s="851" t="s">
        <v>1665</v>
      </c>
      <c r="E72" s="3479">
        <f>'28.2 Consumption &amp; demand METRO'!E72+'28.3 Consumption &amp; demand YV'!E72+'28.4 Consumption &amp; demand SG'!E72</f>
        <v>3056</v>
      </c>
      <c r="F72" s="3480">
        <f>'28.2 Consumption &amp; demand METRO'!F72+'28.3 Consumption &amp; demand YV'!F72+'28.4 Consumption &amp; demand SG'!F72</f>
        <v>3054</v>
      </c>
      <c r="G72" s="3480">
        <f>'28.2 Consumption &amp; demand METRO'!G72+'28.3 Consumption &amp; demand YV'!G72+'28.4 Consumption &amp; demand SG'!G72</f>
        <v>3088</v>
      </c>
      <c r="H72" s="3480">
        <f>'28.2 Consumption &amp; demand METRO'!H72+'28.3 Consumption &amp; demand YV'!H72+'28.4 Consumption &amp; demand SG'!H72</f>
        <v>3140.72</v>
      </c>
      <c r="I72" s="3493">
        <f>'28.2 Consumption &amp; demand METRO'!I72+'28.3 Consumption &amp; demand YV'!I72+'28.4 Consumption &amp; demand SG'!I72</f>
        <v>3086.1671999999999</v>
      </c>
      <c r="J72" s="3479">
        <f>'28.2 Consumption &amp; demand METRO'!J72+'28.3 Consumption &amp; demand YV'!J72+'28.4 Consumption &amp; demand SG'!J72</f>
        <v>3140.4984000000004</v>
      </c>
      <c r="K72" s="3480">
        <f>'28.2 Consumption &amp; demand METRO'!K72+'28.3 Consumption &amp; demand YV'!K72+'28.4 Consumption &amp; demand SG'!K72</f>
        <v>3220.0857999999998</v>
      </c>
      <c r="L72" s="3480">
        <f>'28.2 Consumption &amp; demand METRO'!L72+'28.3 Consumption &amp; demand YV'!L72+'28.4 Consumption &amp; demand SG'!L72</f>
        <v>3203.1052</v>
      </c>
      <c r="M72" s="3480">
        <f>'28.2 Consumption &amp; demand METRO'!M72+'28.3 Consumption &amp; demand YV'!M72+'28.4 Consumption &amp; demand SG'!M72</f>
        <v>3155.4372958290492</v>
      </c>
      <c r="N72" s="3493">
        <f>'28.2 Consumption &amp; demand METRO'!N72+'28.3 Consumption &amp; demand YV'!N72+'28.4 Consumption &amp; demand SG'!N72</f>
        <v>3125.1443966766756</v>
      </c>
      <c r="O72" s="3479">
        <f>'28.2 Consumption &amp; demand METRO'!O72+'28.3 Consumption &amp; demand YV'!O72+'28.4 Consumption &amp; demand SG'!O72</f>
        <v>3109.6937706331387</v>
      </c>
      <c r="P72" s="3480">
        <f>'28.2 Consumption &amp; demand METRO'!P72+'28.3 Consumption &amp; demand YV'!P72+'28.4 Consumption &amp; demand SG'!P72</f>
        <v>3080.5861595447514</v>
      </c>
      <c r="Q72" s="3480">
        <f>'28.2 Consumption &amp; demand METRO'!Q72+'28.3 Consumption &amp; demand YV'!Q72+'28.4 Consumption &amp; demand SG'!Q72</f>
        <v>3046.5474545440361</v>
      </c>
      <c r="R72" s="3480">
        <f>'28.2 Consumption &amp; demand METRO'!R72+'28.3 Consumption &amp; demand YV'!R72+'28.4 Consumption &amp; demand SG'!R72</f>
        <v>3028.8015430454302</v>
      </c>
      <c r="S72" s="3494">
        <f>'28.2 Consumption &amp; demand METRO'!S72+'28.3 Consumption &amp; demand YV'!S72+'28.4 Consumption &amp; demand SG'!S72</f>
        <v>3000.1585938382013</v>
      </c>
    </row>
    <row r="73" spans="2:120">
      <c r="B73" s="4785"/>
      <c r="C73" s="890" t="s">
        <v>1666</v>
      </c>
      <c r="D73" s="851" t="s">
        <v>1666</v>
      </c>
      <c r="E73" s="3479">
        <f>'28.2 Consumption &amp; demand METRO'!E73+'28.3 Consumption &amp; demand YV'!E73+'28.4 Consumption &amp; demand SG'!E73</f>
        <v>502</v>
      </c>
      <c r="F73" s="3480">
        <f>'28.2 Consumption &amp; demand METRO'!F73+'28.3 Consumption &amp; demand YV'!F73+'28.4 Consumption &amp; demand SG'!F73</f>
        <v>478</v>
      </c>
      <c r="G73" s="3480">
        <f>'28.2 Consumption &amp; demand METRO'!G73+'28.3 Consumption &amp; demand YV'!G73+'28.4 Consumption &amp; demand SG'!G73</f>
        <v>406</v>
      </c>
      <c r="H73" s="3480">
        <f>'28.2 Consumption &amp; demand METRO'!H73+'28.3 Consumption &amp; demand YV'!H73+'28.4 Consumption &amp; demand SG'!H73</f>
        <v>415.47</v>
      </c>
      <c r="I73" s="3493">
        <f>'28.2 Consumption &amp; demand METRO'!I73+'28.3 Consumption &amp; demand YV'!I73+'28.4 Consumption &amp; demand SG'!I73</f>
        <v>426.12280000000021</v>
      </c>
      <c r="J73" s="3479">
        <f>'28.2 Consumption &amp; demand METRO'!J73+'28.3 Consumption &amp; demand YV'!J73+'28.4 Consumption &amp; demand SG'!J73</f>
        <v>424.28159999999991</v>
      </c>
      <c r="K73" s="3480">
        <f>'28.2 Consumption &amp; demand METRO'!K73+'28.3 Consumption &amp; demand YV'!K73+'28.4 Consumption &amp; demand SG'!K73</f>
        <v>507.33420000000012</v>
      </c>
      <c r="L73" s="3480">
        <f>'28.2 Consumption &amp; demand METRO'!L73+'28.3 Consumption &amp; demand YV'!L73+'28.4 Consumption &amp; demand SG'!L73</f>
        <v>523.50479999999982</v>
      </c>
      <c r="M73" s="3480">
        <f>'28.2 Consumption &amp; demand METRO'!M73+'28.3 Consumption &amp; demand YV'!M73+'28.4 Consumption &amp; demand SG'!M73</f>
        <v>517.41411768253931</v>
      </c>
      <c r="N73" s="3493">
        <f>'28.2 Consumption &amp; demand METRO'!N73+'28.3 Consumption &amp; demand YV'!N73+'28.4 Consumption &amp; demand SG'!N73</f>
        <v>513.56306898061735</v>
      </c>
      <c r="O73" s="3479">
        <f>'28.2 Consumption &amp; demand METRO'!O73+'28.3 Consumption &amp; demand YV'!O73+'28.4 Consumption &amp; demand SG'!O73</f>
        <v>511.48573476591918</v>
      </c>
      <c r="P73" s="3480">
        <f>'28.2 Consumption &amp; demand METRO'!P73+'28.3 Consumption &amp; demand YV'!P73+'28.4 Consumption &amp; demand SG'!P73</f>
        <v>507.31395430776325</v>
      </c>
      <c r="Q73" s="3480">
        <f>'28.2 Consumption &amp; demand METRO'!Q73+'28.3 Consumption &amp; demand YV'!Q73+'28.4 Consumption &amp; demand SG'!Q73</f>
        <v>502.32145598153465</v>
      </c>
      <c r="R73" s="3480">
        <f>'28.2 Consumption &amp; demand METRO'!R73+'28.3 Consumption &amp; demand YV'!R73+'28.4 Consumption &amp; demand SG'!R73</f>
        <v>499.76639900026817</v>
      </c>
      <c r="S73" s="3494">
        <f>'28.2 Consumption &amp; demand METRO'!S73+'28.3 Consumption &amp; demand YV'!S73+'28.4 Consumption &amp; demand SG'!S73</f>
        <v>495.48887156134981</v>
      </c>
    </row>
    <row r="74" spans="2:120" ht="13.5" thickBot="1">
      <c r="B74" s="4786"/>
      <c r="C74" s="4802" t="s">
        <v>396</v>
      </c>
      <c r="D74" s="4803"/>
      <c r="E74" s="1681">
        <f t="shared" ref="E74:S74" si="5">SUM(E72:E73)</f>
        <v>3558</v>
      </c>
      <c r="F74" s="1682">
        <f t="shared" si="5"/>
        <v>3532</v>
      </c>
      <c r="G74" s="1682">
        <f t="shared" si="5"/>
        <v>3494</v>
      </c>
      <c r="H74" s="1682">
        <f t="shared" si="5"/>
        <v>3556.1899999999996</v>
      </c>
      <c r="I74" s="1684">
        <f t="shared" si="5"/>
        <v>3512.29</v>
      </c>
      <c r="J74" s="1681">
        <f t="shared" si="5"/>
        <v>3564.78</v>
      </c>
      <c r="K74" s="1682">
        <f t="shared" si="5"/>
        <v>3727.42</v>
      </c>
      <c r="L74" s="1682">
        <f t="shared" si="5"/>
        <v>3726.6099999999997</v>
      </c>
      <c r="M74" s="1682">
        <f t="shared" si="5"/>
        <v>3672.8514135115884</v>
      </c>
      <c r="N74" s="1684">
        <f t="shared" si="5"/>
        <v>3638.7074656572931</v>
      </c>
      <c r="O74" s="1681">
        <f t="shared" si="5"/>
        <v>3621.1795053990577</v>
      </c>
      <c r="P74" s="1682">
        <f t="shared" si="5"/>
        <v>3587.9001138525146</v>
      </c>
      <c r="Q74" s="1682">
        <f t="shared" si="5"/>
        <v>3548.8689105255708</v>
      </c>
      <c r="R74" s="1682">
        <f t="shared" si="5"/>
        <v>3528.5679420456981</v>
      </c>
      <c r="S74" s="3485">
        <f t="shared" si="5"/>
        <v>3495.647465399551</v>
      </c>
    </row>
    <row r="75" spans="2:120" ht="13.5" thickBot="1">
      <c r="B75" s="3487" t="s">
        <v>65</v>
      </c>
      <c r="C75" s="3488"/>
      <c r="D75" s="3488"/>
      <c r="E75" s="1686">
        <f t="shared" ref="E75:S75" ca="1" si="6">SUMIF(C71:D74,"total",E71:E74)</f>
        <v>0</v>
      </c>
      <c r="F75" s="1687">
        <f t="shared" ca="1" si="6"/>
        <v>0</v>
      </c>
      <c r="G75" s="1687">
        <f t="shared" ca="1" si="6"/>
        <v>0</v>
      </c>
      <c r="H75" s="1687">
        <f t="shared" ca="1" si="6"/>
        <v>0</v>
      </c>
      <c r="I75" s="1688">
        <f t="shared" ca="1" si="6"/>
        <v>0</v>
      </c>
      <c r="J75" s="1686">
        <f t="shared" ca="1" si="6"/>
        <v>0</v>
      </c>
      <c r="K75" s="1687">
        <f t="shared" ca="1" si="6"/>
        <v>0</v>
      </c>
      <c r="L75" s="1687">
        <f t="shared" ca="1" si="6"/>
        <v>0</v>
      </c>
      <c r="M75" s="1687">
        <f t="shared" ca="1" si="6"/>
        <v>0</v>
      </c>
      <c r="N75" s="1688">
        <f t="shared" ca="1" si="6"/>
        <v>0</v>
      </c>
      <c r="O75" s="1686">
        <f t="shared" ca="1" si="6"/>
        <v>0</v>
      </c>
      <c r="P75" s="1687">
        <f t="shared" ca="1" si="6"/>
        <v>0</v>
      </c>
      <c r="Q75" s="1687">
        <f t="shared" ca="1" si="6"/>
        <v>0</v>
      </c>
      <c r="R75" s="1687">
        <f t="shared" ca="1" si="6"/>
        <v>0</v>
      </c>
      <c r="S75" s="1689">
        <f t="shared" ca="1" si="6"/>
        <v>0</v>
      </c>
    </row>
    <row r="76" spans="2:120" ht="13.5" thickBot="1"/>
    <row r="77" spans="2:120" s="1428" customFormat="1" ht="24" customHeight="1" thickBot="1">
      <c r="B77" s="3495" t="s">
        <v>1667</v>
      </c>
      <c r="C77" s="3496"/>
      <c r="D77" s="3497"/>
      <c r="E77" s="3489">
        <f>E56+E69</f>
        <v>46575.583999999988</v>
      </c>
      <c r="F77" s="3490">
        <f t="shared" ref="F77:S77" si="7">F56+F69</f>
        <v>44855.674000000006</v>
      </c>
      <c r="G77" s="3490">
        <f t="shared" si="7"/>
        <v>46776.760999999999</v>
      </c>
      <c r="H77" s="3490">
        <f t="shared" si="7"/>
        <v>45113.376404257586</v>
      </c>
      <c r="I77" s="3491">
        <f t="shared" si="7"/>
        <v>46505.397589016968</v>
      </c>
      <c r="J77" s="3489">
        <f t="shared" si="7"/>
        <v>43900.925296533394</v>
      </c>
      <c r="K77" s="3490">
        <f t="shared" si="7"/>
        <v>41531.825803867621</v>
      </c>
      <c r="L77" s="3490">
        <f t="shared" si="7"/>
        <v>46047.119241589564</v>
      </c>
      <c r="M77" s="3490">
        <f t="shared" si="7"/>
        <v>43106.523722162958</v>
      </c>
      <c r="N77" s="3491">
        <f t="shared" si="7"/>
        <v>43052.269031698939</v>
      </c>
      <c r="O77" s="3489">
        <f t="shared" si="7"/>
        <v>42710.368625652089</v>
      </c>
      <c r="P77" s="3490">
        <f t="shared" si="7"/>
        <v>42198.729342250277</v>
      </c>
      <c r="Q77" s="3490">
        <f t="shared" si="7"/>
        <v>41715.332709039591</v>
      </c>
      <c r="R77" s="3490">
        <f t="shared" si="7"/>
        <v>41133.746189637008</v>
      </c>
      <c r="S77" s="3492">
        <f t="shared" si="7"/>
        <v>40620.838404497961</v>
      </c>
      <c r="T77" s="1429"/>
      <c r="U77" s="1429"/>
      <c r="V77" s="1429"/>
      <c r="W77" s="1429"/>
      <c r="X77" s="1429"/>
      <c r="Y77" s="1429"/>
      <c r="Z77" s="1429"/>
      <c r="AA77" s="1429"/>
      <c r="AB77" s="1429"/>
      <c r="AC77" s="1429"/>
      <c r="AD77" s="1429"/>
      <c r="AE77" s="1429"/>
      <c r="AF77" s="1430"/>
      <c r="AG77" s="1430"/>
      <c r="AH77" s="1430"/>
      <c r="AI77" s="1430"/>
      <c r="AJ77" s="1430"/>
      <c r="AK77" s="1430"/>
      <c r="AL77" s="1430"/>
      <c r="AM77" s="1430"/>
      <c r="AN77" s="1430"/>
      <c r="AO77" s="1430"/>
      <c r="AP77" s="1430"/>
      <c r="AQ77" s="1430"/>
      <c r="AR77" s="1430"/>
      <c r="AS77" s="1430"/>
      <c r="AT77" s="1430"/>
      <c r="AU77" s="1430"/>
      <c r="AV77" s="1430"/>
      <c r="AW77" s="1430"/>
      <c r="AX77" s="1430"/>
      <c r="AY77" s="1430"/>
      <c r="AZ77" s="1430"/>
      <c r="BA77" s="1430"/>
      <c r="BB77" s="1430"/>
      <c r="BC77" s="1430"/>
      <c r="BD77" s="1430"/>
      <c r="BE77" s="1430"/>
      <c r="BF77" s="1430"/>
      <c r="BG77" s="1430"/>
      <c r="BH77" s="1430"/>
      <c r="BI77" s="1430"/>
      <c r="BJ77" s="1430"/>
      <c r="BK77" s="1430"/>
      <c r="BL77" s="1430"/>
      <c r="BM77" s="1430"/>
      <c r="BN77" s="1430"/>
      <c r="BO77" s="1430"/>
      <c r="BP77" s="1430"/>
      <c r="BQ77" s="1430"/>
      <c r="BR77" s="1430"/>
      <c r="BS77" s="1430"/>
      <c r="BT77" s="1430"/>
      <c r="BU77" s="1430"/>
      <c r="BV77" s="1430"/>
      <c r="BW77" s="1430"/>
      <c r="BX77" s="1430"/>
      <c r="BY77" s="1430"/>
      <c r="BZ77" s="1430"/>
      <c r="CA77" s="1430"/>
      <c r="CB77" s="1430"/>
      <c r="CC77" s="1430"/>
      <c r="CD77" s="1430"/>
      <c r="CE77" s="1430"/>
      <c r="CF77" s="1430"/>
      <c r="CG77" s="1430"/>
      <c r="CH77" s="1430"/>
      <c r="CI77" s="1430"/>
      <c r="CJ77" s="1430"/>
      <c r="CK77" s="1430"/>
      <c r="CL77" s="1430"/>
      <c r="CM77" s="1430"/>
      <c r="CN77" s="1430"/>
      <c r="CO77" s="1430"/>
      <c r="CP77" s="1430"/>
      <c r="CQ77" s="1430"/>
      <c r="CR77" s="1430"/>
      <c r="CS77" s="1430"/>
      <c r="CT77" s="1430"/>
      <c r="CU77" s="1430"/>
      <c r="CV77" s="1430"/>
      <c r="CW77" s="1430"/>
      <c r="CX77" s="1430"/>
      <c r="CY77" s="1430"/>
      <c r="CZ77" s="1430"/>
      <c r="DA77" s="1430"/>
      <c r="DB77" s="1430"/>
      <c r="DC77" s="1430"/>
      <c r="DD77" s="1430"/>
      <c r="DE77" s="1430"/>
      <c r="DF77" s="1430"/>
      <c r="DG77" s="1430"/>
      <c r="DH77" s="1430"/>
      <c r="DI77" s="1430"/>
      <c r="DJ77" s="1430"/>
      <c r="DK77" s="1430"/>
      <c r="DL77" s="1430"/>
      <c r="DM77" s="1430"/>
      <c r="DN77" s="1430"/>
      <c r="DO77" s="1430"/>
      <c r="DP77" s="1430"/>
    </row>
    <row r="78" spans="2:120" s="1428" customFormat="1" ht="24" customHeight="1" thickBot="1">
      <c r="B78" s="3487" t="s">
        <v>1668</v>
      </c>
      <c r="C78" s="3488"/>
      <c r="D78" s="3498"/>
      <c r="E78" s="3499">
        <f>E71+E58+E39+E22</f>
        <v>654585</v>
      </c>
      <c r="F78" s="3500">
        <f t="shared" ref="F78:S78" si="8">F71+F58+F39+F22</f>
        <v>660196.5</v>
      </c>
      <c r="G78" s="3500">
        <f t="shared" si="8"/>
        <v>665851.5</v>
      </c>
      <c r="H78" s="3500">
        <f t="shared" si="8"/>
        <v>670831.5</v>
      </c>
      <c r="I78" s="3501">
        <f t="shared" si="8"/>
        <v>675794.42953020136</v>
      </c>
      <c r="J78" s="3499">
        <f t="shared" si="8"/>
        <v>680564.42953020136</v>
      </c>
      <c r="K78" s="3500">
        <f t="shared" si="8"/>
        <v>685165.86937982542</v>
      </c>
      <c r="L78" s="3500">
        <f t="shared" si="8"/>
        <v>689364.90294791083</v>
      </c>
      <c r="M78" s="3500">
        <f t="shared" si="8"/>
        <v>692620.30551835243</v>
      </c>
      <c r="N78" s="3501">
        <f t="shared" si="8"/>
        <v>695671.15141476342</v>
      </c>
      <c r="O78" s="3499">
        <f t="shared" si="8"/>
        <v>699039.07052089402</v>
      </c>
      <c r="P78" s="3500">
        <f t="shared" si="8"/>
        <v>702683.00730407913</v>
      </c>
      <c r="Q78" s="3500">
        <f t="shared" si="8"/>
        <v>706327.56936269347</v>
      </c>
      <c r="R78" s="3500">
        <f t="shared" si="8"/>
        <v>709862.3066784254</v>
      </c>
      <c r="S78" s="3502">
        <f t="shared" si="8"/>
        <v>713321.2175925941</v>
      </c>
      <c r="T78" s="1429"/>
      <c r="U78" s="1429"/>
      <c r="V78" s="1429"/>
      <c r="W78" s="1429"/>
      <c r="X78" s="1429"/>
      <c r="Y78" s="1429"/>
      <c r="Z78" s="1429"/>
      <c r="AA78" s="1429"/>
      <c r="AB78" s="1429"/>
      <c r="AC78" s="1429"/>
      <c r="AD78" s="1429"/>
      <c r="AE78" s="1429"/>
      <c r="AF78" s="1430"/>
      <c r="AG78" s="1430"/>
      <c r="AH78" s="1430"/>
      <c r="AI78" s="1430"/>
      <c r="AJ78" s="1430"/>
      <c r="AK78" s="1430"/>
      <c r="AL78" s="1430"/>
      <c r="AM78" s="1430"/>
      <c r="AN78" s="1430"/>
      <c r="AO78" s="1430"/>
      <c r="AP78" s="1430"/>
      <c r="AQ78" s="1430"/>
      <c r="AR78" s="1430"/>
      <c r="AS78" s="1430"/>
      <c r="AT78" s="1430"/>
      <c r="AU78" s="1430"/>
      <c r="AV78" s="1430"/>
      <c r="AW78" s="1430"/>
      <c r="AX78" s="1430"/>
      <c r="AY78" s="1430"/>
      <c r="AZ78" s="1430"/>
      <c r="BA78" s="1430"/>
      <c r="BB78" s="1430"/>
      <c r="BC78" s="1430"/>
      <c r="BD78" s="1430"/>
      <c r="BE78" s="1430"/>
      <c r="BF78" s="1430"/>
      <c r="BG78" s="1430"/>
      <c r="BH78" s="1430"/>
      <c r="BI78" s="1430"/>
      <c r="BJ78" s="1430"/>
      <c r="BK78" s="1430"/>
      <c r="BL78" s="1430"/>
      <c r="BM78" s="1430"/>
      <c r="BN78" s="1430"/>
      <c r="BO78" s="1430"/>
      <c r="BP78" s="1430"/>
      <c r="BQ78" s="1430"/>
      <c r="BR78" s="1430"/>
      <c r="BS78" s="1430"/>
      <c r="BT78" s="1430"/>
      <c r="BU78" s="1430"/>
      <c r="BV78" s="1430"/>
      <c r="BW78" s="1430"/>
      <c r="BX78" s="1430"/>
      <c r="BY78" s="1430"/>
      <c r="BZ78" s="1430"/>
      <c r="CA78" s="1430"/>
      <c r="CB78" s="1430"/>
      <c r="CC78" s="1430"/>
      <c r="CD78" s="1430"/>
      <c r="CE78" s="1430"/>
      <c r="CF78" s="1430"/>
      <c r="CG78" s="1430"/>
      <c r="CH78" s="1430"/>
      <c r="CI78" s="1430"/>
      <c r="CJ78" s="1430"/>
      <c r="CK78" s="1430"/>
      <c r="CL78" s="1430"/>
      <c r="CM78" s="1430"/>
      <c r="CN78" s="1430"/>
      <c r="CO78" s="1430"/>
      <c r="CP78" s="1430"/>
      <c r="CQ78" s="1430"/>
      <c r="CR78" s="1430"/>
      <c r="CS78" s="1430"/>
      <c r="CT78" s="1430"/>
      <c r="CU78" s="1430"/>
      <c r="CV78" s="1430"/>
      <c r="CW78" s="1430"/>
      <c r="CX78" s="1430"/>
      <c r="CY78" s="1430"/>
      <c r="CZ78" s="1430"/>
      <c r="DA78" s="1430"/>
      <c r="DB78" s="1430"/>
      <c r="DC78" s="1430"/>
      <c r="DD78" s="1430"/>
      <c r="DE78" s="1430"/>
      <c r="DF78" s="1430"/>
      <c r="DG78" s="1430"/>
      <c r="DH78" s="1430"/>
      <c r="DI78" s="1430"/>
      <c r="DJ78" s="1430"/>
      <c r="DK78" s="1430"/>
      <c r="DL78" s="1430"/>
      <c r="DM78" s="1430"/>
      <c r="DN78" s="1430"/>
      <c r="DO78" s="1430"/>
      <c r="DP78" s="1430"/>
    </row>
    <row r="82" spans="13:17">
      <c r="M82" s="3479"/>
      <c r="N82" s="3480"/>
      <c r="O82" s="3480"/>
      <c r="P82" s="3480"/>
      <c r="Q82" s="3493"/>
    </row>
    <row r="83" spans="13:17">
      <c r="M83" s="3479"/>
      <c r="N83" s="3480"/>
      <c r="O83" s="3480"/>
      <c r="P83" s="3480"/>
      <c r="Q83" s="3493"/>
    </row>
  </sheetData>
  <mergeCells count="24">
    <mergeCell ref="B58:B68"/>
    <mergeCell ref="C58:D58"/>
    <mergeCell ref="C68:D68"/>
    <mergeCell ref="B71:B74"/>
    <mergeCell ref="C71:D71"/>
    <mergeCell ref="C74:D74"/>
    <mergeCell ref="J14:N14"/>
    <mergeCell ref="O14:S14"/>
    <mergeCell ref="E15:S15"/>
    <mergeCell ref="E16:L16"/>
    <mergeCell ref="M16:S16"/>
    <mergeCell ref="E14:I14"/>
    <mergeCell ref="B39:B55"/>
    <mergeCell ref="C39:D39"/>
    <mergeCell ref="B7:G7"/>
    <mergeCell ref="B8:G8"/>
    <mergeCell ref="B9:G9"/>
    <mergeCell ref="B10:G10"/>
    <mergeCell ref="B11:G11"/>
    <mergeCell ref="B22:B38"/>
    <mergeCell ref="C22:D22"/>
    <mergeCell ref="B14:B17"/>
    <mergeCell ref="C14:C17"/>
    <mergeCell ref="D14:D17"/>
  </mergeCells>
  <pageMargins left="0.7" right="0.7" top="0.75" bottom="0.75" header="0.3" footer="0.3"/>
  <customProperties>
    <customPr name="layoutContexts" r:id="rId1"/>
    <customPr name="SaveUndoMode" r:id="rId2"/>
  </customProperties>
  <drawing r:id="rId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autoPageBreaks="0"/>
  </sheetPr>
  <dimension ref="A1:DP83"/>
  <sheetViews>
    <sheetView showGridLines="0" topLeftCell="B1" zoomScale="85" zoomScaleNormal="85" workbookViewId="0">
      <selection activeCell="C26" sqref="C26"/>
    </sheetView>
  </sheetViews>
  <sheetFormatPr defaultColWidth="9.140625" defaultRowHeight="12.75"/>
  <cols>
    <col min="1" max="1" width="16.28515625" style="501" bestFit="1" customWidth="1"/>
    <col min="2" max="2" width="35.5703125" style="965" customWidth="1"/>
    <col min="3" max="4" width="38.140625" style="501" customWidth="1"/>
    <col min="5" max="18" width="15.7109375" style="501" customWidth="1"/>
    <col min="19" max="19" width="14.7109375" style="1266" customWidth="1"/>
    <col min="20" max="30" width="9.140625" style="1266"/>
    <col min="31" max="119" width="9.140625" style="223"/>
    <col min="120" max="16384" width="9.140625" style="501"/>
  </cols>
  <sheetData>
    <row r="1" spans="1:119" s="1274" customFormat="1" ht="24.95" customHeight="1">
      <c r="B1" s="2272" t="str">
        <f>IF(dms_DataQuality="backcast",INDEX(dms_Worksheet_List,MATCH(dms_Model,dms_Model_List))&amp;" BACKCAST",INDEX(dms_Worksheet_List,MATCH(dms_Model,dms_Model_List)))</f>
        <v>REGULATORY REPORTING STATEMENT</v>
      </c>
      <c r="C1" s="518"/>
      <c r="D1" s="518"/>
      <c r="E1" s="518"/>
      <c r="F1" s="518"/>
      <c r="G1" s="518"/>
      <c r="H1" s="518"/>
      <c r="I1" s="518"/>
      <c r="J1" s="518"/>
      <c r="K1" s="518"/>
      <c r="L1" s="518"/>
      <c r="M1" s="518"/>
      <c r="N1" s="518"/>
      <c r="O1" s="518"/>
      <c r="P1" s="518"/>
      <c r="Q1" s="518"/>
      <c r="R1" s="518"/>
      <c r="S1" s="1266"/>
      <c r="T1" s="1266"/>
      <c r="U1" s="1266"/>
      <c r="V1" s="1266"/>
      <c r="W1" s="1266"/>
      <c r="X1" s="1266"/>
      <c r="Y1" s="1266"/>
      <c r="Z1" s="1266"/>
      <c r="AA1" s="1266"/>
      <c r="AB1" s="1266"/>
      <c r="AC1" s="1266"/>
      <c r="AD1" s="1266"/>
    </row>
    <row r="2" spans="1:119" s="1274" customFormat="1" ht="24.95" customHeight="1">
      <c r="B2" s="2277" t="str">
        <f>INDEX(dms_TradingNameFull_List,MATCH(dms_TradingName,dms_TradingName_List))</f>
        <v>Multinet Gas (DB No.1) Pty Ltd (ACN 086 026 986), Multinet Gas (DB No.2) Pty Ltd (ACN 086 230 122)</v>
      </c>
      <c r="C2" s="1267"/>
      <c r="D2" s="1267"/>
      <c r="E2" s="1267"/>
      <c r="F2" s="1267"/>
      <c r="G2" s="1267"/>
      <c r="H2" s="1267"/>
      <c r="I2" s="1267"/>
      <c r="J2" s="1267"/>
      <c r="K2" s="1267"/>
      <c r="L2" s="1267"/>
      <c r="M2" s="1267"/>
      <c r="N2" s="1267"/>
      <c r="O2" s="1267"/>
      <c r="P2" s="1267"/>
      <c r="Q2" s="1267"/>
      <c r="R2" s="1267"/>
      <c r="S2" s="1266"/>
      <c r="T2" s="1266"/>
      <c r="U2" s="1266"/>
      <c r="V2" s="1266"/>
      <c r="W2" s="1266"/>
      <c r="X2" s="1266"/>
      <c r="Y2" s="1266"/>
      <c r="Z2" s="1266"/>
      <c r="AA2" s="1266"/>
      <c r="AB2" s="1266"/>
      <c r="AC2" s="1266"/>
      <c r="AD2" s="1266"/>
    </row>
    <row r="3" spans="1:119" s="1274" customFormat="1" ht="24.95" customHeight="1">
      <c r="B3" s="2277" t="str">
        <f ca="1">IF(SUM(dms_SingleYear_Model)&gt;0,CRY,CONCATENATE(FRCP_y1," to ",dms_MultiYear_FinalYear_Result))</f>
        <v>2018 to 2022</v>
      </c>
      <c r="C3" s="1265"/>
      <c r="D3" s="1265"/>
      <c r="E3" s="1265"/>
      <c r="F3" s="1265"/>
      <c r="G3" s="1265"/>
      <c r="H3" s="1265"/>
      <c r="I3" s="1265"/>
      <c r="J3" s="1265"/>
      <c r="K3" s="1265"/>
      <c r="L3" s="1265"/>
      <c r="M3" s="1265"/>
      <c r="N3" s="1265"/>
      <c r="O3" s="1265"/>
      <c r="P3" s="1265"/>
      <c r="Q3" s="1265"/>
      <c r="R3" s="1265"/>
      <c r="S3" s="1266"/>
      <c r="T3" s="1266"/>
      <c r="U3" s="1266"/>
      <c r="V3" s="1266"/>
      <c r="W3" s="1266"/>
      <c r="X3" s="1266"/>
      <c r="Y3" s="1266"/>
      <c r="Z3" s="1266"/>
      <c r="AA3" s="1266"/>
      <c r="AB3" s="1266"/>
      <c r="AC3" s="1266"/>
      <c r="AD3" s="1266"/>
    </row>
    <row r="4" spans="1:119" s="1274" customFormat="1" ht="24" customHeight="1">
      <c r="B4" s="10" t="s">
        <v>387</v>
      </c>
      <c r="C4" s="12"/>
      <c r="D4" s="12"/>
      <c r="E4" s="12"/>
      <c r="F4" s="12"/>
      <c r="G4" s="12"/>
      <c r="H4" s="12"/>
      <c r="I4" s="12"/>
      <c r="J4" s="12"/>
      <c r="K4" s="12"/>
      <c r="L4" s="12"/>
      <c r="M4" s="12"/>
      <c r="N4" s="12"/>
      <c r="O4" s="12"/>
      <c r="P4" s="12"/>
      <c r="Q4" s="12"/>
      <c r="R4" s="12"/>
      <c r="S4" s="1266"/>
      <c r="T4" s="1266"/>
      <c r="U4" s="1266"/>
      <c r="V4" s="1266"/>
      <c r="W4" s="1266"/>
      <c r="X4" s="1266"/>
      <c r="Y4" s="1266"/>
      <c r="Z4" s="1266"/>
      <c r="AA4" s="1266"/>
      <c r="AB4" s="1266"/>
      <c r="AC4" s="1266"/>
      <c r="AD4" s="1266"/>
    </row>
    <row r="5" spans="1:119" s="1266" customFormat="1"/>
    <row r="7" spans="1:119" s="888" customFormat="1">
      <c r="B7" s="4789" t="s">
        <v>61</v>
      </c>
      <c r="C7" s="4789"/>
      <c r="D7" s="4789"/>
      <c r="E7" s="4789"/>
      <c r="F7" s="4789"/>
      <c r="G7" s="4789"/>
      <c r="S7" s="1266"/>
      <c r="T7" s="1266"/>
      <c r="U7" s="1266"/>
      <c r="V7" s="1266"/>
      <c r="W7" s="1266"/>
      <c r="X7" s="1266"/>
      <c r="Y7" s="1266"/>
      <c r="Z7" s="1266"/>
      <c r="AA7" s="1266"/>
      <c r="AB7" s="1266"/>
      <c r="AC7" s="1266"/>
      <c r="AD7" s="1266"/>
      <c r="AE7" s="386"/>
      <c r="AF7" s="386"/>
      <c r="AG7" s="386"/>
      <c r="AH7" s="386"/>
      <c r="AI7" s="386"/>
      <c r="AJ7" s="386"/>
      <c r="AK7" s="386"/>
      <c r="AL7" s="386"/>
      <c r="AM7" s="386"/>
      <c r="AN7" s="386"/>
      <c r="AO7" s="386"/>
      <c r="AP7" s="386"/>
      <c r="AQ7" s="386"/>
      <c r="AR7" s="386"/>
      <c r="AS7" s="386"/>
      <c r="AT7" s="386"/>
      <c r="AU7" s="386"/>
      <c r="AV7" s="386"/>
      <c r="AW7" s="386"/>
      <c r="AX7" s="386"/>
      <c r="AY7" s="386"/>
      <c r="AZ7" s="386"/>
      <c r="BA7" s="386"/>
      <c r="BB7" s="386"/>
      <c r="BC7" s="386"/>
      <c r="BD7" s="386"/>
      <c r="BE7" s="386"/>
      <c r="BF7" s="386"/>
      <c r="BG7" s="386"/>
      <c r="BH7" s="386"/>
      <c r="BI7" s="386"/>
      <c r="BJ7" s="386"/>
      <c r="BK7" s="386"/>
      <c r="BL7" s="386"/>
      <c r="BM7" s="386"/>
      <c r="BN7" s="386"/>
      <c r="BO7" s="386"/>
      <c r="BP7" s="386"/>
      <c r="BQ7" s="386"/>
      <c r="BR7" s="386"/>
      <c r="BS7" s="386"/>
      <c r="BT7" s="386"/>
      <c r="BU7" s="386"/>
      <c r="BV7" s="386"/>
      <c r="BW7" s="386"/>
      <c r="BX7" s="386"/>
      <c r="BY7" s="386"/>
      <c r="BZ7" s="386"/>
      <c r="CA7" s="386"/>
      <c r="CB7" s="386"/>
      <c r="CC7" s="386"/>
      <c r="CD7" s="386"/>
      <c r="CE7" s="386"/>
      <c r="CF7" s="386"/>
      <c r="CG7" s="386"/>
      <c r="CH7" s="386"/>
      <c r="CI7" s="386"/>
      <c r="CJ7" s="386"/>
      <c r="CK7" s="386"/>
      <c r="CL7" s="386"/>
      <c r="CM7" s="386"/>
      <c r="CN7" s="386"/>
      <c r="CO7" s="386"/>
      <c r="CP7" s="386"/>
      <c r="CQ7" s="386"/>
      <c r="CR7" s="386"/>
      <c r="CS7" s="386"/>
      <c r="CT7" s="386"/>
      <c r="CU7" s="386"/>
      <c r="CV7" s="386"/>
      <c r="CW7" s="386"/>
      <c r="CX7" s="386"/>
      <c r="CY7" s="386"/>
      <c r="CZ7" s="386"/>
      <c r="DA7" s="386"/>
      <c r="DB7" s="386"/>
      <c r="DC7" s="386"/>
      <c r="DD7" s="386"/>
      <c r="DE7" s="386"/>
      <c r="DF7" s="386"/>
      <c r="DG7" s="386"/>
      <c r="DH7" s="386"/>
      <c r="DI7" s="386"/>
      <c r="DJ7" s="386"/>
      <c r="DK7" s="386"/>
      <c r="DL7" s="386"/>
      <c r="DM7" s="386"/>
      <c r="DN7" s="386"/>
      <c r="DO7" s="386"/>
    </row>
    <row r="8" spans="1:119" s="888" customFormat="1" ht="30.75" customHeight="1">
      <c r="B8" s="4163" t="s">
        <v>1468</v>
      </c>
      <c r="C8" s="4163"/>
      <c r="D8" s="4163"/>
      <c r="E8" s="4163"/>
      <c r="F8" s="4163"/>
      <c r="G8" s="4163"/>
      <c r="S8" s="1266"/>
      <c r="T8" s="1266"/>
      <c r="U8" s="1266"/>
      <c r="V8" s="1266"/>
      <c r="W8" s="1266"/>
      <c r="X8" s="1266"/>
      <c r="Y8" s="1266"/>
      <c r="Z8" s="1266"/>
      <c r="AA8" s="1266"/>
      <c r="AB8" s="1266"/>
      <c r="AC8" s="1266"/>
      <c r="AD8" s="1266"/>
      <c r="AE8" s="386"/>
      <c r="AF8" s="386"/>
      <c r="AG8" s="386"/>
      <c r="AH8" s="386"/>
      <c r="AI8" s="386"/>
      <c r="AJ8" s="386"/>
      <c r="AK8" s="386"/>
      <c r="AL8" s="386"/>
      <c r="AM8" s="386"/>
      <c r="AN8" s="386"/>
      <c r="AO8" s="386"/>
      <c r="AP8" s="386"/>
      <c r="AQ8" s="386"/>
      <c r="AR8" s="386"/>
      <c r="AS8" s="386"/>
      <c r="AT8" s="386"/>
      <c r="AU8" s="386"/>
      <c r="AV8" s="386"/>
      <c r="AW8" s="386"/>
      <c r="AX8" s="386"/>
      <c r="AY8" s="386"/>
      <c r="AZ8" s="386"/>
      <c r="BA8" s="386"/>
      <c r="BB8" s="386"/>
      <c r="BC8" s="386"/>
      <c r="BD8" s="386"/>
      <c r="BE8" s="386"/>
      <c r="BF8" s="386"/>
      <c r="BG8" s="386"/>
      <c r="BH8" s="386"/>
      <c r="BI8" s="386"/>
      <c r="BJ8" s="386"/>
      <c r="BK8" s="386"/>
      <c r="BL8" s="386"/>
      <c r="BM8" s="386"/>
      <c r="BN8" s="386"/>
      <c r="BO8" s="386"/>
      <c r="BP8" s="386"/>
      <c r="BQ8" s="386"/>
      <c r="BR8" s="386"/>
      <c r="BS8" s="386"/>
      <c r="BT8" s="386"/>
      <c r="BU8" s="386"/>
      <c r="BV8" s="386"/>
      <c r="BW8" s="386"/>
      <c r="BX8" s="386"/>
      <c r="BY8" s="386"/>
      <c r="BZ8" s="386"/>
      <c r="CA8" s="386"/>
      <c r="CB8" s="386"/>
      <c r="CC8" s="386"/>
      <c r="CD8" s="386"/>
      <c r="CE8" s="386"/>
      <c r="CF8" s="386"/>
      <c r="CG8" s="386"/>
      <c r="CH8" s="386"/>
      <c r="CI8" s="386"/>
      <c r="CJ8" s="386"/>
      <c r="CK8" s="386"/>
      <c r="CL8" s="386"/>
      <c r="CM8" s="386"/>
      <c r="CN8" s="386"/>
      <c r="CO8" s="386"/>
      <c r="CP8" s="386"/>
      <c r="CQ8" s="386"/>
      <c r="CR8" s="386"/>
      <c r="CS8" s="386"/>
      <c r="CT8" s="386"/>
      <c r="CU8" s="386"/>
      <c r="CV8" s="386"/>
      <c r="CW8" s="386"/>
      <c r="CX8" s="386"/>
      <c r="CY8" s="386"/>
      <c r="CZ8" s="386"/>
      <c r="DA8" s="386"/>
      <c r="DB8" s="386"/>
      <c r="DC8" s="386"/>
      <c r="DD8" s="386"/>
      <c r="DE8" s="386"/>
      <c r="DF8" s="386"/>
      <c r="DG8" s="386"/>
      <c r="DH8" s="386"/>
      <c r="DI8" s="386"/>
      <c r="DJ8" s="386"/>
      <c r="DK8" s="386"/>
      <c r="DL8" s="386"/>
      <c r="DM8" s="386"/>
      <c r="DN8" s="386"/>
      <c r="DO8" s="386"/>
    </row>
    <row r="9" spans="1:119" s="888" customFormat="1" ht="17.25" customHeight="1">
      <c r="B9" s="4163" t="s">
        <v>752</v>
      </c>
      <c r="C9" s="4212"/>
      <c r="D9" s="4212"/>
      <c r="E9" s="4212"/>
      <c r="F9" s="4212"/>
      <c r="G9" s="4212"/>
      <c r="S9" s="1266"/>
      <c r="T9" s="1266"/>
      <c r="U9" s="1266"/>
      <c r="V9" s="1266"/>
      <c r="W9" s="1266"/>
      <c r="X9" s="1266"/>
      <c r="Y9" s="1266"/>
      <c r="Z9" s="1266"/>
      <c r="AA9" s="1266"/>
      <c r="AB9" s="1266"/>
      <c r="AC9" s="1266"/>
      <c r="AD9" s="1266"/>
      <c r="AE9" s="386"/>
      <c r="AF9" s="386"/>
      <c r="AG9" s="386"/>
      <c r="AH9" s="386"/>
      <c r="AI9" s="386"/>
      <c r="AJ9" s="386"/>
      <c r="AK9" s="386"/>
      <c r="AL9" s="386"/>
      <c r="AM9" s="386"/>
      <c r="AN9" s="386"/>
      <c r="AO9" s="386"/>
      <c r="AP9" s="386"/>
      <c r="AQ9" s="386"/>
      <c r="AR9" s="386"/>
      <c r="AS9" s="386"/>
      <c r="AT9" s="386"/>
      <c r="AU9" s="386"/>
      <c r="AV9" s="386"/>
      <c r="AW9" s="386"/>
      <c r="AX9" s="386"/>
      <c r="AY9" s="386"/>
      <c r="AZ9" s="386"/>
      <c r="BA9" s="386"/>
      <c r="BB9" s="386"/>
      <c r="BC9" s="386"/>
      <c r="BD9" s="386"/>
      <c r="BE9" s="386"/>
      <c r="BF9" s="386"/>
      <c r="BG9" s="386"/>
      <c r="BH9" s="386"/>
      <c r="BI9" s="386"/>
      <c r="BJ9" s="386"/>
      <c r="BK9" s="386"/>
      <c r="BL9" s="386"/>
      <c r="BM9" s="386"/>
      <c r="BN9" s="386"/>
      <c r="BO9" s="386"/>
      <c r="BP9" s="386"/>
      <c r="BQ9" s="386"/>
      <c r="BR9" s="386"/>
      <c r="BS9" s="386"/>
      <c r="BT9" s="386"/>
      <c r="BU9" s="386"/>
      <c r="BV9" s="386"/>
      <c r="BW9" s="386"/>
      <c r="BX9" s="386"/>
      <c r="BY9" s="386"/>
      <c r="BZ9" s="386"/>
      <c r="CA9" s="386"/>
      <c r="CB9" s="386"/>
      <c r="CC9" s="386"/>
      <c r="CD9" s="386"/>
      <c r="CE9" s="386"/>
      <c r="CF9" s="386"/>
      <c r="CG9" s="386"/>
      <c r="CH9" s="386"/>
      <c r="CI9" s="386"/>
      <c r="CJ9" s="386"/>
      <c r="CK9" s="386"/>
      <c r="CL9" s="386"/>
      <c r="CM9" s="386"/>
      <c r="CN9" s="386"/>
      <c r="CO9" s="386"/>
      <c r="CP9" s="386"/>
      <c r="CQ9" s="386"/>
      <c r="CR9" s="386"/>
      <c r="CS9" s="386"/>
      <c r="CT9" s="386"/>
      <c r="CU9" s="386"/>
      <c r="CV9" s="386"/>
      <c r="CW9" s="386"/>
      <c r="CX9" s="386"/>
      <c r="CY9" s="386"/>
      <c r="CZ9" s="386"/>
      <c r="DA9" s="386"/>
      <c r="DB9" s="386"/>
      <c r="DC9" s="386"/>
      <c r="DD9" s="386"/>
      <c r="DE9" s="386"/>
      <c r="DF9" s="386"/>
      <c r="DG9" s="386"/>
      <c r="DH9" s="386"/>
      <c r="DI9" s="386"/>
      <c r="DJ9" s="386"/>
      <c r="DK9" s="386"/>
      <c r="DL9" s="386"/>
      <c r="DM9" s="386"/>
      <c r="DN9" s="386"/>
      <c r="DO9" s="386"/>
    </row>
    <row r="10" spans="1:119" s="888" customFormat="1" ht="18.75" customHeight="1">
      <c r="B10" s="4163" t="s">
        <v>244</v>
      </c>
      <c r="C10" s="4163"/>
      <c r="D10" s="4163"/>
      <c r="E10" s="4163"/>
      <c r="F10" s="4163"/>
      <c r="G10" s="4163"/>
      <c r="S10" s="1266"/>
      <c r="T10" s="1266"/>
      <c r="U10" s="1266"/>
      <c r="V10" s="1266"/>
      <c r="W10" s="1266"/>
      <c r="X10" s="1266"/>
      <c r="Y10" s="1266"/>
      <c r="Z10" s="1266"/>
      <c r="AA10" s="1266"/>
      <c r="AB10" s="1266"/>
      <c r="AC10" s="1266"/>
      <c r="AD10" s="1266"/>
      <c r="AE10" s="386"/>
      <c r="AF10" s="386"/>
      <c r="AG10" s="386"/>
      <c r="AH10" s="386"/>
      <c r="AI10" s="386"/>
      <c r="AJ10" s="386"/>
      <c r="AK10" s="386"/>
      <c r="AL10" s="386"/>
      <c r="AM10" s="386"/>
      <c r="AN10" s="386"/>
      <c r="AO10" s="386"/>
      <c r="AP10" s="386"/>
      <c r="AQ10" s="386"/>
      <c r="AR10" s="386"/>
      <c r="AS10" s="386"/>
      <c r="AT10" s="386"/>
      <c r="AU10" s="386"/>
      <c r="AV10" s="386"/>
      <c r="AW10" s="386"/>
      <c r="AX10" s="386"/>
      <c r="AY10" s="386"/>
      <c r="AZ10" s="386"/>
      <c r="BA10" s="386"/>
      <c r="BB10" s="386"/>
      <c r="BC10" s="386"/>
      <c r="BD10" s="386"/>
      <c r="BE10" s="386"/>
      <c r="BF10" s="386"/>
      <c r="BG10" s="386"/>
      <c r="BH10" s="386"/>
      <c r="BI10" s="386"/>
      <c r="BJ10" s="386"/>
      <c r="BK10" s="386"/>
      <c r="BL10" s="386"/>
      <c r="BM10" s="386"/>
      <c r="BN10" s="386"/>
      <c r="BO10" s="386"/>
      <c r="BP10" s="386"/>
      <c r="BQ10" s="386"/>
      <c r="BR10" s="386"/>
      <c r="BS10" s="386"/>
      <c r="BT10" s="386"/>
      <c r="BU10" s="386"/>
      <c r="BV10" s="386"/>
      <c r="BW10" s="386"/>
      <c r="BX10" s="386"/>
      <c r="BY10" s="386"/>
      <c r="BZ10" s="386"/>
      <c r="CA10" s="386"/>
      <c r="CB10" s="386"/>
      <c r="CC10" s="386"/>
      <c r="CD10" s="386"/>
      <c r="CE10" s="386"/>
      <c r="CF10" s="386"/>
      <c r="CG10" s="386"/>
      <c r="CH10" s="386"/>
      <c r="CI10" s="386"/>
      <c r="CJ10" s="386"/>
      <c r="CK10" s="386"/>
      <c r="CL10" s="386"/>
      <c r="CM10" s="386"/>
      <c r="CN10" s="386"/>
      <c r="CO10" s="386"/>
      <c r="CP10" s="386"/>
      <c r="CQ10" s="386"/>
      <c r="CR10" s="386"/>
      <c r="CS10" s="386"/>
      <c r="CT10" s="386"/>
      <c r="CU10" s="386"/>
      <c r="CV10" s="386"/>
      <c r="CW10" s="386"/>
      <c r="CX10" s="386"/>
      <c r="CY10" s="386"/>
      <c r="CZ10" s="386"/>
      <c r="DA10" s="386"/>
      <c r="DB10" s="386"/>
      <c r="DC10" s="386"/>
      <c r="DD10" s="386"/>
      <c r="DE10" s="386"/>
      <c r="DF10" s="386"/>
      <c r="DG10" s="386"/>
      <c r="DH10" s="386"/>
      <c r="DI10" s="386"/>
      <c r="DJ10" s="386"/>
      <c r="DK10" s="386"/>
      <c r="DL10" s="386"/>
      <c r="DM10" s="386"/>
      <c r="DN10" s="386"/>
      <c r="DO10" s="386"/>
    </row>
    <row r="11" spans="1:119" s="888" customFormat="1" ht="30" customHeight="1">
      <c r="B11" s="4163" t="s">
        <v>1395</v>
      </c>
      <c r="C11" s="4163"/>
      <c r="D11" s="4212"/>
      <c r="E11" s="4212"/>
      <c r="F11" s="4212"/>
      <c r="G11" s="4212"/>
      <c r="S11" s="1266"/>
      <c r="T11" s="1266"/>
      <c r="U11" s="1266"/>
      <c r="V11" s="1266"/>
      <c r="W11" s="1266"/>
      <c r="X11" s="1266"/>
      <c r="Y11" s="1266"/>
      <c r="Z11" s="1266"/>
      <c r="AA11" s="1266"/>
      <c r="AB11" s="1266"/>
      <c r="AC11" s="1266"/>
      <c r="AD11" s="1266"/>
      <c r="AE11" s="386"/>
      <c r="AF11" s="386"/>
      <c r="AG11" s="386"/>
      <c r="AH11" s="386"/>
      <c r="AI11" s="386"/>
      <c r="AJ11" s="386"/>
      <c r="AK11" s="386"/>
      <c r="AL11" s="386"/>
      <c r="AM11" s="386"/>
      <c r="AN11" s="386"/>
      <c r="AO11" s="386"/>
      <c r="AP11" s="386"/>
      <c r="AQ11" s="386"/>
      <c r="AR11" s="386"/>
      <c r="AS11" s="386"/>
      <c r="AT11" s="386"/>
      <c r="AU11" s="386"/>
      <c r="AV11" s="386"/>
      <c r="AW11" s="386"/>
      <c r="AX11" s="386"/>
      <c r="AY11" s="386"/>
      <c r="AZ11" s="386"/>
      <c r="BA11" s="386"/>
      <c r="BB11" s="386"/>
      <c r="BC11" s="386"/>
      <c r="BD11" s="386"/>
      <c r="BE11" s="386"/>
      <c r="BF11" s="386"/>
      <c r="BG11" s="386"/>
      <c r="BH11" s="386"/>
      <c r="BI11" s="386"/>
      <c r="BJ11" s="386"/>
      <c r="BK11" s="386"/>
      <c r="BL11" s="386"/>
      <c r="BM11" s="386"/>
      <c r="BN11" s="386"/>
      <c r="BO11" s="386"/>
      <c r="BP11" s="386"/>
      <c r="BQ11" s="386"/>
      <c r="BR11" s="386"/>
      <c r="BS11" s="386"/>
      <c r="BT11" s="386"/>
      <c r="BU11" s="386"/>
      <c r="BV11" s="386"/>
      <c r="BW11" s="386"/>
      <c r="BX11" s="386"/>
      <c r="BY11" s="386"/>
      <c r="BZ11" s="386"/>
      <c r="CA11" s="386"/>
      <c r="CB11" s="386"/>
      <c r="CC11" s="386"/>
      <c r="CD11" s="386"/>
      <c r="CE11" s="386"/>
      <c r="CF11" s="386"/>
      <c r="CG11" s="386"/>
      <c r="CH11" s="386"/>
      <c r="CI11" s="386"/>
      <c r="CJ11" s="386"/>
      <c r="CK11" s="386"/>
      <c r="CL11" s="386"/>
      <c r="CM11" s="386"/>
      <c r="CN11" s="386"/>
      <c r="CO11" s="386"/>
      <c r="CP11" s="386"/>
      <c r="CQ11" s="386"/>
      <c r="CR11" s="386"/>
      <c r="CS11" s="386"/>
      <c r="CT11" s="386"/>
      <c r="CU11" s="386"/>
      <c r="CV11" s="386"/>
      <c r="CW11" s="386"/>
      <c r="CX11" s="386"/>
      <c r="CY11" s="386"/>
      <c r="CZ11" s="386"/>
      <c r="DA11" s="386"/>
      <c r="DB11" s="386"/>
      <c r="DC11" s="386"/>
      <c r="DD11" s="386"/>
      <c r="DE11" s="386"/>
      <c r="DF11" s="386"/>
      <c r="DG11" s="386"/>
      <c r="DH11" s="386"/>
      <c r="DI11" s="386"/>
      <c r="DJ11" s="386"/>
      <c r="DK11" s="386"/>
      <c r="DL11" s="386"/>
      <c r="DM11" s="386"/>
      <c r="DN11" s="386"/>
      <c r="DO11" s="386"/>
    </row>
    <row r="12" spans="1:119" s="1266" customFormat="1" ht="33.75" customHeight="1" thickBot="1">
      <c r="N12" s="92"/>
      <c r="O12" s="92"/>
      <c r="P12" s="92"/>
      <c r="Q12" s="92"/>
    </row>
    <row r="13" spans="1:119" s="1266" customFormat="1" ht="32.25" customHeight="1" thickBot="1">
      <c r="A13" s="1268"/>
      <c r="B13" s="833" t="s">
        <v>555</v>
      </c>
      <c r="C13" s="863"/>
      <c r="D13" s="863"/>
      <c r="E13" s="863"/>
      <c r="F13" s="863"/>
      <c r="G13" s="863"/>
      <c r="H13" s="863"/>
      <c r="I13" s="863"/>
      <c r="J13" s="863"/>
      <c r="K13" s="864"/>
      <c r="L13" s="864"/>
      <c r="M13" s="864"/>
      <c r="N13" s="864"/>
      <c r="O13" s="864"/>
      <c r="P13" s="864"/>
      <c r="Q13" s="864"/>
      <c r="R13" s="864"/>
      <c r="S13" s="864"/>
    </row>
    <row r="14" spans="1:119" ht="20.25" customHeight="1">
      <c r="A14" s="223"/>
      <c r="B14" s="4791"/>
      <c r="C14" s="4794" t="s">
        <v>751</v>
      </c>
      <c r="D14" s="4797" t="s">
        <v>72</v>
      </c>
      <c r="E14" s="4801" t="s">
        <v>36</v>
      </c>
      <c r="F14" s="4747"/>
      <c r="G14" s="4747"/>
      <c r="H14" s="4747"/>
      <c r="I14" s="4747"/>
      <c r="J14" s="4751" t="s">
        <v>37</v>
      </c>
      <c r="K14" s="4752"/>
      <c r="L14" s="4752"/>
      <c r="M14" s="4752"/>
      <c r="N14" s="4752"/>
      <c r="O14" s="4732" t="s">
        <v>75</v>
      </c>
      <c r="P14" s="4732"/>
      <c r="Q14" s="4732"/>
      <c r="R14" s="4732"/>
      <c r="S14" s="4733"/>
      <c r="AE14" s="1266"/>
      <c r="AF14" s="501"/>
      <c r="AG14" s="501"/>
      <c r="AH14" s="501"/>
      <c r="AI14" s="501"/>
      <c r="AJ14" s="501"/>
      <c r="AK14" s="501"/>
      <c r="AL14" s="501"/>
      <c r="AM14" s="501"/>
      <c r="AN14" s="501"/>
      <c r="AO14" s="501"/>
      <c r="AP14" s="501"/>
      <c r="AQ14" s="501"/>
      <c r="AR14" s="501"/>
      <c r="AS14" s="501"/>
      <c r="AT14" s="501"/>
      <c r="AU14" s="501"/>
      <c r="AV14" s="501"/>
      <c r="AW14" s="501"/>
      <c r="AX14" s="501"/>
      <c r="AY14" s="501"/>
      <c r="AZ14" s="501"/>
      <c r="BA14" s="501"/>
      <c r="BB14" s="501"/>
      <c r="BC14" s="501"/>
      <c r="BD14" s="501"/>
      <c r="BE14" s="501"/>
      <c r="BF14" s="501"/>
      <c r="BG14" s="501"/>
      <c r="BH14" s="501"/>
      <c r="BI14" s="501"/>
      <c r="BJ14" s="501"/>
      <c r="BK14" s="501"/>
      <c r="BL14" s="501"/>
      <c r="BM14" s="501"/>
      <c r="BN14" s="501"/>
      <c r="BO14" s="501"/>
      <c r="BP14" s="501"/>
      <c r="BQ14" s="501"/>
      <c r="BR14" s="501"/>
      <c r="BS14" s="501"/>
      <c r="BT14" s="501"/>
      <c r="BU14" s="501"/>
      <c r="BV14" s="501"/>
      <c r="BW14" s="501"/>
      <c r="BX14" s="501"/>
      <c r="BY14" s="501"/>
      <c r="BZ14" s="501"/>
      <c r="CA14" s="501"/>
      <c r="CB14" s="501"/>
      <c r="CC14" s="501"/>
      <c r="CD14" s="501"/>
      <c r="CE14" s="501"/>
      <c r="CF14" s="501"/>
      <c r="CG14" s="501"/>
      <c r="CH14" s="501"/>
      <c r="CI14" s="501"/>
      <c r="CJ14" s="501"/>
      <c r="CK14" s="501"/>
      <c r="CL14" s="501"/>
      <c r="CM14" s="501"/>
      <c r="CN14" s="501"/>
      <c r="CO14" s="501"/>
      <c r="CP14" s="501"/>
      <c r="CQ14" s="501"/>
      <c r="CR14" s="501"/>
      <c r="CS14" s="501"/>
      <c r="CT14" s="501"/>
      <c r="CU14" s="501"/>
      <c r="CV14" s="501"/>
      <c r="CW14" s="501"/>
      <c r="CX14" s="501"/>
      <c r="CY14" s="501"/>
      <c r="CZ14" s="501"/>
      <c r="DA14" s="501"/>
      <c r="DB14" s="501"/>
      <c r="DC14" s="501"/>
      <c r="DD14" s="501"/>
      <c r="DE14" s="501"/>
      <c r="DF14" s="501"/>
      <c r="DG14" s="501"/>
      <c r="DH14" s="501"/>
      <c r="DI14" s="501"/>
      <c r="DJ14" s="501"/>
      <c r="DK14" s="501"/>
      <c r="DL14" s="501"/>
      <c r="DM14" s="501"/>
      <c r="DN14" s="501"/>
      <c r="DO14" s="501"/>
    </row>
    <row r="15" spans="1:119">
      <c r="A15" s="223"/>
      <c r="B15" s="4792"/>
      <c r="C15" s="4795"/>
      <c r="D15" s="4798"/>
      <c r="E15" s="4735" t="s">
        <v>357</v>
      </c>
      <c r="F15" s="4735"/>
      <c r="G15" s="4735"/>
      <c r="H15" s="4735"/>
      <c r="I15" s="4735"/>
      <c r="J15" s="4735"/>
      <c r="K15" s="4735"/>
      <c r="L15" s="4735"/>
      <c r="M15" s="4735"/>
      <c r="N15" s="4735"/>
      <c r="O15" s="4735"/>
      <c r="P15" s="4735"/>
      <c r="Q15" s="4735"/>
      <c r="R15" s="4735"/>
      <c r="S15" s="4736"/>
      <c r="AE15" s="1266"/>
      <c r="AF15" s="501"/>
      <c r="AG15" s="501"/>
      <c r="AH15" s="501"/>
      <c r="AI15" s="501"/>
      <c r="AJ15" s="501"/>
      <c r="AK15" s="501"/>
      <c r="AL15" s="501"/>
      <c r="AM15" s="501"/>
      <c r="AN15" s="501"/>
      <c r="AO15" s="501"/>
      <c r="AP15" s="501"/>
      <c r="AQ15" s="501"/>
      <c r="AR15" s="501"/>
      <c r="AS15" s="501"/>
      <c r="AT15" s="501"/>
      <c r="AU15" s="501"/>
      <c r="AV15" s="501"/>
      <c r="AW15" s="501"/>
      <c r="AX15" s="501"/>
      <c r="AY15" s="501"/>
      <c r="AZ15" s="501"/>
      <c r="BA15" s="501"/>
      <c r="BB15" s="501"/>
      <c r="BC15" s="501"/>
      <c r="BD15" s="501"/>
      <c r="BE15" s="501"/>
      <c r="BF15" s="501"/>
      <c r="BG15" s="501"/>
      <c r="BH15" s="501"/>
      <c r="BI15" s="501"/>
      <c r="BJ15" s="501"/>
      <c r="BK15" s="501"/>
      <c r="BL15" s="501"/>
      <c r="BM15" s="501"/>
      <c r="BN15" s="501"/>
      <c r="BO15" s="501"/>
      <c r="BP15" s="501"/>
      <c r="BQ15" s="501"/>
      <c r="BR15" s="501"/>
      <c r="BS15" s="501"/>
      <c r="BT15" s="501"/>
      <c r="BU15" s="501"/>
      <c r="BV15" s="501"/>
      <c r="BW15" s="501"/>
      <c r="BX15" s="501"/>
      <c r="BY15" s="501"/>
      <c r="BZ15" s="501"/>
      <c r="CA15" s="501"/>
      <c r="CB15" s="501"/>
      <c r="CC15" s="501"/>
      <c r="CD15" s="501"/>
      <c r="CE15" s="501"/>
      <c r="CF15" s="501"/>
      <c r="CG15" s="501"/>
      <c r="CH15" s="501"/>
      <c r="CI15" s="501"/>
      <c r="CJ15" s="501"/>
      <c r="CK15" s="501"/>
      <c r="CL15" s="501"/>
      <c r="CM15" s="501"/>
      <c r="CN15" s="501"/>
      <c r="CO15" s="501"/>
      <c r="CP15" s="501"/>
      <c r="CQ15" s="501"/>
      <c r="CR15" s="501"/>
      <c r="CS15" s="501"/>
      <c r="CT15" s="501"/>
      <c r="CU15" s="501"/>
      <c r="CV15" s="501"/>
      <c r="CW15" s="501"/>
      <c r="CX15" s="501"/>
      <c r="CY15" s="501"/>
      <c r="CZ15" s="501"/>
      <c r="DA15" s="501"/>
      <c r="DB15" s="501"/>
      <c r="DC15" s="501"/>
      <c r="DD15" s="501"/>
      <c r="DE15" s="501"/>
      <c r="DF15" s="501"/>
      <c r="DG15" s="501"/>
      <c r="DH15" s="501"/>
      <c r="DI15" s="501"/>
      <c r="DJ15" s="501"/>
      <c r="DK15" s="501"/>
      <c r="DL15" s="501"/>
      <c r="DM15" s="501"/>
      <c r="DN15" s="501"/>
      <c r="DO15" s="501"/>
    </row>
    <row r="16" spans="1:119">
      <c r="A16" s="223"/>
      <c r="B16" s="4792"/>
      <c r="C16" s="4795"/>
      <c r="D16" s="4798"/>
      <c r="E16" s="4735" t="s">
        <v>56</v>
      </c>
      <c r="F16" s="4735"/>
      <c r="G16" s="4735"/>
      <c r="H16" s="4735"/>
      <c r="I16" s="4735"/>
      <c r="J16" s="4735"/>
      <c r="K16" s="4735"/>
      <c r="L16" s="4800"/>
      <c r="M16" s="4104" t="s">
        <v>57</v>
      </c>
      <c r="N16" s="4737"/>
      <c r="O16" s="4737"/>
      <c r="P16" s="4737"/>
      <c r="Q16" s="4737"/>
      <c r="R16" s="4737"/>
      <c r="S16" s="4738"/>
      <c r="AE16" s="1266"/>
      <c r="AF16" s="501"/>
      <c r="AG16" s="501"/>
      <c r="AH16" s="501"/>
      <c r="AI16" s="501"/>
      <c r="AJ16" s="501"/>
      <c r="AK16" s="501"/>
      <c r="AL16" s="501"/>
      <c r="AM16" s="501"/>
      <c r="AN16" s="501"/>
      <c r="AO16" s="501"/>
      <c r="AP16" s="501"/>
      <c r="AQ16" s="501"/>
      <c r="AR16" s="501"/>
      <c r="AS16" s="501"/>
      <c r="AT16" s="501"/>
      <c r="AU16" s="501"/>
      <c r="AV16" s="501"/>
      <c r="AW16" s="501"/>
      <c r="AX16" s="501"/>
      <c r="AY16" s="501"/>
      <c r="AZ16" s="501"/>
      <c r="BA16" s="501"/>
      <c r="BB16" s="501"/>
      <c r="BC16" s="501"/>
      <c r="BD16" s="501"/>
      <c r="BE16" s="501"/>
      <c r="BF16" s="501"/>
      <c r="BG16" s="501"/>
      <c r="BH16" s="501"/>
      <c r="BI16" s="501"/>
      <c r="BJ16" s="501"/>
      <c r="BK16" s="501"/>
      <c r="BL16" s="501"/>
      <c r="BM16" s="501"/>
      <c r="BN16" s="501"/>
      <c r="BO16" s="501"/>
      <c r="BP16" s="501"/>
      <c r="BQ16" s="501"/>
      <c r="BR16" s="501"/>
      <c r="BS16" s="501"/>
      <c r="BT16" s="501"/>
      <c r="BU16" s="501"/>
      <c r="BV16" s="501"/>
      <c r="BW16" s="501"/>
      <c r="BX16" s="501"/>
      <c r="BY16" s="501"/>
      <c r="BZ16" s="501"/>
      <c r="CA16" s="501"/>
      <c r="CB16" s="501"/>
      <c r="CC16" s="501"/>
      <c r="CD16" s="501"/>
      <c r="CE16" s="501"/>
      <c r="CF16" s="501"/>
      <c r="CG16" s="501"/>
      <c r="CH16" s="501"/>
      <c r="CI16" s="501"/>
      <c r="CJ16" s="501"/>
      <c r="CK16" s="501"/>
      <c r="CL16" s="501"/>
      <c r="CM16" s="501"/>
      <c r="CN16" s="501"/>
      <c r="CO16" s="501"/>
      <c r="CP16" s="501"/>
      <c r="CQ16" s="501"/>
      <c r="CR16" s="501"/>
      <c r="CS16" s="501"/>
      <c r="CT16" s="501"/>
      <c r="CU16" s="501"/>
      <c r="CV16" s="501"/>
      <c r="CW16" s="501"/>
      <c r="CX16" s="501"/>
      <c r="CY16" s="501"/>
      <c r="CZ16" s="501"/>
      <c r="DA16" s="501"/>
      <c r="DB16" s="501"/>
      <c r="DC16" s="501"/>
      <c r="DD16" s="501"/>
      <c r="DE16" s="501"/>
      <c r="DF16" s="501"/>
      <c r="DG16" s="501"/>
      <c r="DH16" s="501"/>
      <c r="DI16" s="501"/>
      <c r="DJ16" s="501"/>
      <c r="DK16" s="501"/>
      <c r="DL16" s="501"/>
      <c r="DM16" s="501"/>
      <c r="DN16" s="501"/>
      <c r="DO16" s="501"/>
    </row>
    <row r="17" spans="1:120" ht="13.5" thickBot="1">
      <c r="B17" s="4793"/>
      <c r="C17" s="4796"/>
      <c r="D17" s="4799"/>
      <c r="E17" s="1610">
        <f t="array" ref="E17:I17">PRCP</f>
        <v>2008</v>
      </c>
      <c r="F17" s="891">
        <v>2009</v>
      </c>
      <c r="G17" s="891">
        <v>2010</v>
      </c>
      <c r="H17" s="891">
        <v>2011</v>
      </c>
      <c r="I17" s="891">
        <v>2012</v>
      </c>
      <c r="J17" s="892">
        <f>CRCP_y1</f>
        <v>2013</v>
      </c>
      <c r="K17" s="892">
        <f>CRCP_y2</f>
        <v>2014</v>
      </c>
      <c r="L17" s="892">
        <f>CRCP_y3</f>
        <v>2015</v>
      </c>
      <c r="M17" s="892">
        <f>CRCP_y4</f>
        <v>2016</v>
      </c>
      <c r="N17" s="892">
        <f>CRCP_y5</f>
        <v>2017</v>
      </c>
      <c r="O17" s="891" t="str">
        <f t="array" ref="O17:S17">FRCP</f>
        <v>2018</v>
      </c>
      <c r="P17" s="891">
        <v>2019</v>
      </c>
      <c r="Q17" s="891">
        <v>2020</v>
      </c>
      <c r="R17" s="891">
        <v>2021</v>
      </c>
      <c r="S17" s="893">
        <v>2022</v>
      </c>
      <c r="AE17" s="1266"/>
      <c r="AF17" s="501"/>
      <c r="AG17" s="501"/>
      <c r="AH17" s="501"/>
      <c r="AI17" s="501"/>
      <c r="AJ17" s="501"/>
      <c r="AK17" s="501"/>
      <c r="AL17" s="501"/>
      <c r="AM17" s="501"/>
      <c r="AN17" s="501"/>
      <c r="AO17" s="501"/>
      <c r="AP17" s="501"/>
      <c r="AQ17" s="501"/>
      <c r="AR17" s="501"/>
      <c r="AS17" s="501"/>
      <c r="AT17" s="501"/>
      <c r="AU17" s="501"/>
      <c r="AV17" s="501"/>
      <c r="AW17" s="501"/>
      <c r="AX17" s="501"/>
      <c r="AY17" s="501"/>
      <c r="AZ17" s="501"/>
      <c r="BA17" s="501"/>
      <c r="BB17" s="501"/>
      <c r="BC17" s="501"/>
      <c r="BD17" s="501"/>
      <c r="BE17" s="501"/>
      <c r="BF17" s="501"/>
      <c r="BG17" s="501"/>
      <c r="BH17" s="501"/>
      <c r="BI17" s="501"/>
      <c r="BJ17" s="501"/>
      <c r="BK17" s="501"/>
      <c r="BL17" s="501"/>
      <c r="BM17" s="501"/>
      <c r="BN17" s="501"/>
      <c r="BO17" s="501"/>
      <c r="BP17" s="501"/>
      <c r="BQ17" s="501"/>
      <c r="BR17" s="501"/>
      <c r="BS17" s="501"/>
      <c r="BT17" s="501"/>
      <c r="BU17" s="501"/>
      <c r="BV17" s="501"/>
      <c r="BW17" s="501"/>
      <c r="BX17" s="501"/>
      <c r="BY17" s="501"/>
      <c r="BZ17" s="501"/>
      <c r="CA17" s="501"/>
      <c r="CB17" s="501"/>
      <c r="CC17" s="501"/>
      <c r="CD17" s="501"/>
      <c r="CE17" s="501"/>
      <c r="CF17" s="501"/>
      <c r="CG17" s="501"/>
      <c r="CH17" s="501"/>
      <c r="CI17" s="501"/>
      <c r="CJ17" s="501"/>
      <c r="CK17" s="501"/>
      <c r="CL17" s="501"/>
      <c r="CM17" s="501"/>
      <c r="CN17" s="501"/>
      <c r="CO17" s="501"/>
      <c r="CP17" s="501"/>
      <c r="CQ17" s="501"/>
      <c r="CR17" s="501"/>
      <c r="CS17" s="501"/>
      <c r="CT17" s="501"/>
      <c r="CU17" s="501"/>
      <c r="CV17" s="501"/>
      <c r="CW17" s="501"/>
      <c r="CX17" s="501"/>
      <c r="CY17" s="501"/>
      <c r="CZ17" s="501"/>
      <c r="DA17" s="501"/>
      <c r="DB17" s="501"/>
      <c r="DC17" s="501"/>
      <c r="DD17" s="501"/>
      <c r="DE17" s="501"/>
      <c r="DF17" s="501"/>
      <c r="DG17" s="501"/>
      <c r="DH17" s="501"/>
      <c r="DI17" s="501"/>
      <c r="DJ17" s="501"/>
      <c r="DK17" s="501"/>
      <c r="DL17" s="501"/>
      <c r="DM17" s="501"/>
      <c r="DN17" s="501"/>
      <c r="DO17" s="501"/>
    </row>
    <row r="18" spans="1:120" s="1266" customFormat="1" ht="25.5" customHeight="1" thickBot="1">
      <c r="A18" s="1268"/>
      <c r="B18" s="771" t="s">
        <v>715</v>
      </c>
      <c r="C18" s="3478"/>
      <c r="D18" s="3478"/>
      <c r="E18" s="772"/>
      <c r="F18" s="772"/>
      <c r="G18" s="772"/>
      <c r="H18" s="772"/>
      <c r="I18" s="772"/>
      <c r="J18" s="772"/>
      <c r="K18" s="772"/>
      <c r="L18" s="772"/>
      <c r="M18" s="772"/>
      <c r="N18" s="772"/>
      <c r="O18" s="772"/>
      <c r="P18" s="772"/>
      <c r="Q18" s="772"/>
      <c r="R18" s="772"/>
      <c r="S18" s="773"/>
    </row>
    <row r="19" spans="1:120" s="1266" customFormat="1" ht="25.5" customHeight="1" thickBot="1">
      <c r="A19" s="1268"/>
      <c r="B19" s="2265" t="s">
        <v>1669</v>
      </c>
      <c r="C19" s="2271"/>
      <c r="D19" s="2271"/>
      <c r="E19" s="814"/>
      <c r="F19" s="814"/>
      <c r="G19" s="814"/>
      <c r="H19" s="814"/>
      <c r="I19" s="814"/>
      <c r="J19" s="814"/>
      <c r="K19" s="814"/>
      <c r="L19" s="814"/>
      <c r="M19" s="814"/>
      <c r="N19" s="814"/>
      <c r="O19" s="814"/>
      <c r="P19" s="814"/>
      <c r="Q19" s="814"/>
      <c r="R19" s="814"/>
      <c r="S19" s="815"/>
    </row>
    <row r="20" spans="1:120" s="1266" customFormat="1" ht="25.5" customHeight="1" thickBot="1">
      <c r="A20" s="1268"/>
      <c r="B20" s="2269" t="s">
        <v>1636</v>
      </c>
      <c r="C20" s="2271"/>
      <c r="D20" s="2271"/>
      <c r="E20" s="814"/>
      <c r="F20" s="814"/>
      <c r="G20" s="814"/>
      <c r="H20" s="814"/>
      <c r="I20" s="814"/>
      <c r="J20" s="814"/>
      <c r="K20" s="814"/>
      <c r="L20" s="814"/>
      <c r="M20" s="814"/>
      <c r="N20" s="814"/>
      <c r="O20" s="814"/>
      <c r="P20" s="814"/>
      <c r="Q20" s="814"/>
      <c r="R20" s="814"/>
      <c r="S20" s="815"/>
    </row>
    <row r="21" spans="1:120" s="1266" customFormat="1" ht="20.25" customHeight="1" thickBot="1">
      <c r="A21" s="1268"/>
      <c r="B21" s="1387" t="s">
        <v>750</v>
      </c>
      <c r="C21" s="1431"/>
      <c r="D21" s="1431"/>
      <c r="E21" s="1678"/>
      <c r="F21" s="1678"/>
      <c r="G21" s="1678"/>
      <c r="H21" s="1678"/>
      <c r="I21" s="1678"/>
      <c r="J21" s="1678"/>
      <c r="K21" s="1678"/>
      <c r="L21" s="1678"/>
      <c r="M21" s="1678"/>
      <c r="N21" s="1678"/>
      <c r="O21" s="1678"/>
      <c r="P21" s="1678"/>
      <c r="Q21" s="1678"/>
      <c r="R21" s="1678"/>
      <c r="S21" s="1685"/>
    </row>
    <row r="22" spans="1:120">
      <c r="B22" s="4784" t="s">
        <v>1670</v>
      </c>
      <c r="C22" s="4787" t="s">
        <v>48</v>
      </c>
      <c r="D22" s="4790"/>
      <c r="E22" s="1650">
        <f>'[18]27.2 Customer numbers Metro'!D28</f>
        <v>634319</v>
      </c>
      <c r="F22" s="1651">
        <f>'[18]27.2 Customer numbers Metro'!E28</f>
        <v>639106.5</v>
      </c>
      <c r="G22" s="1651">
        <f>'[18]27.2 Customer numbers Metro'!F28</f>
        <v>643571.5</v>
      </c>
      <c r="H22" s="1651">
        <f>'[18]27.2 Customer numbers Metro'!G28</f>
        <v>647563</v>
      </c>
      <c r="I22" s="1683">
        <f>'[18]27.2 Customer numbers Metro'!H28</f>
        <v>652028.5</v>
      </c>
      <c r="J22" s="1650">
        <f>'[18]27.2 Customer numbers Metro'!I28</f>
        <v>656808.5</v>
      </c>
      <c r="K22" s="1651">
        <f>'[18]27.2 Customer numbers Metro'!J28</f>
        <v>661330.5</v>
      </c>
      <c r="L22" s="1651">
        <f>'[18]27.2 Customer numbers Metro'!K28</f>
        <v>665090.5</v>
      </c>
      <c r="M22" s="1651">
        <f>'[18]27.2 Customer numbers Metro'!L28</f>
        <v>667993.5</v>
      </c>
      <c r="N22" s="1683">
        <f>'[18]27.2 Customer numbers Metro'!M28</f>
        <v>670777.47734859027</v>
      </c>
      <c r="O22" s="1650">
        <f>'[18]27.2 Customer numbers Metro'!N28</f>
        <v>673880.91666961811</v>
      </c>
      <c r="P22" s="1651">
        <f>'[18]27.2 Customer numbers Metro'!O28</f>
        <v>677150.18410386657</v>
      </c>
      <c r="Q22" s="1651">
        <f>'[18]27.2 Customer numbers Metro'!P28</f>
        <v>680471.17994361196</v>
      </c>
      <c r="R22" s="1651">
        <f>'[18]27.2 Customer numbers Metro'!Q28</f>
        <v>683775.50793432933</v>
      </c>
      <c r="S22" s="1652">
        <f>'[18]27.2 Customer numbers Metro'!R28</f>
        <v>686981.31189284101</v>
      </c>
      <c r="AE22" s="1266"/>
      <c r="DP22" s="223"/>
    </row>
    <row r="23" spans="1:120">
      <c r="B23" s="4785"/>
      <c r="C23" s="890" t="s">
        <v>1638</v>
      </c>
      <c r="D23" s="851" t="s">
        <v>1638</v>
      </c>
      <c r="E23" s="3479">
        <f>'[22]21 - Consumption and demand Met'!E37/1000</f>
        <v>3527.9589999999998</v>
      </c>
      <c r="F23" s="3480">
        <f>'[22]21 - Consumption and demand Met'!F37/1000</f>
        <v>3550.5329999999999</v>
      </c>
      <c r="G23" s="3480">
        <f>'[22]21 - Consumption and demand Met'!G37/1000</f>
        <v>3571.0889999999999</v>
      </c>
      <c r="H23" s="3480">
        <f>[23]Sheet1!AL162</f>
        <v>3565.3740900000003</v>
      </c>
      <c r="I23" s="3481">
        <f>[23]Sheet1!AM162</f>
        <v>3587.3750300000002</v>
      </c>
      <c r="J23" s="3479">
        <f>[23]Sheet1!AN162</f>
        <v>3602.1277022596637</v>
      </c>
      <c r="K23" s="3480">
        <f>[23]Sheet1!AO162</f>
        <v>3607.51139764345</v>
      </c>
      <c r="L23" s="3480">
        <f>[23]Sheet1!AP162</f>
        <v>3629.4527799419793</v>
      </c>
      <c r="M23" s="3480">
        <f>[23]Sheet1!AQ162</f>
        <v>3544.8874695509435</v>
      </c>
      <c r="N23" s="3481">
        <f>[23]Sheet1!AR162</f>
        <v>3533.8571089612678</v>
      </c>
      <c r="O23" s="3479">
        <f>'[13]PTRM input'!M314/1000</f>
        <v>3496.0385709682787</v>
      </c>
      <c r="P23" s="3480">
        <f>'[13]PTRM input'!N314/1000</f>
        <v>3446.446924434254</v>
      </c>
      <c r="Q23" s="3480">
        <f>'[13]PTRM input'!O314/1000</f>
        <v>3399.8423109444343</v>
      </c>
      <c r="R23" s="3480">
        <f>'[13]PTRM input'!P314/1000</f>
        <v>3345.8469165954475</v>
      </c>
      <c r="S23" s="3482">
        <f>'[13]PTRM input'!Q314/1000</f>
        <v>3295.9922279378447</v>
      </c>
      <c r="AE23" s="1266"/>
      <c r="DP23" s="223"/>
    </row>
    <row r="24" spans="1:120">
      <c r="B24" s="4785"/>
      <c r="C24" s="890" t="s">
        <v>1639</v>
      </c>
      <c r="D24" s="851" t="s">
        <v>1639</v>
      </c>
      <c r="E24" s="3479">
        <f>'[22]21 - Consumption and demand Met'!E38/1000</f>
        <v>3137.7510000000002</v>
      </c>
      <c r="F24" s="3480">
        <f>'[22]21 - Consumption and demand Met'!F38/1000</f>
        <v>3142.5239999999999</v>
      </c>
      <c r="G24" s="3480">
        <f>'[22]21 - Consumption and demand Met'!G38/1000</f>
        <v>3177.018</v>
      </c>
      <c r="H24" s="3480">
        <f>[23]Sheet1!AL163</f>
        <v>3106.8744999999999</v>
      </c>
      <c r="I24" s="3481">
        <f>[23]Sheet1!AM163</f>
        <v>3143.93325</v>
      </c>
      <c r="J24" s="3479">
        <f>[23]Sheet1!AN163</f>
        <v>3100.0269179237034</v>
      </c>
      <c r="K24" s="3480">
        <f>[23]Sheet1!AO163</f>
        <v>3083.2476066313911</v>
      </c>
      <c r="L24" s="3480">
        <f>[23]Sheet1!AP163</f>
        <v>3126.178011531611</v>
      </c>
      <c r="M24" s="3480">
        <f>[23]Sheet1!AQ163</f>
        <v>3094.9006609932426</v>
      </c>
      <c r="N24" s="3481">
        <f>[23]Sheet1!AR163</f>
        <v>3085.2704906216272</v>
      </c>
      <c r="O24" s="3479">
        <f>'[13]PTRM input'!M315/1000</f>
        <v>3052.4672620682572</v>
      </c>
      <c r="P24" s="3480">
        <f>'[13]PTRM input'!N315/1000</f>
        <v>3009.385399363995</v>
      </c>
      <c r="Q24" s="3480">
        <f>'[13]PTRM input'!O315/1000</f>
        <v>2968.9113967462163</v>
      </c>
      <c r="R24" s="3480">
        <f>'[13]PTRM input'!P315/1000</f>
        <v>2921.9847964754049</v>
      </c>
      <c r="S24" s="3482">
        <f>'[13]PTRM input'!Q315/1000</f>
        <v>2878.6732821251812</v>
      </c>
      <c r="AE24" s="1266"/>
      <c r="DP24" s="223"/>
    </row>
    <row r="25" spans="1:120">
      <c r="B25" s="4785"/>
      <c r="C25" s="890" t="s">
        <v>1640</v>
      </c>
      <c r="D25" s="851" t="s">
        <v>1640</v>
      </c>
      <c r="E25" s="3479">
        <f>'[22]21 - Consumption and demand Met'!E39/1000</f>
        <v>2782.3090000000002</v>
      </c>
      <c r="F25" s="3480">
        <f>'[22]21 - Consumption and demand Met'!F39/1000</f>
        <v>2777.846</v>
      </c>
      <c r="G25" s="3480">
        <f>'[22]21 - Consumption and demand Met'!G39/1000</f>
        <v>2849.8159999999998</v>
      </c>
      <c r="H25" s="3480">
        <f>[23]Sheet1!AL164</f>
        <v>2709.4409999999998</v>
      </c>
      <c r="I25" s="3481">
        <f>[23]Sheet1!AM164</f>
        <v>2782.1327199999996</v>
      </c>
      <c r="J25" s="3479">
        <f>[23]Sheet1!AN164</f>
        <v>2682.6667218043044</v>
      </c>
      <c r="K25" s="3480">
        <f>[23]Sheet1!AO164</f>
        <v>2659.5235225186038</v>
      </c>
      <c r="L25" s="3480">
        <f>[23]Sheet1!AP164</f>
        <v>2745.0119731237364</v>
      </c>
      <c r="M25" s="3480">
        <f>[23]Sheet1!AQ164</f>
        <v>2718.7026279898973</v>
      </c>
      <c r="N25" s="3481">
        <f>[23]Sheet1!AR164</f>
        <v>2710.243044835167</v>
      </c>
      <c r="O25" s="3479">
        <f>'[13]PTRM input'!M316/1000</f>
        <v>2681.6327159628677</v>
      </c>
      <c r="P25" s="3480">
        <f>'[13]PTRM input'!N316/1000</f>
        <v>2643.9931636229544</v>
      </c>
      <c r="Q25" s="3480">
        <f>'[13]PTRM input'!O316/1000</f>
        <v>2608.6444751417466</v>
      </c>
      <c r="R25" s="3480">
        <f>'[13]PTRM input'!P316/1000</f>
        <v>2567.6275290593289</v>
      </c>
      <c r="S25" s="3482">
        <f>'[13]PTRM input'!Q316/1000</f>
        <v>2529.7862401851003</v>
      </c>
      <c r="AE25" s="1266"/>
      <c r="DP25" s="223"/>
    </row>
    <row r="26" spans="1:120">
      <c r="B26" s="4785"/>
      <c r="C26" s="890" t="s">
        <v>1641</v>
      </c>
      <c r="D26" s="851" t="s">
        <v>1641</v>
      </c>
      <c r="E26" s="3479">
        <f>'[22]21 - Consumption and demand Met'!E40/1000</f>
        <v>4523.0950000000003</v>
      </c>
      <c r="F26" s="3480">
        <f>'[22]21 - Consumption and demand Met'!F40/1000</f>
        <v>4455.6440000000002</v>
      </c>
      <c r="G26" s="3480">
        <f>'[22]21 - Consumption and demand Met'!G40/1000</f>
        <v>4733.5259999999998</v>
      </c>
      <c r="H26" s="3480">
        <f>[23]Sheet1!AL165</f>
        <v>4291.7220199999992</v>
      </c>
      <c r="I26" s="3481">
        <f>[23]Sheet1!AM165</f>
        <v>4534.6458900000007</v>
      </c>
      <c r="J26" s="3479">
        <f>[23]Sheet1!AN165</f>
        <v>4199.3949094575064</v>
      </c>
      <c r="K26" s="3480">
        <f>[23]Sheet1!AO165</f>
        <v>4165.8625234580013</v>
      </c>
      <c r="L26" s="3480">
        <f>[23]Sheet1!AP165</f>
        <v>4482.2484869757527</v>
      </c>
      <c r="M26" s="3480">
        <f>[23]Sheet1!AQ165</f>
        <v>4370.8220105743621</v>
      </c>
      <c r="N26" s="3481">
        <f>[23]Sheet1!AR165</f>
        <v>4357.2216513911599</v>
      </c>
      <c r="O26" s="3479">
        <f>'[13]PTRM input'!M317/1000</f>
        <v>4309.8527603846915</v>
      </c>
      <c r="P26" s="3480">
        <f>'[13]PTRM input'!N317/1000</f>
        <v>4247.9677070497901</v>
      </c>
      <c r="Q26" s="3480">
        <f>'[13]PTRM input'!O317/1000</f>
        <v>4189.7656450335307</v>
      </c>
      <c r="R26" s="3480">
        <f>'[13]PTRM input'!P317/1000</f>
        <v>4122.450800754913</v>
      </c>
      <c r="S26" s="3482">
        <f>'[13]PTRM input'!Q317/1000</f>
        <v>4060.241418280279</v>
      </c>
      <c r="AE26" s="1266"/>
      <c r="DP26" s="223"/>
    </row>
    <row r="27" spans="1:120">
      <c r="B27" s="4785"/>
      <c r="C27" s="890" t="s">
        <v>1642</v>
      </c>
      <c r="D27" s="851" t="s">
        <v>1642</v>
      </c>
      <c r="E27" s="3479">
        <f>'[22]21 - Consumption and demand Met'!E41/1000</f>
        <v>8727.4249999999993</v>
      </c>
      <c r="F27" s="3480">
        <f>'[22]21 - Consumption and demand Met'!F41/1000</f>
        <v>7703.4409999999998</v>
      </c>
      <c r="G27" s="3480">
        <f>'[22]21 - Consumption and demand Met'!G41/1000</f>
        <v>9648.1170000000002</v>
      </c>
      <c r="H27" s="3480">
        <f>[23]Sheet1!AL166</f>
        <v>7601.9580500000002</v>
      </c>
      <c r="I27" s="3481">
        <f>[23]Sheet1!AM166</f>
        <v>8837.2047199999979</v>
      </c>
      <c r="J27" s="3479">
        <f>[23]Sheet1!AN166</f>
        <v>7275.0452159542492</v>
      </c>
      <c r="K27" s="3480">
        <f>[23]Sheet1!AO166</f>
        <v>7248.0735459109492</v>
      </c>
      <c r="L27" s="3480">
        <f>[23]Sheet1!AP166</f>
        <v>9131.4274917660914</v>
      </c>
      <c r="M27" s="3480">
        <f>[23]Sheet1!AQ166</f>
        <v>8145.3163660677419</v>
      </c>
      <c r="N27" s="3481">
        <f>[23]Sheet1!AR166</f>
        <v>8119.9711957607997</v>
      </c>
      <c r="O27" s="3479">
        <f>'[13]PTRM input'!M318/1000</f>
        <v>8075.6046466282733</v>
      </c>
      <c r="P27" s="3480">
        <f>'[13]PTRM input'!N318/1000</f>
        <v>8004.1862673593951</v>
      </c>
      <c r="Q27" s="3480">
        <f>'[13]PTRM input'!O318/1000</f>
        <v>7939.631386396155</v>
      </c>
      <c r="R27" s="3480">
        <f>'[13]PTRM input'!P318/1000</f>
        <v>7858.0942320018721</v>
      </c>
      <c r="S27" s="3482">
        <f>'[13]PTRM input'!Q318/1000</f>
        <v>7786.0714438956011</v>
      </c>
      <c r="AE27" s="1266"/>
      <c r="DP27" s="223"/>
    </row>
    <row r="28" spans="1:120">
      <c r="B28" s="4785"/>
      <c r="C28" s="890" t="s">
        <v>1643</v>
      </c>
      <c r="D28" s="851" t="s">
        <v>1643</v>
      </c>
      <c r="E28" s="3479">
        <f>'[22]21 - Consumption and demand Met'!E51/1000</f>
        <v>1748.442</v>
      </c>
      <c r="F28" s="3480">
        <f>'[22]21 - Consumption and demand Met'!F51/1000</f>
        <v>1764.0550000000001</v>
      </c>
      <c r="G28" s="3480">
        <f>'[22]21 - Consumption and demand Met'!G51/1000</f>
        <v>1769.2070000000001</v>
      </c>
      <c r="H28" s="3480">
        <f>[23]Sheet1!AL174</f>
        <v>1770.3694900000003</v>
      </c>
      <c r="I28" s="3481">
        <f>[23]Sheet1!AM174</f>
        <v>1781.85403</v>
      </c>
      <c r="J28" s="3479">
        <f>[23]Sheet1!AN174</f>
        <v>1785.759482035294</v>
      </c>
      <c r="K28" s="3480">
        <f>[23]Sheet1!AO174</f>
        <v>1771.835078852137</v>
      </c>
      <c r="L28" s="3480">
        <f>[23]Sheet1!AP174</f>
        <v>1777.0604109246974</v>
      </c>
      <c r="M28" s="3480">
        <f>[23]Sheet1!AQ174</f>
        <v>1698.2357978625193</v>
      </c>
      <c r="N28" s="3481">
        <f>[23]Sheet1!AR174</f>
        <v>1694.940027960103</v>
      </c>
      <c r="O28" s="3479">
        <f>'[13]PTRM input'!S314/1000</f>
        <v>1678.8873805360413</v>
      </c>
      <c r="P28" s="3480">
        <f>'[13]PTRM input'!T314/1000</f>
        <v>1657.1641682873428</v>
      </c>
      <c r="Q28" s="3480">
        <f>'[13]PTRM input'!U314/1000</f>
        <v>1636.8188050783715</v>
      </c>
      <c r="R28" s="3480">
        <f>'[13]PTRM input'!V314/1000</f>
        <v>1612.8786424198806</v>
      </c>
      <c r="S28" s="3482">
        <f>'[13]PTRM input'!W314/1000</f>
        <v>1590.8633185538249</v>
      </c>
      <c r="AE28" s="1266"/>
      <c r="DP28" s="223"/>
    </row>
    <row r="29" spans="1:120">
      <c r="B29" s="4785"/>
      <c r="C29" s="890" t="s">
        <v>1644</v>
      </c>
      <c r="D29" s="851" t="s">
        <v>1644</v>
      </c>
      <c r="E29" s="3479">
        <f>'[22]21 - Consumption and demand Met'!E52/1000</f>
        <v>1405.2360000000001</v>
      </c>
      <c r="F29" s="3480">
        <f>'[22]21 - Consumption and demand Met'!F52/1000</f>
        <v>1428.8320000000001</v>
      </c>
      <c r="G29" s="3480">
        <f>'[22]21 - Consumption and demand Met'!G52/1000</f>
        <v>1422.415</v>
      </c>
      <c r="H29" s="3480">
        <f>[23]Sheet1!AL175</f>
        <v>1401.68623</v>
      </c>
      <c r="I29" s="3481">
        <f>[23]Sheet1!AM175</f>
        <v>1425.8083900000001</v>
      </c>
      <c r="J29" s="3479">
        <f>[23]Sheet1!AN175</f>
        <v>1415.1001993687419</v>
      </c>
      <c r="K29" s="3480">
        <f>[23]Sheet1!AO175</f>
        <v>1315.5162551174908</v>
      </c>
      <c r="L29" s="3480">
        <f>[23]Sheet1!AP175</f>
        <v>1330.7818480395417</v>
      </c>
      <c r="M29" s="3480">
        <f>[23]Sheet1!AQ175</f>
        <v>1333.6946411742463</v>
      </c>
      <c r="N29" s="3481">
        <f>[23]Sheet1!AR175</f>
        <v>1331.1063370865993</v>
      </c>
      <c r="O29" s="3479">
        <f>'[13]PTRM input'!S315/1000</f>
        <v>1318.6839846581572</v>
      </c>
      <c r="P29" s="3480">
        <f>'[13]PTRM input'!T315/1000</f>
        <v>1301.8083037057445</v>
      </c>
      <c r="Q29" s="3480">
        <f>'[13]PTRM input'!U315/1000</f>
        <v>1286.014704454203</v>
      </c>
      <c r="R29" s="3480">
        <f>'[13]PTRM input'!V315/1000</f>
        <v>1267.397960873732</v>
      </c>
      <c r="S29" s="3482">
        <f>'[13]PTRM input'!W315/1000</f>
        <v>1250.2928726156999</v>
      </c>
      <c r="AE29" s="1266"/>
      <c r="DP29" s="223"/>
    </row>
    <row r="30" spans="1:120">
      <c r="B30" s="4785"/>
      <c r="C30" s="890" t="s">
        <v>1645</v>
      </c>
      <c r="D30" s="851" t="s">
        <v>1645</v>
      </c>
      <c r="E30" s="3479">
        <f>'[22]21 - Consumption and demand Met'!E53/1000</f>
        <v>1075.0889999999999</v>
      </c>
      <c r="F30" s="3480">
        <f>'[22]21 - Consumption and demand Met'!F53/1000</f>
        <v>1116.95</v>
      </c>
      <c r="G30" s="3480">
        <f>'[22]21 - Consumption and demand Met'!G53/1000</f>
        <v>1098.626</v>
      </c>
      <c r="H30" s="3480">
        <f>[23]Sheet1!AL176</f>
        <v>1070.51865</v>
      </c>
      <c r="I30" s="3481">
        <f>[23]Sheet1!AM176</f>
        <v>1106.24981</v>
      </c>
      <c r="J30" s="3479">
        <f>[23]Sheet1!AN176</f>
        <v>1085.307482233165</v>
      </c>
      <c r="K30" s="3480">
        <f>[23]Sheet1!AO176</f>
        <v>931.25292890863602</v>
      </c>
      <c r="L30" s="3480">
        <f>[23]Sheet1!AP176</f>
        <v>992.150628265416</v>
      </c>
      <c r="M30" s="3480">
        <f>[23]Sheet1!AQ176</f>
        <v>1012.5065158269255</v>
      </c>
      <c r="N30" s="3481">
        <f>[23]Sheet1!AR176</f>
        <v>1010.5415422319376</v>
      </c>
      <c r="O30" s="3479">
        <f>'[13]PTRM input'!S316/1000</f>
        <v>1000.8776103028111</v>
      </c>
      <c r="P30" s="3480">
        <f>'[13]PTRM input'!T316/1000</f>
        <v>987.83282640919913</v>
      </c>
      <c r="Q30" s="3480">
        <f>'[13]PTRM input'!U316/1000</f>
        <v>975.60953098750917</v>
      </c>
      <c r="R30" s="3480">
        <f>'[13]PTRM input'!V316/1000</f>
        <v>961.24297732670368</v>
      </c>
      <c r="S30" s="3482">
        <f>'[13]PTRM input'!W316/1000</f>
        <v>948.02403333336031</v>
      </c>
      <c r="AE30" s="1266"/>
      <c r="DP30" s="223"/>
    </row>
    <row r="31" spans="1:120">
      <c r="B31" s="4785"/>
      <c r="C31" s="890" t="s">
        <v>1646</v>
      </c>
      <c r="D31" s="851" t="s">
        <v>1646</v>
      </c>
      <c r="E31" s="3479">
        <f>'[22]21 - Consumption and demand Met'!E54/1000</f>
        <v>1404.434</v>
      </c>
      <c r="F31" s="3480">
        <f>'[22]21 - Consumption and demand Met'!F54/1000</f>
        <v>1499.2070000000001</v>
      </c>
      <c r="G31" s="3480">
        <f>'[22]21 - Consumption and demand Met'!G54/1000</f>
        <v>1448.4839999999999</v>
      </c>
      <c r="H31" s="3480">
        <f>[23]Sheet1!AL177</f>
        <v>1417.33978</v>
      </c>
      <c r="I31" s="3481">
        <f>[23]Sheet1!AM177</f>
        <v>1478.3188300000002</v>
      </c>
      <c r="J31" s="3479">
        <f>[23]Sheet1!AN177</f>
        <v>1395.5399790693161</v>
      </c>
      <c r="K31" s="3480">
        <f>[23]Sheet1!AO177</f>
        <v>1097.1326074629221</v>
      </c>
      <c r="L31" s="3480">
        <f>[23]Sheet1!AP177</f>
        <v>1326.9794546195862</v>
      </c>
      <c r="M31" s="3480">
        <f>[23]Sheet1!AQ177</f>
        <v>1319.2063101470949</v>
      </c>
      <c r="N31" s="3481">
        <f>[23]Sheet1!AR177</f>
        <v>1316.6461235949487</v>
      </c>
      <c r="O31" s="3479">
        <f>'[13]PTRM input'!S317/1000</f>
        <v>1318.9681697661663</v>
      </c>
      <c r="P31" s="3480">
        <f>'[13]PTRM input'!T317/1000</f>
        <v>1316.885265277308</v>
      </c>
      <c r="Q31" s="3480">
        <f>'[13]PTRM input'!U317/1000</f>
        <v>1315.872687506286</v>
      </c>
      <c r="R31" s="3480">
        <f>'[13]PTRM input'!V317/1000</f>
        <v>1312.0676340828909</v>
      </c>
      <c r="S31" s="3482">
        <f>'[13]PTRM input'!W317/1000</f>
        <v>1309.7578144098338</v>
      </c>
      <c r="AE31" s="1266"/>
      <c r="DP31" s="223"/>
    </row>
    <row r="32" spans="1:120">
      <c r="B32" s="4785"/>
      <c r="C32" s="890" t="s">
        <v>1647</v>
      </c>
      <c r="D32" s="851" t="s">
        <v>1647</v>
      </c>
      <c r="E32" s="3479">
        <f>'[22]21 - Consumption and demand Met'!E55/1000</f>
        <v>1764.9960000000001</v>
      </c>
      <c r="F32" s="3480">
        <f>'[22]21 - Consumption and demand Met'!F55/1000</f>
        <v>1941.9169999999999</v>
      </c>
      <c r="G32" s="3480">
        <f>'[22]21 - Consumption and demand Met'!G55/1000</f>
        <v>1901.653</v>
      </c>
      <c r="H32" s="3480">
        <f>[23]Sheet1!AL178</f>
        <v>1932.4648199999999</v>
      </c>
      <c r="I32" s="3481">
        <f>[23]Sheet1!AM178</f>
        <v>2024.8940699999998</v>
      </c>
      <c r="J32" s="3479">
        <f>[23]Sheet1!AN178</f>
        <v>1757.5360453799408</v>
      </c>
      <c r="K32" s="3480">
        <f>[23]Sheet1!AO178</f>
        <v>1237.099107910899</v>
      </c>
      <c r="L32" s="3480">
        <f>[23]Sheet1!AP178</f>
        <v>1903.8201509772614</v>
      </c>
      <c r="M32" s="3480">
        <f>[23]Sheet1!AQ178</f>
        <v>1718.187489579708</v>
      </c>
      <c r="N32" s="3481">
        <f>[23]Sheet1!AR178</f>
        <v>1714.8529993858299</v>
      </c>
      <c r="O32" s="3479">
        <f>'[13]PTRM input'!S318/1000</f>
        <v>1697.7423732452223</v>
      </c>
      <c r="P32" s="3480">
        <f>'[13]PTRM input'!T318/1000</f>
        <v>1674.894561754498</v>
      </c>
      <c r="Q32" s="3480">
        <f>'[13]PTRM input'!U318/1000</f>
        <v>1653.4407869373426</v>
      </c>
      <c r="R32" s="3480">
        <f>'[13]PTRM input'!V318/1000</f>
        <v>1628.3499792361283</v>
      </c>
      <c r="S32" s="3482">
        <f>'[13]PTRM input'!W318/1000</f>
        <v>1605.2066242601375</v>
      </c>
      <c r="AE32" s="1266"/>
      <c r="DP32" s="223"/>
    </row>
    <row r="33" spans="2:120">
      <c r="B33" s="4785"/>
      <c r="C33" s="890" t="s">
        <v>1648</v>
      </c>
      <c r="D33" s="851" t="s">
        <v>1648</v>
      </c>
      <c r="E33" s="3479">
        <f>'[22]21 - Consumption and demand Met'!E44/1000</f>
        <v>4590.875</v>
      </c>
      <c r="F33" s="3480">
        <f>'[22]21 - Consumption and demand Met'!F44/1000</f>
        <v>4505.9049999999997</v>
      </c>
      <c r="G33" s="3480">
        <f>'[22]21 - Consumption and demand Met'!G44/1000</f>
        <v>4473.2700000000004</v>
      </c>
      <c r="H33" s="3480">
        <f>[23]Sheet1!AL168</f>
        <v>4613.4381700000004</v>
      </c>
      <c r="I33" s="3481">
        <f>[23]Sheet1!AM168</f>
        <v>4588.7679800000005</v>
      </c>
      <c r="J33" s="3479">
        <f>[23]Sheet1!AN168</f>
        <v>4562.0989216117614</v>
      </c>
      <c r="K33" s="3480">
        <f>[23]Sheet1!AO168</f>
        <v>4492.8964427648471</v>
      </c>
      <c r="L33" s="3480">
        <f>[23]Sheet1!AP168</f>
        <v>4565.3487393236464</v>
      </c>
      <c r="M33" s="3480">
        <f>[23]Sheet1!AQ168</f>
        <v>4084.0949339950735</v>
      </c>
      <c r="N33" s="3481">
        <f>[23]Sheet1!AR168</f>
        <v>4091.2828414294991</v>
      </c>
      <c r="O33" s="3479">
        <f>'[13]PTRM input'!Y314/1000</f>
        <v>4068.4032861992919</v>
      </c>
      <c r="P33" s="3480">
        <f>'[13]PTRM input'!Z314/1000</f>
        <v>4031.6751475406418</v>
      </c>
      <c r="Q33" s="3480">
        <f>'[13]PTRM input'!AA314/1000</f>
        <v>3997.9313624610386</v>
      </c>
      <c r="R33" s="3480">
        <f>'[13]PTRM input'!AB314/1000</f>
        <v>3955.1646872576271</v>
      </c>
      <c r="S33" s="3482">
        <f>'[13]PTRM input'!AC314/1000</f>
        <v>3916.6612961718783</v>
      </c>
      <c r="AE33" s="1266"/>
      <c r="DP33" s="223"/>
    </row>
    <row r="34" spans="2:120">
      <c r="B34" s="4785"/>
      <c r="C34" s="890" t="s">
        <v>1649</v>
      </c>
      <c r="D34" s="851" t="s">
        <v>1649</v>
      </c>
      <c r="E34" s="3479">
        <f>'[22]21 - Consumption and demand Met'!E45/1000</f>
        <v>2365.8290000000002</v>
      </c>
      <c r="F34" s="3480">
        <f>'[22]21 - Consumption and demand Met'!F45/1000</f>
        <v>2136.5430000000001</v>
      </c>
      <c r="G34" s="3480">
        <f>'[22]21 - Consumption and demand Met'!G45/1000</f>
        <v>2007.723</v>
      </c>
      <c r="H34" s="3480">
        <f>[23]Sheet1!AL169</f>
        <v>2279.95192</v>
      </c>
      <c r="I34" s="3481">
        <f>[23]Sheet1!AM169</f>
        <v>2158.2981100000002</v>
      </c>
      <c r="J34" s="3479">
        <f>[23]Sheet1!AN169</f>
        <v>2164.556152761726</v>
      </c>
      <c r="K34" s="3480">
        <f>[23]Sheet1!AO169</f>
        <v>1920.8884431118229</v>
      </c>
      <c r="L34" s="3480">
        <f>[23]Sheet1!AP169</f>
        <v>2029.0159656397157</v>
      </c>
      <c r="M34" s="3480">
        <f>[23]Sheet1!AQ169</f>
        <v>1910.3648595006612</v>
      </c>
      <c r="N34" s="3481">
        <f>[23]Sheet1!AR169</f>
        <v>1913.7270550416545</v>
      </c>
      <c r="O34" s="3479">
        <f>'[13]PTRM input'!Y315/1000</f>
        <v>1922.4622739821464</v>
      </c>
      <c r="P34" s="3480">
        <f>'[13]PTRM input'!Z315/1000</f>
        <v>1924.7197181492493</v>
      </c>
      <c r="Q34" s="3480">
        <f>'[13]PTRM input'!AA315/1000</f>
        <v>1928.3731152258401</v>
      </c>
      <c r="R34" s="3480">
        <f>'[13]PTRM input'!AB315/1000</f>
        <v>1927.8059903747496</v>
      </c>
      <c r="S34" s="3482">
        <f>'[13]PTRM input'!AC315/1000</f>
        <v>1929.2330474161163</v>
      </c>
      <c r="AE34" s="1266"/>
      <c r="DP34" s="223"/>
    </row>
    <row r="35" spans="2:120">
      <c r="B35" s="4785"/>
      <c r="C35" s="890" t="s">
        <v>1650</v>
      </c>
      <c r="D35" s="851" t="s">
        <v>1650</v>
      </c>
      <c r="E35" s="3479">
        <f>'[22]21 - Consumption and demand Met'!E46/1000</f>
        <v>1156.0999999999999</v>
      </c>
      <c r="F35" s="3480">
        <f>'[22]21 - Consumption and demand Met'!F46/1000</f>
        <v>1010.932</v>
      </c>
      <c r="G35" s="3480">
        <f>'[22]21 - Consumption and demand Met'!G46/1000</f>
        <v>893.44799999999998</v>
      </c>
      <c r="H35" s="3480">
        <f>[23]Sheet1!AL170</f>
        <v>1085.4770100000001</v>
      </c>
      <c r="I35" s="3481">
        <f>[23]Sheet1!AM170</f>
        <v>1017.0312100000001</v>
      </c>
      <c r="J35" s="3479">
        <f>[23]Sheet1!AN170</f>
        <v>1060.4276542346165</v>
      </c>
      <c r="K35" s="3480">
        <f>[23]Sheet1!AO170</f>
        <v>828.39869906095544</v>
      </c>
      <c r="L35" s="3480">
        <f>[23]Sheet1!AP170</f>
        <v>951.21367099240024</v>
      </c>
      <c r="M35" s="3480">
        <f>[23]Sheet1!AQ170</f>
        <v>894.46535961552968</v>
      </c>
      <c r="N35" s="3481">
        <f>[23]Sheet1!AR170</f>
        <v>896.0395968240482</v>
      </c>
      <c r="O35" s="3479">
        <f>'[13]PTRM input'!Y316/1000</f>
        <v>890.47929549417779</v>
      </c>
      <c r="P35" s="3480">
        <f>'[13]PTRM input'!Z316/1000</f>
        <v>881.88598970268731</v>
      </c>
      <c r="Q35" s="3480">
        <f>'[13]PTRM input'!AA316/1000</f>
        <v>873.94629283568167</v>
      </c>
      <c r="R35" s="3480">
        <f>'[13]PTRM input'!AB316/1000</f>
        <v>864.03047572911305</v>
      </c>
      <c r="S35" s="3482">
        <f>'[13]PTRM input'!AC316/1000</f>
        <v>855.04836854434552</v>
      </c>
      <c r="AE35" s="1266"/>
      <c r="DP35" s="223"/>
    </row>
    <row r="36" spans="2:120">
      <c r="B36" s="4785"/>
      <c r="C36" s="890" t="s">
        <v>1651</v>
      </c>
      <c r="D36" s="851" t="s">
        <v>1651</v>
      </c>
      <c r="E36" s="3479">
        <f>'[22]21 - Consumption and demand Met'!E47/1000</f>
        <v>1040.963</v>
      </c>
      <c r="F36" s="3480">
        <f>'[22]21 - Consumption and demand Met'!F47/1000</f>
        <v>929.59500000000003</v>
      </c>
      <c r="G36" s="3480">
        <f>'[22]21 - Consumption and demand Met'!G47/1000</f>
        <v>769.90300000000002</v>
      </c>
      <c r="H36" s="3480">
        <f>[23]Sheet1!AL171</f>
        <v>1007.9360000000001</v>
      </c>
      <c r="I36" s="3481">
        <f>[23]Sheet1!AM171</f>
        <v>939.84159999999997</v>
      </c>
      <c r="J36" s="3479">
        <f>[23]Sheet1!AN171</f>
        <v>964.16608822952367</v>
      </c>
      <c r="K36" s="3480">
        <f>[23]Sheet1!AO171</f>
        <v>691.79240373283233</v>
      </c>
      <c r="L36" s="3480">
        <f>[23]Sheet1!AP171</f>
        <v>910.56793916621564</v>
      </c>
      <c r="M36" s="3480">
        <f>[23]Sheet1!AQ171</f>
        <v>809.79375904385836</v>
      </c>
      <c r="N36" s="3481">
        <f>[23]Sheet1!AR171</f>
        <v>811.2189763013057</v>
      </c>
      <c r="O36" s="3479">
        <f>'[13]PTRM input'!Y317/1000</f>
        <v>806.18502247969809</v>
      </c>
      <c r="P36" s="3480">
        <f>'[13]PTRM input'!Z317/1000</f>
        <v>798.40517351774884</v>
      </c>
      <c r="Q36" s="3480">
        <f>'[13]PTRM input'!AA317/1000</f>
        <v>791.21706175636666</v>
      </c>
      <c r="R36" s="3480">
        <f>'[13]PTRM input'!AB317/1000</f>
        <v>782.23989263248802</v>
      </c>
      <c r="S36" s="3482">
        <f>'[13]PTRM input'!AC317/1000</f>
        <v>774.10804687334735</v>
      </c>
      <c r="AE36" s="1266"/>
      <c r="DP36" s="223"/>
    </row>
    <row r="37" spans="2:120">
      <c r="B37" s="4785"/>
      <c r="C37" s="890" t="s">
        <v>1652</v>
      </c>
      <c r="D37" s="851" t="s">
        <v>1652</v>
      </c>
      <c r="E37" s="3479">
        <f>'[22]21 - Consumption and demand Met'!E48/1000</f>
        <v>1165.5239999999999</v>
      </c>
      <c r="F37" s="3480">
        <f>'[22]21 - Consumption and demand Met'!F48/1000</f>
        <v>1098.663</v>
      </c>
      <c r="G37" s="3480">
        <f>'[22]21 - Consumption and demand Met'!G48/1000</f>
        <v>989.01</v>
      </c>
      <c r="H37" s="3480">
        <f>[23]Sheet1!AL172</f>
        <v>1276.4200499999999</v>
      </c>
      <c r="I37" s="3481">
        <f>[23]Sheet1!AM172</f>
        <v>1260.3073300000001</v>
      </c>
      <c r="J37" s="3479">
        <f>[23]Sheet1!AN172</f>
        <v>1211.218525783728</v>
      </c>
      <c r="K37" s="3480">
        <f>[23]Sheet1!AO172</f>
        <v>1029.5452366235131</v>
      </c>
      <c r="L37" s="3480">
        <f>[23]Sheet1!AP172</f>
        <v>1349.6811991907989</v>
      </c>
      <c r="M37" s="3480">
        <f>[23]Sheet1!AQ172</f>
        <v>1047.4416828481221</v>
      </c>
      <c r="N37" s="3481">
        <f>[23]Sheet1!AR172</f>
        <v>1049.2851546530017</v>
      </c>
      <c r="O37" s="3479">
        <f>'[13]PTRM input'!Y318/1000</f>
        <v>1042.7739003942504</v>
      </c>
      <c r="P37" s="3480">
        <f>'[13]PTRM input'!Z318/1000</f>
        <v>1032.7109207799965</v>
      </c>
      <c r="Q37" s="3480">
        <f>'[13]PTRM input'!AA318/1000</f>
        <v>1023.4133338379432</v>
      </c>
      <c r="R37" s="3480">
        <f>'[13]PTRM input'!AB318/1000</f>
        <v>1011.8016598415543</v>
      </c>
      <c r="S37" s="3482">
        <f>'[13]PTRM input'!AC318/1000</f>
        <v>1001.283383908343</v>
      </c>
      <c r="AE37" s="1266"/>
      <c r="DP37" s="223"/>
    </row>
    <row r="38" spans="2:120" ht="13.5" thickBot="1">
      <c r="B38" s="4786"/>
      <c r="C38" s="3483" t="s">
        <v>396</v>
      </c>
      <c r="D38" s="3484"/>
      <c r="E38" s="1681">
        <f t="shared" ref="E38:S38" si="0">SUM(E23:E37)</f>
        <v>40416.027000000002</v>
      </c>
      <c r="F38" s="1682">
        <f t="shared" si="0"/>
        <v>39062.587</v>
      </c>
      <c r="G38" s="1682">
        <f t="shared" si="0"/>
        <v>40753.304999999993</v>
      </c>
      <c r="H38" s="1682">
        <f t="shared" si="0"/>
        <v>39130.97178</v>
      </c>
      <c r="I38" s="1684">
        <f t="shared" si="0"/>
        <v>40666.662969999998</v>
      </c>
      <c r="J38" s="1681">
        <f t="shared" si="0"/>
        <v>38260.971998107241</v>
      </c>
      <c r="K38" s="1682">
        <f t="shared" si="0"/>
        <v>36080.575799708451</v>
      </c>
      <c r="L38" s="1682">
        <f t="shared" si="0"/>
        <v>40250.938750478439</v>
      </c>
      <c r="M38" s="1682">
        <f t="shared" si="0"/>
        <v>37702.620484769926</v>
      </c>
      <c r="N38" s="1684">
        <f t="shared" si="0"/>
        <v>37636.204146078955</v>
      </c>
      <c r="O38" s="1681">
        <f t="shared" si="0"/>
        <v>37361.059253070336</v>
      </c>
      <c r="P38" s="1682">
        <f t="shared" si="0"/>
        <v>36959.961536954797</v>
      </c>
      <c r="Q38" s="1682">
        <f t="shared" si="0"/>
        <v>36589.432895342659</v>
      </c>
      <c r="R38" s="1682">
        <f t="shared" si="0"/>
        <v>36138.98417466184</v>
      </c>
      <c r="S38" s="3485">
        <f t="shared" si="0"/>
        <v>35731.243418510887</v>
      </c>
      <c r="AE38" s="1266"/>
      <c r="DP38" s="223"/>
    </row>
    <row r="39" spans="2:120">
      <c r="B39" s="4784" t="s">
        <v>1653</v>
      </c>
      <c r="C39" s="4787" t="s">
        <v>48</v>
      </c>
      <c r="D39" s="4788"/>
      <c r="E39" s="1650">
        <f>'[18]27.2 Customer numbers Metro'!D34</f>
        <v>16612.5</v>
      </c>
      <c r="F39" s="1651">
        <f>'[18]27.2 Customer numbers Metro'!E34</f>
        <v>16523</v>
      </c>
      <c r="G39" s="1651">
        <f>'[18]27.2 Customer numbers Metro'!F34</f>
        <v>16456.5</v>
      </c>
      <c r="H39" s="1651">
        <f>'[18]27.2 Customer numbers Metro'!G34</f>
        <v>16410</v>
      </c>
      <c r="I39" s="1683">
        <f>'[18]27.2 Customer numbers Metro'!H34</f>
        <v>16267.5</v>
      </c>
      <c r="J39" s="1650">
        <f>'[18]27.2 Customer numbers Metro'!I34</f>
        <v>16121.5</v>
      </c>
      <c r="K39" s="1651">
        <f>'[18]27.2 Customer numbers Metro'!J34</f>
        <v>16074</v>
      </c>
      <c r="L39" s="1651">
        <f>'[18]27.2 Customer numbers Metro'!K34</f>
        <v>15919.5</v>
      </c>
      <c r="M39" s="1651">
        <f>'[18]27.2 Customer numbers Metro'!L34</f>
        <v>15659</v>
      </c>
      <c r="N39" s="1683">
        <f>'[18]27.2 Customer numbers Metro'!M34</f>
        <v>15501.643617728978</v>
      </c>
      <c r="O39" s="1650">
        <f>'[18]27.2 Customer numbers Metro'!N34</f>
        <v>15418.335471125687</v>
      </c>
      <c r="P39" s="1651">
        <f>'[18]27.2 Customer numbers Metro'!O34</f>
        <v>15301.635685713958</v>
      </c>
      <c r="Q39" s="1651">
        <f>'[18]27.2 Customer numbers Metro'!P34</f>
        <v>15182.765891295388</v>
      </c>
      <c r="R39" s="1651">
        <f>'[18]27.2 Customer numbers Metro'!Q34</f>
        <v>14974.431346421849</v>
      </c>
      <c r="S39" s="1652">
        <f>'[18]27.2 Customer numbers Metro'!R34</f>
        <v>14778.055055100085</v>
      </c>
      <c r="AE39" s="1266"/>
      <c r="DP39" s="223"/>
    </row>
    <row r="40" spans="2:120">
      <c r="B40" s="4785"/>
      <c r="C40" s="890" t="s">
        <v>1638</v>
      </c>
      <c r="D40" s="851" t="s">
        <v>1638</v>
      </c>
      <c r="E40" s="3479">
        <f>'[22]21 - Consumption and demand Met'!E62/1000</f>
        <v>322.02800000000002</v>
      </c>
      <c r="F40" s="3480">
        <f>'[22]21 - Consumption and demand Met'!F62/1000</f>
        <v>314.19400000000002</v>
      </c>
      <c r="G40" s="3480">
        <f>'[22]21 - Consumption and demand Met'!G62/1000</f>
        <v>315.10700000000003</v>
      </c>
      <c r="H40" s="3480">
        <f>[23]Sheet1!AL181</f>
        <v>303.55429000000004</v>
      </c>
      <c r="I40" s="3481">
        <f>[23]Sheet1!AM181</f>
        <v>303.90469999999999</v>
      </c>
      <c r="J40" s="3479">
        <f>[23]Sheet1!AN181</f>
        <v>297.03083574433879</v>
      </c>
      <c r="K40" s="3480">
        <f>[23]Sheet1!AO181</f>
        <v>294.47157060079985</v>
      </c>
      <c r="L40" s="3480">
        <f>[23]Sheet1!AP181</f>
        <v>300.72192861067919</v>
      </c>
      <c r="M40" s="3480">
        <f>[23]Sheet1!AQ181</f>
        <v>272.07435634693161</v>
      </c>
      <c r="N40" s="3481">
        <f>[23]Sheet1!AR181</f>
        <v>270.87454259194914</v>
      </c>
      <c r="O40" s="3479">
        <f>[23]Sheet1!AS181</f>
        <v>265.49349656264206</v>
      </c>
      <c r="P40" s="3480">
        <f>[23]Sheet1!AT181</f>
        <v>257.80930834898464</v>
      </c>
      <c r="Q40" s="3480">
        <f>[23]Sheet1!AU181</f>
        <v>250.06949782158554</v>
      </c>
      <c r="R40" s="3480">
        <f>[23]Sheet1!AV181</f>
        <v>241.45173248135814</v>
      </c>
      <c r="S40" s="3482">
        <f>[23]Sheet1!AW181</f>
        <v>234.38139500914957</v>
      </c>
      <c r="AE40" s="1266"/>
      <c r="DP40" s="223"/>
    </row>
    <row r="41" spans="2:120">
      <c r="B41" s="4785"/>
      <c r="C41" s="890" t="s">
        <v>1639</v>
      </c>
      <c r="D41" s="851" t="s">
        <v>1639</v>
      </c>
      <c r="E41" s="3479">
        <f>'[22]21 - Consumption and demand Met'!E63/1000</f>
        <v>513.82000000000005</v>
      </c>
      <c r="F41" s="3480">
        <f>'[22]21 - Consumption and demand Met'!F63/1000</f>
        <v>491.12799999999999</v>
      </c>
      <c r="G41" s="3480">
        <f>'[22]21 - Consumption and demand Met'!G63/1000</f>
        <v>508.01900000000001</v>
      </c>
      <c r="H41" s="3480">
        <f>[23]Sheet1!AL182</f>
        <v>478.78190999999998</v>
      </c>
      <c r="I41" s="3481">
        <f>[23]Sheet1!AM182</f>
        <v>482.69616000000002</v>
      </c>
      <c r="J41" s="3479">
        <f>[23]Sheet1!AN182</f>
        <v>463.16910449618899</v>
      </c>
      <c r="K41" s="3480">
        <f>[23]Sheet1!AO182</f>
        <v>457.59050487087598</v>
      </c>
      <c r="L41" s="3480">
        <f>[23]Sheet1!AP182</f>
        <v>478.13164331484597</v>
      </c>
      <c r="M41" s="3480">
        <f>[23]Sheet1!AQ182</f>
        <v>429.58313238652858</v>
      </c>
      <c r="N41" s="3481">
        <f>[23]Sheet1!AR182</f>
        <v>427.68872470303273</v>
      </c>
      <c r="O41" s="3479">
        <f>[23]Sheet1!AS182</f>
        <v>419.1924935998037</v>
      </c>
      <c r="P41" s="3480">
        <f>[23]Sheet1!AT182</f>
        <v>407.05978955892243</v>
      </c>
      <c r="Q41" s="3480">
        <f>[23]Sheet1!AU182</f>
        <v>394.83926243876027</v>
      </c>
      <c r="R41" s="3480">
        <f>[23]Sheet1!AV182</f>
        <v>381.23251655232934</v>
      </c>
      <c r="S41" s="3482">
        <f>[23]Sheet1!AW182</f>
        <v>370.06903257272108</v>
      </c>
      <c r="AE41" s="1266"/>
      <c r="DP41" s="223"/>
    </row>
    <row r="42" spans="2:120">
      <c r="B42" s="4785"/>
      <c r="C42" s="890" t="s">
        <v>1640</v>
      </c>
      <c r="D42" s="851" t="s">
        <v>1640</v>
      </c>
      <c r="E42" s="3479">
        <f>'[22]21 - Consumption and demand Met'!E64/1000</f>
        <v>200.459</v>
      </c>
      <c r="F42" s="3480">
        <f>'[22]21 - Consumption and demand Met'!F64/1000</f>
        <v>191.386</v>
      </c>
      <c r="G42" s="3480">
        <f>'[22]21 - Consumption and demand Met'!G64/1000</f>
        <v>200.21700000000001</v>
      </c>
      <c r="H42" s="3480">
        <f>[23]Sheet1!AL183</f>
        <v>186.66301000000001</v>
      </c>
      <c r="I42" s="3481">
        <f>[23]Sheet1!AM183</f>
        <v>188.26226</v>
      </c>
      <c r="J42" s="3479">
        <f>[23]Sheet1!AN183</f>
        <v>179.80050889129572</v>
      </c>
      <c r="K42" s="3480">
        <f>[23]Sheet1!AO183</f>
        <v>176.81825928159961</v>
      </c>
      <c r="L42" s="3480">
        <f>[23]Sheet1!AP183</f>
        <v>184.91717846290459</v>
      </c>
      <c r="M42" s="3480">
        <f>[23]Sheet1!AQ183</f>
        <v>167.30576519603417</v>
      </c>
      <c r="N42" s="3481">
        <f>[23]Sheet1!AR183</f>
        <v>166.56796777526546</v>
      </c>
      <c r="O42" s="3479">
        <f>[23]Sheet1!AS183</f>
        <v>163.25901931141127</v>
      </c>
      <c r="P42" s="3480">
        <f>[23]Sheet1!AT183</f>
        <v>158.53380740148407</v>
      </c>
      <c r="Q42" s="3480">
        <f>[23]Sheet1!AU183</f>
        <v>153.77439184999548</v>
      </c>
      <c r="R42" s="3480">
        <f>[23]Sheet1!AV183</f>
        <v>148.47509851016997</v>
      </c>
      <c r="S42" s="3482">
        <f>[23]Sheet1!AW183</f>
        <v>144.12735976380435</v>
      </c>
      <c r="AE42" s="1266"/>
      <c r="DP42" s="223"/>
    </row>
    <row r="43" spans="2:120">
      <c r="B43" s="4785"/>
      <c r="C43" s="890" t="s">
        <v>1641</v>
      </c>
      <c r="D43" s="851" t="s">
        <v>1641</v>
      </c>
      <c r="E43" s="3479">
        <f>'[22]21 - Consumption and demand Met'!E65/1000</f>
        <v>690.38800000000003</v>
      </c>
      <c r="F43" s="3480">
        <f>'[22]21 - Consumption and demand Met'!F65/1000</f>
        <v>643.44500000000005</v>
      </c>
      <c r="G43" s="3480">
        <f>'[22]21 - Consumption and demand Met'!G65/1000</f>
        <v>686.67</v>
      </c>
      <c r="H43" s="3480">
        <f>[23]Sheet1!AL184</f>
        <v>640.52926000000002</v>
      </c>
      <c r="I43" s="3481">
        <f>[23]Sheet1!AM184</f>
        <v>644.33080999999993</v>
      </c>
      <c r="J43" s="3479">
        <f>[23]Sheet1!AN184</f>
        <v>614.38527401981605</v>
      </c>
      <c r="K43" s="3480">
        <f>[23]Sheet1!AO184</f>
        <v>601.750172139916</v>
      </c>
      <c r="L43" s="3480">
        <f>[23]Sheet1!AP184</f>
        <v>620.77030322721009</v>
      </c>
      <c r="M43" s="3480">
        <f>[23]Sheet1!AQ184</f>
        <v>570.42424532733435</v>
      </c>
      <c r="N43" s="3481">
        <f>[23]Sheet1!AR184</f>
        <v>567.90874601711437</v>
      </c>
      <c r="O43" s="3479">
        <f>[23]Sheet1!AS184</f>
        <v>556.62698039409804</v>
      </c>
      <c r="P43" s="3480">
        <f>[23]Sheet1!AT184</f>
        <v>540.51650485505274</v>
      </c>
      <c r="Q43" s="3480">
        <f>[23]Sheet1!AU184</f>
        <v>524.28941297345511</v>
      </c>
      <c r="R43" s="3480">
        <f>[23]Sheet1!AV184</f>
        <v>506.22162313611011</v>
      </c>
      <c r="S43" s="3482">
        <f>[23]Sheet1!AW184</f>
        <v>491.39813160627477</v>
      </c>
      <c r="AE43" s="1266"/>
      <c r="DP43" s="223"/>
    </row>
    <row r="44" spans="2:120">
      <c r="B44" s="4785"/>
      <c r="C44" s="890" t="s">
        <v>1642</v>
      </c>
      <c r="D44" s="851" t="s">
        <v>1642</v>
      </c>
      <c r="E44" s="3479">
        <f>'[22]21 - Consumption and demand Met'!E66/1000</f>
        <v>891.17100000000005</v>
      </c>
      <c r="F44" s="3480">
        <f>'[22]21 - Consumption and demand Met'!F66/1000</f>
        <v>783.63499999999999</v>
      </c>
      <c r="G44" s="3480">
        <f>'[22]21 - Consumption and demand Met'!G66/1000</f>
        <v>885.42499999999995</v>
      </c>
      <c r="H44" s="3480">
        <f>[23]Sheet1!AL185</f>
        <v>808.13909999999998</v>
      </c>
      <c r="I44" s="3481">
        <f>[23]Sheet1!AM185</f>
        <v>777.30223999999998</v>
      </c>
      <c r="J44" s="3479">
        <f>[23]Sheet1!AN185</f>
        <v>703.41989091305311</v>
      </c>
      <c r="K44" s="3480">
        <f>[23]Sheet1!AO185</f>
        <v>695.57508613626999</v>
      </c>
      <c r="L44" s="3480">
        <f>[23]Sheet1!AP185</f>
        <v>761.59226268481302</v>
      </c>
      <c r="M44" s="3480">
        <f>[23]Sheet1!AQ185</f>
        <v>697.80475205708399</v>
      </c>
      <c r="N44" s="3481">
        <f>[23]Sheet1!AR185</f>
        <v>694.72752070367176</v>
      </c>
      <c r="O44" s="3479">
        <f>[23]Sheet1!AS185</f>
        <v>680.92644242233473</v>
      </c>
      <c r="P44" s="3480">
        <f>[23]Sheet1!AT185</f>
        <v>661.21836289883197</v>
      </c>
      <c r="Q44" s="3480">
        <f>[23]Sheet1!AU185</f>
        <v>641.36762562775414</v>
      </c>
      <c r="R44" s="3480">
        <f>[23]Sheet1!AV185</f>
        <v>619.2651471462633</v>
      </c>
      <c r="S44" s="3482">
        <f>[23]Sheet1!AW185</f>
        <v>601.13144592944138</v>
      </c>
      <c r="AE44" s="1266"/>
      <c r="DP44" s="223"/>
    </row>
    <row r="45" spans="2:120">
      <c r="B45" s="4785"/>
      <c r="C45" s="890" t="s">
        <v>1643</v>
      </c>
      <c r="D45" s="851" t="s">
        <v>1643</v>
      </c>
      <c r="E45" s="3479">
        <f>'[22]21 - Consumption and demand Met'!E76/1000</f>
        <v>148.315</v>
      </c>
      <c r="F45" s="3480">
        <f>'[22]21 - Consumption and demand Met'!F76/1000</f>
        <v>147.154</v>
      </c>
      <c r="G45" s="3480">
        <f>'[22]21 - Consumption and demand Met'!G76/1000</f>
        <v>144.53299999999999</v>
      </c>
      <c r="H45" s="3480">
        <f>[23]Sheet1!AL193</f>
        <v>141.86722999999998</v>
      </c>
      <c r="I45" s="3481">
        <f>[23]Sheet1!AM193</f>
        <v>141.38690000000003</v>
      </c>
      <c r="J45" s="3479">
        <f>[23]Sheet1!AN193</f>
        <v>139.22529612224119</v>
      </c>
      <c r="K45" s="3480">
        <f>[23]Sheet1!AO193</f>
        <v>134.34483530151502</v>
      </c>
      <c r="L45" s="3480">
        <f>[23]Sheet1!AP193</f>
        <v>137.91966274003033</v>
      </c>
      <c r="M45" s="3480">
        <f>[23]Sheet1!AQ193</f>
        <v>128.11500723289024</v>
      </c>
      <c r="N45" s="3481">
        <f>[23]Sheet1!AR193</f>
        <v>127.72351890328594</v>
      </c>
      <c r="O45" s="3479">
        <f>[23]Sheet1!AS193</f>
        <v>125.42623704523847</v>
      </c>
      <c r="P45" s="3480">
        <f>[23]Sheet1!AT193</f>
        <v>122.06289985188695</v>
      </c>
      <c r="Q45" s="3480">
        <f>[23]Sheet1!AU193</f>
        <v>118.65626968791572</v>
      </c>
      <c r="R45" s="3480">
        <f>[23]Sheet1!AV193</f>
        <v>114.83844101260465</v>
      </c>
      <c r="S45" s="3482">
        <f>[23]Sheet1!AW193</f>
        <v>111.73120245063224</v>
      </c>
      <c r="AE45" s="1266"/>
      <c r="DP45" s="223"/>
    </row>
    <row r="46" spans="2:120">
      <c r="B46" s="4785"/>
      <c r="C46" s="890" t="s">
        <v>1644</v>
      </c>
      <c r="D46" s="851" t="s">
        <v>1644</v>
      </c>
      <c r="E46" s="3479">
        <f>'[22]21 - Consumption and demand Met'!E77/1000</f>
        <v>220.791</v>
      </c>
      <c r="F46" s="3480">
        <f>'[22]21 - Consumption and demand Met'!F77/1000</f>
        <v>218.65</v>
      </c>
      <c r="G46" s="3480">
        <f>'[22]21 - Consumption and demand Met'!G77/1000</f>
        <v>215.22200000000001</v>
      </c>
      <c r="H46" s="3480">
        <f>[23]Sheet1!AL194</f>
        <v>212.30896999999999</v>
      </c>
      <c r="I46" s="3481">
        <f>[23]Sheet1!AM194</f>
        <v>211.01504</v>
      </c>
      <c r="J46" s="3479">
        <f>[23]Sheet1!AN194</f>
        <v>204.4927326648496</v>
      </c>
      <c r="K46" s="3480">
        <f>[23]Sheet1!AO194</f>
        <v>196.03228585749349</v>
      </c>
      <c r="L46" s="3480">
        <f>[23]Sheet1!AP194</f>
        <v>206.36684508465299</v>
      </c>
      <c r="M46" s="3480">
        <f>[23]Sheet1!AQ194</f>
        <v>190.12700850960982</v>
      </c>
      <c r="N46" s="3481">
        <f>[23]Sheet1!AR194</f>
        <v>189.54602657328766</v>
      </c>
      <c r="O46" s="3479">
        <f>[23]Sheet1!AS194</f>
        <v>186.13678251353451</v>
      </c>
      <c r="P46" s="3480">
        <f>[23]Sheet1!AT194</f>
        <v>181.14547624120527</v>
      </c>
      <c r="Q46" s="3480">
        <f>[23]Sheet1!AU194</f>
        <v>176.08992173464335</v>
      </c>
      <c r="R46" s="3480">
        <f>[23]Sheet1!AV194</f>
        <v>170.42413471470749</v>
      </c>
      <c r="S46" s="3482">
        <f>[23]Sheet1!AW194</f>
        <v>165.81288748244842</v>
      </c>
      <c r="AE46" s="1266"/>
      <c r="DP46" s="223"/>
    </row>
    <row r="47" spans="2:120">
      <c r="B47" s="4785"/>
      <c r="C47" s="890" t="s">
        <v>1645</v>
      </c>
      <c r="D47" s="851" t="s">
        <v>1645</v>
      </c>
      <c r="E47" s="3479">
        <f>'[22]21 - Consumption and demand Met'!E78/1000</f>
        <v>85.456999999999994</v>
      </c>
      <c r="F47" s="3480">
        <f>'[22]21 - Consumption and demand Met'!F78/1000</f>
        <v>84.436999999999998</v>
      </c>
      <c r="G47" s="3480">
        <f>'[22]21 - Consumption and demand Met'!G78/1000</f>
        <v>83.753</v>
      </c>
      <c r="H47" s="3480">
        <f>[23]Sheet1!AL195</f>
        <v>81.892589999999998</v>
      </c>
      <c r="I47" s="3481">
        <f>[23]Sheet1!AM195</f>
        <v>81.681850000000011</v>
      </c>
      <c r="J47" s="3479">
        <f>[23]Sheet1!AN195</f>
        <v>78.690497064282511</v>
      </c>
      <c r="K47" s="3480">
        <f>[23]Sheet1!AO195</f>
        <v>75.004592050112095</v>
      </c>
      <c r="L47" s="3480">
        <f>[23]Sheet1!AP195</f>
        <v>77.970902196408048</v>
      </c>
      <c r="M47" s="3480">
        <f>[23]Sheet1!AQ195</f>
        <v>73.229007623310693</v>
      </c>
      <c r="N47" s="3481">
        <f>[23]Sheet1!AR195</f>
        <v>73.005237570978593</v>
      </c>
      <c r="O47" s="3479">
        <f>[23]Sheet1!AS195</f>
        <v>71.692138705128755</v>
      </c>
      <c r="P47" s="3480">
        <f>[23]Sheet1!AT195</f>
        <v>69.769695345125001</v>
      </c>
      <c r="Q47" s="3480">
        <f>[23]Sheet1!AU195</f>
        <v>67.822506240309465</v>
      </c>
      <c r="R47" s="3480">
        <f>[23]Sheet1!AV195</f>
        <v>65.640280978747171</v>
      </c>
      <c r="S47" s="3482">
        <f>[23]Sheet1!AW195</f>
        <v>63.864220536987247</v>
      </c>
      <c r="AE47" s="1266"/>
      <c r="DP47" s="223"/>
    </row>
    <row r="48" spans="2:120">
      <c r="B48" s="4785"/>
      <c r="C48" s="890" t="s">
        <v>1646</v>
      </c>
      <c r="D48" s="851" t="s">
        <v>1646</v>
      </c>
      <c r="E48" s="3479">
        <f>'[22]21 - Consumption and demand Met'!E79/1000</f>
        <v>288.38200000000001</v>
      </c>
      <c r="F48" s="3480">
        <f>'[22]21 - Consumption and demand Met'!F79/1000</f>
        <v>279.76600000000002</v>
      </c>
      <c r="G48" s="3480">
        <f>'[22]21 - Consumption and demand Met'!G79/1000</f>
        <v>283.66000000000003</v>
      </c>
      <c r="H48" s="3480">
        <f>[23]Sheet1!AL196</f>
        <v>277.13528000000002</v>
      </c>
      <c r="I48" s="3481">
        <f>[23]Sheet1!AM196</f>
        <v>274.60298</v>
      </c>
      <c r="J48" s="3479">
        <f>[23]Sheet1!AN196</f>
        <v>264.60318766274798</v>
      </c>
      <c r="K48" s="3480">
        <f>[23]Sheet1!AO196</f>
        <v>248.088907291651</v>
      </c>
      <c r="L48" s="3480">
        <f>[23]Sheet1!AP196</f>
        <v>251.781099714231</v>
      </c>
      <c r="M48" s="3480">
        <f>[23]Sheet1!AQ196</f>
        <v>244.61088926644513</v>
      </c>
      <c r="N48" s="3481">
        <f>[23]Sheet1!AR196</f>
        <v>243.86341783034814</v>
      </c>
      <c r="O48" s="3479">
        <f>[23]Sheet1!AS196</f>
        <v>239.47720133370342</v>
      </c>
      <c r="P48" s="3480">
        <f>[23]Sheet1!AT196</f>
        <v>233.0555578468238</v>
      </c>
      <c r="Q48" s="3480">
        <f>[23]Sheet1!AU196</f>
        <v>226.55125478499664</v>
      </c>
      <c r="R48" s="3480">
        <f>[23]Sheet1!AV196</f>
        <v>219.26184749770559</v>
      </c>
      <c r="S48" s="3482">
        <f>[23]Sheet1!AW196</f>
        <v>213.32917493870241</v>
      </c>
      <c r="AE48" s="1266"/>
      <c r="DP48" s="223"/>
    </row>
    <row r="49" spans="1:120">
      <c r="B49" s="4785"/>
      <c r="C49" s="890" t="s">
        <v>1647</v>
      </c>
      <c r="D49" s="851" t="s">
        <v>1647</v>
      </c>
      <c r="E49" s="3479">
        <f>'[22]21 - Consumption and demand Met'!E80/1000</f>
        <v>332.03500000000003</v>
      </c>
      <c r="F49" s="3480">
        <f>'[22]21 - Consumption and demand Met'!F80/1000</f>
        <v>300.52699999999999</v>
      </c>
      <c r="G49" s="3480">
        <f>'[22]21 - Consumption and demand Met'!G80/1000</f>
        <v>305.76299999999998</v>
      </c>
      <c r="H49" s="3480">
        <f>[23]Sheet1!AL197</f>
        <v>313.37624</v>
      </c>
      <c r="I49" s="3481">
        <f>[23]Sheet1!AM197</f>
        <v>300.37387999999999</v>
      </c>
      <c r="J49" s="3479">
        <f>[23]Sheet1!AN197</f>
        <v>262.663636260918</v>
      </c>
      <c r="K49" s="3480">
        <f>[23]Sheet1!AO197</f>
        <v>232.57775835058698</v>
      </c>
      <c r="L49" s="3480">
        <f>[23]Sheet1!AP197</f>
        <v>262.71554763070469</v>
      </c>
      <c r="M49" s="3480">
        <f>[23]Sheet1!AQ197</f>
        <v>259.76412306148461</v>
      </c>
      <c r="N49" s="3481">
        <f>[23]Sheet1!AR197</f>
        <v>258.9703470252112</v>
      </c>
      <c r="O49" s="3479">
        <f>[23]Sheet1!AS197</f>
        <v>254.31241178273041</v>
      </c>
      <c r="P49" s="3480">
        <f>[23]Sheet1!AT197</f>
        <v>247.49295826622827</v>
      </c>
      <c r="Q49" s="3480">
        <f>[23]Sheet1!AU197</f>
        <v>240.58572455292753</v>
      </c>
      <c r="R49" s="3480">
        <f>[23]Sheet1!AV197</f>
        <v>232.84475072588498</v>
      </c>
      <c r="S49" s="3482">
        <f>[23]Sheet1!AW197</f>
        <v>226.54455906507243</v>
      </c>
      <c r="AE49" s="1266"/>
      <c r="DP49" s="223"/>
    </row>
    <row r="50" spans="1:120">
      <c r="B50" s="4785"/>
      <c r="C50" s="890" t="s">
        <v>1648</v>
      </c>
      <c r="D50" s="851" t="s">
        <v>1648</v>
      </c>
      <c r="E50" s="3479">
        <f>'[22]21 - Consumption and demand Met'!E69/1000</f>
        <v>349.83800000000002</v>
      </c>
      <c r="F50" s="3480">
        <f>'[22]21 - Consumption and demand Met'!F69/1000</f>
        <v>339.59199999999998</v>
      </c>
      <c r="G50" s="3480">
        <f>'[22]21 - Consumption and demand Met'!G69/1000</f>
        <v>331.50400000000002</v>
      </c>
      <c r="H50" s="3480">
        <f>[23]Sheet1!AL187</f>
        <v>336.04831000000001</v>
      </c>
      <c r="I50" s="3481">
        <f>[23]Sheet1!AM187</f>
        <v>331.37895000000003</v>
      </c>
      <c r="J50" s="3479">
        <f>[23]Sheet1!AN187</f>
        <v>326.81808117178127</v>
      </c>
      <c r="K50" s="3480">
        <f>[23]Sheet1!AO187</f>
        <v>320.71002537976267</v>
      </c>
      <c r="L50" s="3480">
        <f>[23]Sheet1!AP187</f>
        <v>330.95525186564282</v>
      </c>
      <c r="M50" s="3480">
        <f>[23]Sheet1!AQ187</f>
        <v>299.99859814290136</v>
      </c>
      <c r="N50" s="3481">
        <f>[23]Sheet1!AR187</f>
        <v>300.16032414799849</v>
      </c>
      <c r="O50" s="3479">
        <f>[23]Sheet1!AS187</f>
        <v>296.01709233839625</v>
      </c>
      <c r="P50" s="3480">
        <f>[23]Sheet1!AT187</f>
        <v>289.39622662480059</v>
      </c>
      <c r="Q50" s="3480">
        <f>[23]Sheet1!AU187</f>
        <v>282.59789260894661</v>
      </c>
      <c r="R50" s="3480">
        <f>[23]Sheet1!AV187</f>
        <v>274.80447231677294</v>
      </c>
      <c r="S50" s="3482">
        <f>[23]Sheet1!AW187</f>
        <v>268.61227262050613</v>
      </c>
      <c r="AE50" s="1266"/>
      <c r="DP50" s="223"/>
    </row>
    <row r="51" spans="1:120">
      <c r="B51" s="4785"/>
      <c r="C51" s="890" t="s">
        <v>1649</v>
      </c>
      <c r="D51" s="851" t="s">
        <v>1649</v>
      </c>
      <c r="E51" s="3479">
        <f>'[22]21 - Consumption and demand Met'!E70/1000</f>
        <v>497.59100000000001</v>
      </c>
      <c r="F51" s="3480">
        <f>'[22]21 - Consumption and demand Met'!F70/1000</f>
        <v>480.178</v>
      </c>
      <c r="G51" s="3480">
        <f>'[22]21 - Consumption and demand Met'!G70/1000</f>
        <v>474.11099999999999</v>
      </c>
      <c r="H51" s="3480">
        <f>[23]Sheet1!AL188</f>
        <v>483.11773999999997</v>
      </c>
      <c r="I51" s="3481">
        <f>[23]Sheet1!AM188</f>
        <v>471.36746999999997</v>
      </c>
      <c r="J51" s="3479">
        <f>[23]Sheet1!AN188</f>
        <v>461.32232656544431</v>
      </c>
      <c r="K51" s="3480">
        <f>[23]Sheet1!AO188</f>
        <v>456.07657521820732</v>
      </c>
      <c r="L51" s="3480">
        <f>[23]Sheet1!AP188</f>
        <v>474.65985407403133</v>
      </c>
      <c r="M51" s="3480">
        <f>[23]Sheet1!AQ188</f>
        <v>427.31362300687755</v>
      </c>
      <c r="N51" s="3481">
        <f>[23]Sheet1!AR188</f>
        <v>427.54398316722592</v>
      </c>
      <c r="O51" s="3479">
        <f>[23]Sheet1!AS188</f>
        <v>421.64242427169029</v>
      </c>
      <c r="P51" s="3480">
        <f>[23]Sheet1!AT188</f>
        <v>412.21175981848194</v>
      </c>
      <c r="Q51" s="3480">
        <f>[23]Sheet1!AU188</f>
        <v>402.52831210669734</v>
      </c>
      <c r="R51" s="3480">
        <f>[23]Sheet1!AV188</f>
        <v>391.4274780318737</v>
      </c>
      <c r="S51" s="3482">
        <f>[23]Sheet1!AW188</f>
        <v>382.6073991949271</v>
      </c>
      <c r="AE51" s="1266"/>
      <c r="DP51" s="223"/>
    </row>
    <row r="52" spans="1:120">
      <c r="B52" s="4785"/>
      <c r="C52" s="890" t="s">
        <v>1650</v>
      </c>
      <c r="D52" s="851" t="s">
        <v>1650</v>
      </c>
      <c r="E52" s="3479">
        <f>'[22]21 - Consumption and demand Met'!E71/1000</f>
        <v>190.29599999999999</v>
      </c>
      <c r="F52" s="3480">
        <f>'[22]21 - Consumption and demand Met'!F71/1000</f>
        <v>181.50800000000001</v>
      </c>
      <c r="G52" s="3480">
        <f>'[22]21 - Consumption and demand Met'!G71/1000</f>
        <v>178.346</v>
      </c>
      <c r="H52" s="3480">
        <f>[23]Sheet1!AL189</f>
        <v>182.50892000000002</v>
      </c>
      <c r="I52" s="3481">
        <f>[23]Sheet1!AM189</f>
        <v>179.23676999999998</v>
      </c>
      <c r="J52" s="3479">
        <f>[23]Sheet1!AN189</f>
        <v>174.9907613741523</v>
      </c>
      <c r="K52" s="3480">
        <f>[23]Sheet1!AO189</f>
        <v>171.58578317337512</v>
      </c>
      <c r="L52" s="3480">
        <f>[23]Sheet1!AP189</f>
        <v>175.29594983627894</v>
      </c>
      <c r="M52" s="3480">
        <f>[23]Sheet1!AQ189</f>
        <v>161.32316357922079</v>
      </c>
      <c r="N52" s="3481">
        <f>[23]Sheet1!AR189</f>
        <v>161.41013115485882</v>
      </c>
      <c r="O52" s="3479">
        <f>[23]Sheet1!AS189</f>
        <v>159.18212320047263</v>
      </c>
      <c r="P52" s="3480">
        <f>[23]Sheet1!AT189</f>
        <v>155.62177655498041</v>
      </c>
      <c r="Q52" s="3480">
        <f>[23]Sheet1!AU189</f>
        <v>151.96599697035921</v>
      </c>
      <c r="R52" s="3480">
        <f>[23]Sheet1!AV189</f>
        <v>147.77511333150613</v>
      </c>
      <c r="S52" s="3482">
        <f>[23]Sheet1!AW189</f>
        <v>144.44528028995234</v>
      </c>
      <c r="AE52" s="1266"/>
      <c r="DP52" s="223"/>
    </row>
    <row r="53" spans="1:120">
      <c r="B53" s="4785"/>
      <c r="C53" s="890" t="s">
        <v>1651</v>
      </c>
      <c r="D53" s="851" t="s">
        <v>1651</v>
      </c>
      <c r="E53" s="3479">
        <f>'[22]21 - Consumption and demand Met'!E72/1000</f>
        <v>585.14</v>
      </c>
      <c r="F53" s="3480">
        <f>'[22]21 - Consumption and demand Met'!F72/1000</f>
        <v>548.32600000000002</v>
      </c>
      <c r="G53" s="3480">
        <f>'[22]21 - Consumption and demand Met'!G72/1000</f>
        <v>539.55100000000004</v>
      </c>
      <c r="H53" s="3480">
        <f>[23]Sheet1!AL190</f>
        <v>569.20174999999995</v>
      </c>
      <c r="I53" s="3481">
        <f>[23]Sheet1!AM190</f>
        <v>551.88607000000002</v>
      </c>
      <c r="J53" s="3479">
        <f>[23]Sheet1!AN190</f>
        <v>543.68995854262607</v>
      </c>
      <c r="K53" s="3480">
        <f>[23]Sheet1!AO190</f>
        <v>521.24113946323689</v>
      </c>
      <c r="L53" s="3480">
        <f>[23]Sheet1!AP190</f>
        <v>522.93367064055928</v>
      </c>
      <c r="M53" s="3480">
        <f>[23]Sheet1!AQ190</f>
        <v>493.12235285406626</v>
      </c>
      <c r="N53" s="3481">
        <f>[23]Sheet1!AR190</f>
        <v>493.38818979012154</v>
      </c>
      <c r="O53" s="3479">
        <f>[23]Sheet1!AS190</f>
        <v>486.57775723804127</v>
      </c>
      <c r="P53" s="3480">
        <f>[23]Sheet1!AT190</f>
        <v>475.6947167877525</v>
      </c>
      <c r="Q53" s="3480">
        <f>[23]Sheet1!AU190</f>
        <v>464.51996301844036</v>
      </c>
      <c r="R53" s="3480">
        <f>[23]Sheet1!AV190</f>
        <v>451.70953731962868</v>
      </c>
      <c r="S53" s="3482">
        <f>[23]Sheet1!AW190</f>
        <v>441.53111614543769</v>
      </c>
      <c r="AE53" s="1266"/>
      <c r="DP53" s="223"/>
    </row>
    <row r="54" spans="1:120">
      <c r="B54" s="4785"/>
      <c r="C54" s="890" t="s">
        <v>1652</v>
      </c>
      <c r="D54" s="851" t="s">
        <v>1652</v>
      </c>
      <c r="E54" s="3479">
        <f>'[22]21 - Consumption and demand Met'!E73/1000</f>
        <v>550.548</v>
      </c>
      <c r="F54" s="3480">
        <f>'[22]21 - Consumption and demand Met'!F73/1000</f>
        <v>466.16399999999999</v>
      </c>
      <c r="G54" s="3480">
        <f>'[22]21 - Consumption and demand Met'!G73/1000</f>
        <v>457.51100000000002</v>
      </c>
      <c r="H54" s="3480">
        <f>[23]Sheet1!AL191</f>
        <v>509.37596000000002</v>
      </c>
      <c r="I54" s="3481">
        <f>[23]Sheet1!AM191</f>
        <v>467.09468000000004</v>
      </c>
      <c r="J54" s="3479">
        <f>[23]Sheet1!AN191</f>
        <v>464.98499421416409</v>
      </c>
      <c r="K54" s="3480">
        <f>[23]Sheet1!AO191</f>
        <v>423.08984741024295</v>
      </c>
      <c r="L54" s="3480">
        <f>[23]Sheet1!AP191</f>
        <v>425.15618260130447</v>
      </c>
      <c r="M54" s="3480">
        <f>[23]Sheet1!AQ191</f>
        <v>422.77041421279017</v>
      </c>
      <c r="N54" s="3481">
        <f>[23]Sheet1!AR191</f>
        <v>422.99832517833187</v>
      </c>
      <c r="O54" s="3479">
        <f>[23]Sheet1!AS191</f>
        <v>417.15951179997478</v>
      </c>
      <c r="P54" s="3480">
        <f>[23]Sheet1!AT191</f>
        <v>407.82911439974833</v>
      </c>
      <c r="Q54" s="3480">
        <f>[23]Sheet1!AU191</f>
        <v>398.248621338676</v>
      </c>
      <c r="R54" s="3480">
        <f>[23]Sheet1!AV191</f>
        <v>387.26581160072129</v>
      </c>
      <c r="S54" s="3482">
        <f>[23]Sheet1!AW191</f>
        <v>378.53950805568928</v>
      </c>
      <c r="AE54" s="1266"/>
      <c r="DP54" s="223"/>
    </row>
    <row r="55" spans="1:120" ht="13.5" thickBot="1">
      <c r="B55" s="4786"/>
      <c r="C55" s="3483" t="s">
        <v>396</v>
      </c>
      <c r="D55" s="3486"/>
      <c r="E55" s="1681">
        <f t="shared" ref="E55:S55" si="1">SUM(E40:E54)</f>
        <v>5866.2590000000009</v>
      </c>
      <c r="F55" s="1682">
        <f t="shared" si="1"/>
        <v>5470.09</v>
      </c>
      <c r="G55" s="1682">
        <f t="shared" si="1"/>
        <v>5609.3920000000007</v>
      </c>
      <c r="H55" s="1682">
        <f t="shared" si="1"/>
        <v>5524.5005600000004</v>
      </c>
      <c r="I55" s="1684">
        <f t="shared" si="1"/>
        <v>5406.5207600000012</v>
      </c>
      <c r="J55" s="1681">
        <f t="shared" si="1"/>
        <v>5179.2870857078997</v>
      </c>
      <c r="K55" s="1682">
        <f t="shared" si="1"/>
        <v>5004.9573425256458</v>
      </c>
      <c r="L55" s="1682">
        <f t="shared" si="1"/>
        <v>5211.8882826842973</v>
      </c>
      <c r="M55" s="1682">
        <f t="shared" si="1"/>
        <v>4837.5664388035093</v>
      </c>
      <c r="N55" s="1684">
        <f t="shared" si="1"/>
        <v>4826.3770031326821</v>
      </c>
      <c r="O55" s="1681">
        <f t="shared" si="1"/>
        <v>4743.1221125192005</v>
      </c>
      <c r="P55" s="1682">
        <f t="shared" si="1"/>
        <v>4619.4179548003094</v>
      </c>
      <c r="Q55" s="1682">
        <f t="shared" si="1"/>
        <v>4493.9066537554627</v>
      </c>
      <c r="R55" s="1682">
        <f t="shared" si="1"/>
        <v>4352.637985356384</v>
      </c>
      <c r="S55" s="3485">
        <f t="shared" si="1"/>
        <v>4238.1249856617469</v>
      </c>
      <c r="AE55" s="1266"/>
      <c r="DP55" s="223"/>
    </row>
    <row r="56" spans="1:120" s="1428" customFormat="1" ht="24" customHeight="1" thickBot="1">
      <c r="B56" s="3487" t="s">
        <v>1671</v>
      </c>
      <c r="C56" s="3488"/>
      <c r="D56" s="3488"/>
      <c r="E56" s="3489">
        <f>E38+E55</f>
        <v>46282.286</v>
      </c>
      <c r="F56" s="3490">
        <f t="shared" ref="F56:S56" si="2">F38+F55</f>
        <v>44532.676999999996</v>
      </c>
      <c r="G56" s="3490">
        <f t="shared" si="2"/>
        <v>46362.696999999993</v>
      </c>
      <c r="H56" s="3490">
        <f t="shared" si="2"/>
        <v>44655.47234</v>
      </c>
      <c r="I56" s="3491">
        <f t="shared" si="2"/>
        <v>46073.183729999997</v>
      </c>
      <c r="J56" s="3489">
        <f t="shared" si="2"/>
        <v>43440.259083815137</v>
      </c>
      <c r="K56" s="3490">
        <f t="shared" si="2"/>
        <v>41085.533142234097</v>
      </c>
      <c r="L56" s="3490">
        <f t="shared" si="2"/>
        <v>45462.827033162735</v>
      </c>
      <c r="M56" s="3490">
        <f t="shared" si="2"/>
        <v>42540.186923573434</v>
      </c>
      <c r="N56" s="3491">
        <f t="shared" si="2"/>
        <v>42462.581149211634</v>
      </c>
      <c r="O56" s="3489">
        <f t="shared" si="2"/>
        <v>42104.181365589538</v>
      </c>
      <c r="P56" s="3490">
        <f t="shared" si="2"/>
        <v>41579.379491755106</v>
      </c>
      <c r="Q56" s="3490">
        <f t="shared" si="2"/>
        <v>41083.33954909812</v>
      </c>
      <c r="R56" s="3490">
        <f t="shared" si="2"/>
        <v>40491.622160018225</v>
      </c>
      <c r="S56" s="3492">
        <f t="shared" si="2"/>
        <v>39969.368404172637</v>
      </c>
      <c r="T56" s="1429"/>
      <c r="U56" s="1429"/>
      <c r="V56" s="1429"/>
      <c r="W56" s="1429"/>
      <c r="X56" s="1429"/>
      <c r="Y56" s="1429"/>
      <c r="Z56" s="1429"/>
      <c r="AA56" s="1429"/>
      <c r="AB56" s="1429"/>
      <c r="AC56" s="1429"/>
      <c r="AD56" s="1429"/>
      <c r="AE56" s="1429"/>
      <c r="AF56" s="1430"/>
      <c r="AG56" s="1430"/>
      <c r="AH56" s="1430"/>
      <c r="AI56" s="1430"/>
      <c r="AJ56" s="1430"/>
      <c r="AK56" s="1430"/>
      <c r="AL56" s="1430"/>
      <c r="AM56" s="1430"/>
      <c r="AN56" s="1430"/>
      <c r="AO56" s="1430"/>
      <c r="AP56" s="1430"/>
      <c r="AQ56" s="1430"/>
      <c r="AR56" s="1430"/>
      <c r="AS56" s="1430"/>
      <c r="AT56" s="1430"/>
      <c r="AU56" s="1430"/>
      <c r="AV56" s="1430"/>
      <c r="AW56" s="1430"/>
      <c r="AX56" s="1430"/>
      <c r="AY56" s="1430"/>
      <c r="AZ56" s="1430"/>
      <c r="BA56" s="1430"/>
      <c r="BB56" s="1430"/>
      <c r="BC56" s="1430"/>
      <c r="BD56" s="1430"/>
      <c r="BE56" s="1430"/>
      <c r="BF56" s="1430"/>
      <c r="BG56" s="1430"/>
      <c r="BH56" s="1430"/>
      <c r="BI56" s="1430"/>
      <c r="BJ56" s="1430"/>
      <c r="BK56" s="1430"/>
      <c r="BL56" s="1430"/>
      <c r="BM56" s="1430"/>
      <c r="BN56" s="1430"/>
      <c r="BO56" s="1430"/>
      <c r="BP56" s="1430"/>
      <c r="BQ56" s="1430"/>
      <c r="BR56" s="1430"/>
      <c r="BS56" s="1430"/>
      <c r="BT56" s="1430"/>
      <c r="BU56" s="1430"/>
      <c r="BV56" s="1430"/>
      <c r="BW56" s="1430"/>
      <c r="BX56" s="1430"/>
      <c r="BY56" s="1430"/>
      <c r="BZ56" s="1430"/>
      <c r="CA56" s="1430"/>
      <c r="CB56" s="1430"/>
      <c r="CC56" s="1430"/>
      <c r="CD56" s="1430"/>
      <c r="CE56" s="1430"/>
      <c r="CF56" s="1430"/>
      <c r="CG56" s="1430"/>
      <c r="CH56" s="1430"/>
      <c r="CI56" s="1430"/>
      <c r="CJ56" s="1430"/>
      <c r="CK56" s="1430"/>
      <c r="CL56" s="1430"/>
      <c r="CM56" s="1430"/>
      <c r="CN56" s="1430"/>
      <c r="CO56" s="1430"/>
      <c r="CP56" s="1430"/>
      <c r="CQ56" s="1430"/>
      <c r="CR56" s="1430"/>
      <c r="CS56" s="1430"/>
      <c r="CT56" s="1430"/>
      <c r="CU56" s="1430"/>
      <c r="CV56" s="1430"/>
      <c r="CW56" s="1430"/>
      <c r="CX56" s="1430"/>
      <c r="CY56" s="1430"/>
      <c r="CZ56" s="1430"/>
      <c r="DA56" s="1430"/>
      <c r="DB56" s="1430"/>
      <c r="DC56" s="1430"/>
      <c r="DD56" s="1430"/>
      <c r="DE56" s="1430"/>
      <c r="DF56" s="1430"/>
      <c r="DG56" s="1430"/>
      <c r="DH56" s="1430"/>
      <c r="DI56" s="1430"/>
      <c r="DJ56" s="1430"/>
      <c r="DK56" s="1430"/>
      <c r="DL56" s="1430"/>
      <c r="DM56" s="1430"/>
      <c r="DN56" s="1430"/>
      <c r="DO56" s="1430"/>
      <c r="DP56" s="1430"/>
    </row>
    <row r="57" spans="1:120" s="1266" customFormat="1" ht="25.5" customHeight="1" thickBot="1">
      <c r="A57" s="1268"/>
      <c r="B57" s="2269" t="s">
        <v>1655</v>
      </c>
      <c r="C57" s="2271"/>
      <c r="D57" s="2271"/>
      <c r="E57" s="814"/>
      <c r="F57" s="814"/>
      <c r="G57" s="814"/>
      <c r="H57" s="814"/>
      <c r="I57" s="814"/>
      <c r="J57" s="814"/>
      <c r="K57" s="814"/>
      <c r="L57" s="814"/>
      <c r="M57" s="814"/>
      <c r="N57" s="814"/>
      <c r="O57" s="814"/>
      <c r="P57" s="814"/>
      <c r="Q57" s="814"/>
      <c r="R57" s="814"/>
      <c r="S57" s="815"/>
    </row>
    <row r="58" spans="1:120">
      <c r="B58" s="4784" t="s">
        <v>1655</v>
      </c>
      <c r="C58" s="4787" t="s">
        <v>48</v>
      </c>
      <c r="D58" s="4790"/>
      <c r="E58" s="1650">
        <f>'[18]27.2 Customer numbers Metro'!D43</f>
        <v>15.5</v>
      </c>
      <c r="F58" s="1651">
        <f>'[18]27.2 Customer numbers Metro'!E43</f>
        <v>15</v>
      </c>
      <c r="G58" s="1651">
        <f>'[18]27.2 Customer numbers Metro'!F43</f>
        <v>15</v>
      </c>
      <c r="H58" s="1651">
        <f>'[18]27.2 Customer numbers Metro'!G43</f>
        <v>15</v>
      </c>
      <c r="I58" s="1683">
        <f>'[18]27.2 Customer numbers Metro'!H43</f>
        <v>15.5</v>
      </c>
      <c r="J58" s="1650">
        <f>'[18]27.2 Customer numbers Metro'!I43</f>
        <v>16</v>
      </c>
      <c r="K58" s="1651">
        <f>'[18]27.2 Customer numbers Metro'!J43</f>
        <v>15.5</v>
      </c>
      <c r="L58" s="1651">
        <f>'[18]27.2 Customer numbers Metro'!K43</f>
        <v>14.5</v>
      </c>
      <c r="M58" s="1651">
        <f>'[18]27.2 Customer numbers Metro'!L43</f>
        <v>14</v>
      </c>
      <c r="N58" s="1683">
        <f>'[18]27.2 Customer numbers Metro'!M43</f>
        <v>14</v>
      </c>
      <c r="O58" s="1650">
        <f>'[18]27.2 Customer numbers Metro'!N43</f>
        <v>14</v>
      </c>
      <c r="P58" s="1651">
        <f>'[18]27.2 Customer numbers Metro'!O43</f>
        <v>14</v>
      </c>
      <c r="Q58" s="1651">
        <f>'[18]27.2 Customer numbers Metro'!P43</f>
        <v>14</v>
      </c>
      <c r="R58" s="1651">
        <f>'[18]27.2 Customer numbers Metro'!Q43</f>
        <v>14</v>
      </c>
      <c r="S58" s="1652">
        <f>'[18]27.2 Customer numbers Metro'!R43</f>
        <v>14</v>
      </c>
      <c r="AE58" s="1266"/>
      <c r="DP58" s="223"/>
    </row>
    <row r="59" spans="1:120">
      <c r="B59" s="4785"/>
      <c r="C59" s="890" t="s">
        <v>1656</v>
      </c>
      <c r="D59" s="851" t="s">
        <v>1656</v>
      </c>
      <c r="E59" s="3479">
        <f>'[22]21 - Consumption and demand Met'!E90/1000</f>
        <v>8.5449999999999999</v>
      </c>
      <c r="F59" s="3480">
        <f>'[22]21 - Consumption and demand Met'!F90/1000</f>
        <v>8.81</v>
      </c>
      <c r="G59" s="3480">
        <f>'[22]21 - Consumption and demand Met'!G90/1000</f>
        <v>8.5510000000000002</v>
      </c>
      <c r="H59" s="3480">
        <f>'[22]21 - Consumption and demand Met'!H90/1000</f>
        <v>8.5030143034170003</v>
      </c>
      <c r="I59" s="3481">
        <f>[23]Sheet1!AM218</f>
        <v>8.5419999999999998</v>
      </c>
      <c r="J59" s="3479">
        <f>[23]Sheet1!AN218</f>
        <v>7.8849999999999998</v>
      </c>
      <c r="K59" s="3480">
        <f>[23]Sheet1!AO218</f>
        <v>8.23</v>
      </c>
      <c r="L59" s="3480">
        <f>[23]Sheet1!AP218</f>
        <v>7.5609999999999999</v>
      </c>
      <c r="M59" s="3480">
        <f>[23]Sheet1!AQ218</f>
        <v>6.911419058921231</v>
      </c>
      <c r="N59" s="3481">
        <f>[23]Sheet1!AR218</f>
        <v>6.9217631147734897</v>
      </c>
      <c r="O59" s="3479">
        <f>[23]Sheet1!AS218</f>
        <v>6.8262596766181769</v>
      </c>
      <c r="P59" s="3480">
        <f>[23]Sheet1!AT218</f>
        <v>6.7487510044355457</v>
      </c>
      <c r="Q59" s="3480">
        <f>[23]Sheet1!AU218</f>
        <v>6.6956127733035551</v>
      </c>
      <c r="R59" s="3480">
        <f>[23]Sheet1!AV218</f>
        <v>6.6217369950900435</v>
      </c>
      <c r="S59" s="3482">
        <f>[23]Sheet1!AW218</f>
        <v>6.5549262524575198</v>
      </c>
      <c r="AE59" s="1266"/>
      <c r="DP59" s="223"/>
    </row>
    <row r="60" spans="1:120">
      <c r="B60" s="4785"/>
      <c r="C60" s="890" t="s">
        <v>1657</v>
      </c>
      <c r="D60" s="851" t="s">
        <v>1657</v>
      </c>
      <c r="E60" s="3479">
        <f>'[22]21 - Consumption and demand Met'!E91/1000</f>
        <v>32.936999999999998</v>
      </c>
      <c r="F60" s="3480">
        <f>'[22]21 - Consumption and demand Met'!F91/1000</f>
        <v>32.881</v>
      </c>
      <c r="G60" s="3480">
        <f>'[22]21 - Consumption and demand Met'!G91/1000</f>
        <v>32.567999999999998</v>
      </c>
      <c r="H60" s="3480">
        <f>'[22]21 - Consumption and demand Met'!H91/1000</f>
        <v>29.008444948236999</v>
      </c>
      <c r="I60" s="3481">
        <f>[23]Sheet1!AM219</f>
        <v>28.452000000000002</v>
      </c>
      <c r="J60" s="3479">
        <f>[23]Sheet1!AN219</f>
        <v>23.648</v>
      </c>
      <c r="K60" s="3480">
        <f>[23]Sheet1!AO219</f>
        <v>28.216999999999999</v>
      </c>
      <c r="L60" s="3480">
        <f>[23]Sheet1!AP219</f>
        <v>29.681999999999999</v>
      </c>
      <c r="M60" s="3480">
        <f>[23]Sheet1!AQ219</f>
        <v>23.804928619608447</v>
      </c>
      <c r="N60" s="3481">
        <f>[23]Sheet1!AR219</f>
        <v>24.910792016635639</v>
      </c>
      <c r="O60" s="3479">
        <f>[23]Sheet1!AS219</f>
        <v>25.014426575089239</v>
      </c>
      <c r="P60" s="3480">
        <f>[23]Sheet1!AT219</f>
        <v>24.08518142236889</v>
      </c>
      <c r="Q60" s="3480">
        <f>[23]Sheet1!AU219</f>
        <v>24.176730671270633</v>
      </c>
      <c r="R60" s="3480">
        <f>[23]Sheet1!AV219</f>
        <v>23.936937298451394</v>
      </c>
      <c r="S60" s="3482">
        <f>[23]Sheet1!AW219</f>
        <v>23.584957468083029</v>
      </c>
      <c r="AE60" s="1266"/>
      <c r="DP60" s="223"/>
    </row>
    <row r="61" spans="1:120">
      <c r="B61" s="4785"/>
      <c r="C61" s="890" t="s">
        <v>1658</v>
      </c>
      <c r="D61" s="851" t="s">
        <v>1658</v>
      </c>
      <c r="E61" s="3479">
        <f>'[22]21 - Consumption and demand Met'!E102/1000</f>
        <v>4.4610000000000003</v>
      </c>
      <c r="F61" s="3480">
        <f>'[22]21 - Consumption and demand Met'!F102/1000</f>
        <v>4.4980000000000002</v>
      </c>
      <c r="G61" s="3480">
        <f>'[22]21 - Consumption and demand Met'!G102/1000</f>
        <v>4.3079999999999998</v>
      </c>
      <c r="H61" s="3480">
        <f>'[22]21 - Consumption and demand Met'!H102/1000</f>
        <v>4.3056174335730004</v>
      </c>
      <c r="I61" s="3481">
        <f>[23]Sheet1!AM226</f>
        <v>4.1859999999999999</v>
      </c>
      <c r="J61" s="3479">
        <f>[23]Sheet1!AN226</f>
        <v>4.2050000000000001</v>
      </c>
      <c r="K61" s="3480">
        <f>[23]Sheet1!AO226</f>
        <v>3.9559999999999995</v>
      </c>
      <c r="L61" s="3480">
        <f>[23]Sheet1!AP226</f>
        <v>3.6970000000000001</v>
      </c>
      <c r="M61" s="3480">
        <f>[23]Sheet1!AQ226</f>
        <v>3.4615749945438927</v>
      </c>
      <c r="N61" s="3481">
        <f>[23]Sheet1!AR226</f>
        <v>3.3887323787782351</v>
      </c>
      <c r="O61" s="3479">
        <f>[23]Sheet1!AS226</f>
        <v>3.3653760175463301</v>
      </c>
      <c r="P61" s="3480">
        <f>[23]Sheet1!AT226</f>
        <v>3.3371232410170242</v>
      </c>
      <c r="Q61" s="3480">
        <f>[23]Sheet1!AU226</f>
        <v>3.2964690015315852</v>
      </c>
      <c r="R61" s="3480">
        <f>[23]Sheet1!AV226</f>
        <v>3.2663296316310135</v>
      </c>
      <c r="S61" s="3482">
        <f>[23]Sheet1!AW226</f>
        <v>3.2339744788986744</v>
      </c>
      <c r="AE61" s="1266"/>
      <c r="DP61" s="223"/>
    </row>
    <row r="62" spans="1:120">
      <c r="B62" s="4785"/>
      <c r="C62" s="890" t="s">
        <v>1659</v>
      </c>
      <c r="D62" s="851" t="s">
        <v>1659</v>
      </c>
      <c r="E62" s="3479">
        <f>'[22]21 - Consumption and demand Met'!E103/1000</f>
        <v>21.797999999999998</v>
      </c>
      <c r="F62" s="3480">
        <f>'[22]21 - Consumption and demand Met'!F103/1000</f>
        <v>13.736000000000001</v>
      </c>
      <c r="G62" s="3480">
        <f>'[22]21 - Consumption and demand Met'!G103/1000</f>
        <v>11.337999999999999</v>
      </c>
      <c r="H62" s="3480">
        <f>'[22]21 - Consumption and demand Met'!H103/1000</f>
        <v>11.452635576623001</v>
      </c>
      <c r="I62" s="3481">
        <f>[23]Sheet1!AM227</f>
        <v>11.363</v>
      </c>
      <c r="J62" s="3479">
        <f>[23]Sheet1!AN227</f>
        <v>10.931000000000001</v>
      </c>
      <c r="K62" s="3480">
        <f>[23]Sheet1!AO227</f>
        <v>9.5120000000000005</v>
      </c>
      <c r="L62" s="3480">
        <f>[23]Sheet1!AP227</f>
        <v>9.7370000000000001</v>
      </c>
      <c r="M62" s="3480">
        <f>[23]Sheet1!AQ227</f>
        <v>8.8101141284647202</v>
      </c>
      <c r="N62" s="3481">
        <f>[23]Sheet1!AR227</f>
        <v>8.5549675640894112</v>
      </c>
      <c r="O62" s="3479">
        <f>[23]Sheet1!AS227</f>
        <v>8.6475810863730214</v>
      </c>
      <c r="P62" s="3480">
        <f>[23]Sheet1!AT227</f>
        <v>8.4974698411161889</v>
      </c>
      <c r="Q62" s="3480">
        <f>[23]Sheet1!AU227</f>
        <v>8.3953393739156805</v>
      </c>
      <c r="R62" s="3480">
        <f>[23]Sheet1!AV227</f>
        <v>8.343194165125599</v>
      </c>
      <c r="S62" s="3482">
        <f>[23]Sheet1!AW227</f>
        <v>8.2437611041847703</v>
      </c>
      <c r="AE62" s="1266"/>
      <c r="DP62" s="223"/>
    </row>
    <row r="63" spans="1:120">
      <c r="B63" s="4785"/>
      <c r="C63" s="890" t="s">
        <v>1660</v>
      </c>
      <c r="D63" s="851" t="s">
        <v>1660</v>
      </c>
      <c r="E63" s="3479">
        <f>'[22]21 - Consumption and demand Met'!E96/1000</f>
        <v>9.9890000000000008</v>
      </c>
      <c r="F63" s="3480">
        <f>'[22]21 - Consumption and demand Met'!F96/1000</f>
        <v>11.352</v>
      </c>
      <c r="G63" s="3480">
        <f>'[22]21 - Consumption and demand Met'!G96/1000</f>
        <v>11.087999999999999</v>
      </c>
      <c r="H63" s="3480">
        <f>'[22]21 - Consumption and demand Met'!H96/1000</f>
        <v>11.464712964607001</v>
      </c>
      <c r="I63" s="3481">
        <f>[23]Sheet1!AM222</f>
        <v>10.397</v>
      </c>
      <c r="J63" s="3479">
        <f>[23]Sheet1!AN222</f>
        <v>10.723000000000001</v>
      </c>
      <c r="K63" s="3480">
        <f>[23]Sheet1!AO222</f>
        <v>10.856999999999999</v>
      </c>
      <c r="L63" s="3480">
        <f>[23]Sheet1!AP222</f>
        <v>10.686999999999999</v>
      </c>
      <c r="M63" s="3480">
        <f>[23]Sheet1!AQ222</f>
        <v>9.4192523635890737</v>
      </c>
      <c r="N63" s="3481">
        <f>[23]Sheet1!AR222</f>
        <v>9.4403612985926504</v>
      </c>
      <c r="O63" s="3479">
        <f>[23]Sheet1!AS222</f>
        <v>9.4273885172907637</v>
      </c>
      <c r="P63" s="3480">
        <f>[23]Sheet1!AT222</f>
        <v>9.2404207119610149</v>
      </c>
      <c r="Q63" s="3480">
        <f>[23]Sheet1!AU222</f>
        <v>9.1820023724291797</v>
      </c>
      <c r="R63" s="3480">
        <f>[23]Sheet1!AV222</f>
        <v>9.0976051232157804</v>
      </c>
      <c r="S63" s="3482">
        <f>[23]Sheet1!AW222</f>
        <v>8.9898758811512831</v>
      </c>
      <c r="AE63" s="1266"/>
      <c r="DP63" s="223"/>
    </row>
    <row r="64" spans="1:120">
      <c r="B64" s="4785"/>
      <c r="C64" s="890" t="s">
        <v>1661</v>
      </c>
      <c r="D64" s="851" t="s">
        <v>1661</v>
      </c>
      <c r="E64" s="3479">
        <f>'[22]21 - Consumption and demand Met'!E97/1000</f>
        <v>22.872</v>
      </c>
      <c r="F64" s="3480">
        <f>'[22]21 - Consumption and demand Met'!F97/1000</f>
        <v>20.800999999999998</v>
      </c>
      <c r="G64" s="3480">
        <f>'[22]21 - Consumption and demand Met'!G97/1000</f>
        <v>19.116</v>
      </c>
      <c r="H64" s="3480">
        <f>'[22]21 - Consumption and demand Met'!H97/1000</f>
        <v>18.566363041306001</v>
      </c>
      <c r="I64" s="3481">
        <f>[23]Sheet1!AM223</f>
        <v>16.887</v>
      </c>
      <c r="J64" s="3479">
        <f>[23]Sheet1!AN223</f>
        <v>16.151</v>
      </c>
      <c r="K64" s="3480">
        <f>[23]Sheet1!AO223</f>
        <v>17.478999999999999</v>
      </c>
      <c r="L64" s="3480">
        <f>[23]Sheet1!AP223</f>
        <v>17.308</v>
      </c>
      <c r="M64" s="3480">
        <f>[23]Sheet1!AQ223</f>
        <v>14.86961530035331</v>
      </c>
      <c r="N64" s="3481">
        <f>[23]Sheet1!AR223</f>
        <v>15.139765803537228</v>
      </c>
      <c r="O64" s="3479">
        <f>[23]Sheet1!AS223</f>
        <v>15.097477510867831</v>
      </c>
      <c r="P64" s="3480">
        <f>[23]Sheet1!AT223</f>
        <v>14.734907147487736</v>
      </c>
      <c r="Q64" s="3480">
        <f>[23]Sheet1!AU223</f>
        <v>14.690902484218315</v>
      </c>
      <c r="R64" s="3480">
        <f>[23]Sheet1!AV223</f>
        <v>14.544273799907463</v>
      </c>
      <c r="S64" s="3482">
        <f>[23]Sheet1!AW223</f>
        <v>14.363560587660411</v>
      </c>
      <c r="AE64" s="1266"/>
      <c r="DP64" s="223"/>
    </row>
    <row r="65" spans="2:120">
      <c r="B65" s="4785"/>
      <c r="C65" s="890"/>
      <c r="D65" s="851"/>
      <c r="E65" s="3479"/>
      <c r="F65" s="3480"/>
      <c r="G65" s="3480"/>
      <c r="H65" s="3480"/>
      <c r="I65" s="3481"/>
      <c r="J65" s="3479"/>
      <c r="K65" s="3480"/>
      <c r="L65" s="3480"/>
      <c r="M65" s="3480"/>
      <c r="N65" s="3481"/>
      <c r="O65" s="3479"/>
      <c r="P65" s="3480"/>
      <c r="Q65" s="3480"/>
      <c r="R65" s="3480"/>
      <c r="S65" s="3482"/>
      <c r="AE65" s="1266"/>
      <c r="DP65" s="223"/>
    </row>
    <row r="66" spans="2:120">
      <c r="B66" s="4785"/>
      <c r="C66" s="890" t="s">
        <v>1662</v>
      </c>
      <c r="D66" s="851" t="s">
        <v>1662</v>
      </c>
      <c r="E66" s="3479">
        <f>'[22]21 - Consumption and demand Met'!E123</f>
        <v>69.39</v>
      </c>
      <c r="F66" s="3480">
        <f>'[22]21 - Consumption and demand Met'!F123</f>
        <v>63.97</v>
      </c>
      <c r="G66" s="3480">
        <f>'[22]21 - Consumption and demand Met'!G123</f>
        <v>60.21</v>
      </c>
      <c r="H66" s="3480">
        <f>'[22]21 - Consumption and demand Met'!H123</f>
        <v>60.218406423999994</v>
      </c>
      <c r="I66" s="3481">
        <f>[23]Sheet1!AM208</f>
        <v>55.889917743250003</v>
      </c>
      <c r="J66" s="3479">
        <f>[23]Sheet1!AN208</f>
        <v>57.587318879333331</v>
      </c>
      <c r="K66" s="3480">
        <f>[23]Sheet1!AO208</f>
        <v>57.457949961166662</v>
      </c>
      <c r="L66" s="3480">
        <f>[23]Sheet1!AP208</f>
        <v>57.139113932166673</v>
      </c>
      <c r="M66" s="3480">
        <f>[23]Sheet1!AQ208</f>
        <v>50.415929272415056</v>
      </c>
      <c r="N66" s="3481">
        <f>[23]Sheet1!AR208</f>
        <v>51.062048231818764</v>
      </c>
      <c r="O66" s="3479">
        <f>[23]Sheet1!AS208</f>
        <v>51.075270979134245</v>
      </c>
      <c r="P66" s="3480">
        <f>[23]Sheet1!AT208</f>
        <v>50.036054426841702</v>
      </c>
      <c r="Q66" s="3480">
        <f>[23]Sheet1!AU208</f>
        <v>49.911805845550383</v>
      </c>
      <c r="R66" s="3480">
        <f>[23]Sheet1!AV208</f>
        <v>49.53462680332138</v>
      </c>
      <c r="S66" s="3482">
        <f>[23]Sheet1!AW208</f>
        <v>49.028760659808512</v>
      </c>
      <c r="AE66" s="1266"/>
      <c r="DP66" s="223"/>
    </row>
    <row r="67" spans="2:120">
      <c r="B67" s="4785"/>
      <c r="C67" s="890" t="s">
        <v>1663</v>
      </c>
      <c r="D67" s="851" t="s">
        <v>1663</v>
      </c>
      <c r="E67" s="3479">
        <f>'[22]21 - Consumption and demand Met'!E124</f>
        <v>54.23</v>
      </c>
      <c r="F67" s="3480">
        <f>'[22]21 - Consumption and demand Met'!F124</f>
        <v>51.47</v>
      </c>
      <c r="G67" s="3480">
        <f>'[22]21 - Consumption and demand Met'!G124</f>
        <v>48.66</v>
      </c>
      <c r="H67" s="3480">
        <f>'[22]21 - Consumption and demand Met'!H124</f>
        <v>54.904808908</v>
      </c>
      <c r="I67" s="3481">
        <f>[23]Sheet1!AM209</f>
        <v>47.302226428250002</v>
      </c>
      <c r="J67" s="3479">
        <f>[23]Sheet1!AN209</f>
        <v>46.986925232749996</v>
      </c>
      <c r="K67" s="3480">
        <f>[23]Sheet1!AO209</f>
        <v>54.157248573999993</v>
      </c>
      <c r="L67" s="3480">
        <f>[23]Sheet1!AP209</f>
        <v>53.151263849000003</v>
      </c>
      <c r="M67" s="3480">
        <f>[23]Sheet1!AQ209</f>
        <v>44.563256583280562</v>
      </c>
      <c r="N67" s="3481">
        <f>[23]Sheet1!AR209</f>
        <v>45.615983837854778</v>
      </c>
      <c r="O67" s="3479">
        <f>[23]Sheet1!AS209</f>
        <v>46.681654791473143</v>
      </c>
      <c r="P67" s="3480">
        <f>[23]Sheet1!AT209</f>
        <v>45.340033480704399</v>
      </c>
      <c r="Q67" s="3480">
        <f>[23]Sheet1!AU209</f>
        <v>44.88873423810621</v>
      </c>
      <c r="R67" s="3480">
        <f>[23]Sheet1!AV209</f>
        <v>44.740427988444253</v>
      </c>
      <c r="S67" s="3482">
        <f>[23]Sheet1!AW209</f>
        <v>44.406739281146059</v>
      </c>
      <c r="AE67" s="1266"/>
      <c r="DP67" s="223"/>
    </row>
    <row r="68" spans="2:120" ht="13.5" thickBot="1">
      <c r="B68" s="4786"/>
      <c r="C68" s="4802" t="s">
        <v>396</v>
      </c>
      <c r="D68" s="4803"/>
      <c r="E68" s="1681">
        <f t="shared" ref="E68:S68" si="3">SUM(E59:E64)</f>
        <v>100.602</v>
      </c>
      <c r="F68" s="1682">
        <f t="shared" si="3"/>
        <v>92.078000000000003</v>
      </c>
      <c r="G68" s="1682">
        <f t="shared" si="3"/>
        <v>86.968999999999994</v>
      </c>
      <c r="H68" s="1682">
        <f t="shared" si="3"/>
        <v>83.300788267763011</v>
      </c>
      <c r="I68" s="1684">
        <f t="shared" si="3"/>
        <v>79.826999999999998</v>
      </c>
      <c r="J68" s="1681">
        <f t="shared" si="3"/>
        <v>73.542999999999992</v>
      </c>
      <c r="K68" s="1682">
        <f t="shared" si="3"/>
        <v>78.251000000000005</v>
      </c>
      <c r="L68" s="1682">
        <f t="shared" si="3"/>
        <v>78.671999999999997</v>
      </c>
      <c r="M68" s="1682">
        <f t="shared" si="3"/>
        <v>67.276904465480669</v>
      </c>
      <c r="N68" s="1684">
        <f t="shared" si="3"/>
        <v>68.356382176406655</v>
      </c>
      <c r="O68" s="1681">
        <f t="shared" si="3"/>
        <v>68.378509383785371</v>
      </c>
      <c r="P68" s="1682">
        <f t="shared" si="3"/>
        <v>66.643853368386402</v>
      </c>
      <c r="Q68" s="1682">
        <f t="shared" si="3"/>
        <v>66.437056676668959</v>
      </c>
      <c r="R68" s="1682">
        <f t="shared" si="3"/>
        <v>65.810077013421292</v>
      </c>
      <c r="S68" s="3485">
        <f t="shared" si="3"/>
        <v>64.97105577243569</v>
      </c>
      <c r="AE68" s="1266"/>
      <c r="DP68" s="223"/>
    </row>
    <row r="69" spans="2:120" s="1428" customFormat="1" ht="24" customHeight="1" thickBot="1">
      <c r="B69" s="3487" t="s">
        <v>1664</v>
      </c>
      <c r="C69" s="3488"/>
      <c r="D69" s="3488"/>
      <c r="E69" s="3489">
        <f>SUM(E59:E64)</f>
        <v>100.602</v>
      </c>
      <c r="F69" s="3490">
        <f t="shared" ref="F69:S69" si="4">SUM(F59:F64)</f>
        <v>92.078000000000003</v>
      </c>
      <c r="G69" s="3490">
        <f t="shared" si="4"/>
        <v>86.968999999999994</v>
      </c>
      <c r="H69" s="3490">
        <f t="shared" si="4"/>
        <v>83.300788267763011</v>
      </c>
      <c r="I69" s="3491">
        <f t="shared" si="4"/>
        <v>79.826999999999998</v>
      </c>
      <c r="J69" s="3489">
        <f t="shared" si="4"/>
        <v>73.542999999999992</v>
      </c>
      <c r="K69" s="3490">
        <f t="shared" si="4"/>
        <v>78.251000000000005</v>
      </c>
      <c r="L69" s="3490">
        <f t="shared" si="4"/>
        <v>78.671999999999997</v>
      </c>
      <c r="M69" s="3490">
        <f t="shared" si="4"/>
        <v>67.276904465480669</v>
      </c>
      <c r="N69" s="3491">
        <f t="shared" si="4"/>
        <v>68.356382176406655</v>
      </c>
      <c r="O69" s="3489">
        <f t="shared" si="4"/>
        <v>68.378509383785371</v>
      </c>
      <c r="P69" s="3490">
        <f t="shared" si="4"/>
        <v>66.643853368386402</v>
      </c>
      <c r="Q69" s="3490">
        <f t="shared" si="4"/>
        <v>66.437056676668959</v>
      </c>
      <c r="R69" s="3490">
        <f t="shared" si="4"/>
        <v>65.810077013421292</v>
      </c>
      <c r="S69" s="3492">
        <f t="shared" si="4"/>
        <v>64.97105577243569</v>
      </c>
      <c r="T69" s="1429"/>
      <c r="U69" s="1429"/>
      <c r="V69" s="1429"/>
      <c r="W69" s="1429"/>
      <c r="X69" s="1429"/>
      <c r="Y69" s="1429"/>
      <c r="Z69" s="1429"/>
      <c r="AA69" s="1429"/>
      <c r="AB69" s="1429"/>
      <c r="AC69" s="1429"/>
      <c r="AD69" s="1429"/>
      <c r="AE69" s="1429"/>
      <c r="AF69" s="1430"/>
      <c r="AG69" s="1430"/>
      <c r="AH69" s="1430"/>
      <c r="AI69" s="1430"/>
      <c r="AJ69" s="1430"/>
      <c r="AK69" s="1430"/>
      <c r="AL69" s="1430"/>
      <c r="AM69" s="1430"/>
      <c r="AN69" s="1430"/>
      <c r="AO69" s="1430"/>
      <c r="AP69" s="1430"/>
      <c r="AQ69" s="1430"/>
      <c r="AR69" s="1430"/>
      <c r="AS69" s="1430"/>
      <c r="AT69" s="1430"/>
      <c r="AU69" s="1430"/>
      <c r="AV69" s="1430"/>
      <c r="AW69" s="1430"/>
      <c r="AX69" s="1430"/>
      <c r="AY69" s="1430"/>
      <c r="AZ69" s="1430"/>
      <c r="BA69" s="1430"/>
      <c r="BB69" s="1430"/>
      <c r="BC69" s="1430"/>
      <c r="BD69" s="1430"/>
      <c r="BE69" s="1430"/>
      <c r="BF69" s="1430"/>
      <c r="BG69" s="1430"/>
      <c r="BH69" s="1430"/>
      <c r="BI69" s="1430"/>
      <c r="BJ69" s="1430"/>
      <c r="BK69" s="1430"/>
      <c r="BL69" s="1430"/>
      <c r="BM69" s="1430"/>
      <c r="BN69" s="1430"/>
      <c r="BO69" s="1430"/>
      <c r="BP69" s="1430"/>
      <c r="BQ69" s="1430"/>
      <c r="BR69" s="1430"/>
      <c r="BS69" s="1430"/>
      <c r="BT69" s="1430"/>
      <c r="BU69" s="1430"/>
      <c r="BV69" s="1430"/>
      <c r="BW69" s="1430"/>
      <c r="BX69" s="1430"/>
      <c r="BY69" s="1430"/>
      <c r="BZ69" s="1430"/>
      <c r="CA69" s="1430"/>
      <c r="CB69" s="1430"/>
      <c r="CC69" s="1430"/>
      <c r="CD69" s="1430"/>
      <c r="CE69" s="1430"/>
      <c r="CF69" s="1430"/>
      <c r="CG69" s="1430"/>
      <c r="CH69" s="1430"/>
      <c r="CI69" s="1430"/>
      <c r="CJ69" s="1430"/>
      <c r="CK69" s="1430"/>
      <c r="CL69" s="1430"/>
      <c r="CM69" s="1430"/>
      <c r="CN69" s="1430"/>
      <c r="CO69" s="1430"/>
      <c r="CP69" s="1430"/>
      <c r="CQ69" s="1430"/>
      <c r="CR69" s="1430"/>
      <c r="CS69" s="1430"/>
      <c r="CT69" s="1430"/>
      <c r="CU69" s="1430"/>
      <c r="CV69" s="1430"/>
      <c r="CW69" s="1430"/>
      <c r="CX69" s="1430"/>
      <c r="CY69" s="1430"/>
      <c r="CZ69" s="1430"/>
      <c r="DA69" s="1430"/>
      <c r="DB69" s="1430"/>
      <c r="DC69" s="1430"/>
      <c r="DD69" s="1430"/>
      <c r="DE69" s="1430"/>
      <c r="DF69" s="1430"/>
      <c r="DG69" s="1430"/>
      <c r="DH69" s="1430"/>
      <c r="DI69" s="1430"/>
      <c r="DJ69" s="1430"/>
      <c r="DK69" s="1430"/>
      <c r="DL69" s="1430"/>
      <c r="DM69" s="1430"/>
      <c r="DN69" s="1430"/>
      <c r="DO69" s="1430"/>
      <c r="DP69" s="1430"/>
    </row>
    <row r="70" spans="2:120" s="1266" customFormat="1" ht="24" customHeight="1" thickBot="1">
      <c r="B70" s="2269" t="s">
        <v>1622</v>
      </c>
      <c r="C70" s="2271"/>
      <c r="D70" s="2271"/>
      <c r="E70" s="814"/>
      <c r="F70" s="814"/>
      <c r="G70" s="814"/>
      <c r="H70" s="814"/>
      <c r="I70" s="814"/>
      <c r="J70" s="814"/>
      <c r="K70" s="814"/>
      <c r="L70" s="814"/>
      <c r="M70" s="814"/>
      <c r="N70" s="814"/>
      <c r="O70" s="814"/>
      <c r="P70" s="814"/>
      <c r="Q70" s="814"/>
      <c r="R70" s="814"/>
      <c r="S70" s="815"/>
    </row>
    <row r="71" spans="2:120" s="1266" customFormat="1" ht="32.25" customHeight="1">
      <c r="B71" s="4784" t="s">
        <v>1622</v>
      </c>
      <c r="C71" s="4787" t="s">
        <v>48</v>
      </c>
      <c r="D71" s="4790"/>
      <c r="E71" s="1650">
        <f>'[18]27.2 Customer numbers Metro'!D52</f>
        <v>264</v>
      </c>
      <c r="F71" s="1651">
        <f>'[18]27.2 Customer numbers Metro'!E52</f>
        <v>263</v>
      </c>
      <c r="G71" s="1651">
        <f>'[18]27.2 Customer numbers Metro'!F52</f>
        <v>266.5</v>
      </c>
      <c r="H71" s="1651">
        <f>'[18]27.2 Customer numbers Metro'!G52</f>
        <v>266.5</v>
      </c>
      <c r="I71" s="1683">
        <f>'[18]27.2 Customer numbers Metro'!H52</f>
        <v>263.92953020134229</v>
      </c>
      <c r="J71" s="1650">
        <f>'[18]27.2 Customer numbers Metro'!I52</f>
        <v>264.42953020134229</v>
      </c>
      <c r="K71" s="1651">
        <f>'[18]27.2 Customer numbers Metro'!J52</f>
        <v>264.36937982540246</v>
      </c>
      <c r="L71" s="1651">
        <f>'[18]27.2 Customer numbers Metro'!K52</f>
        <v>265.40294791088456</v>
      </c>
      <c r="M71" s="1651">
        <f>'[18]27.2 Customer numbers Metro'!L52</f>
        <v>264.04909097372638</v>
      </c>
      <c r="N71" s="1683">
        <f>'[18]27.2 Customer numbers Metro'!M52</f>
        <v>261.8370540442171</v>
      </c>
      <c r="O71" s="1650">
        <f>'[18]27.2 Customer numbers Metro'!N52</f>
        <v>261.79881635583899</v>
      </c>
      <c r="P71" s="1651">
        <f>'[18]27.2 Customer numbers Metro'!O52</f>
        <v>258.97381325930087</v>
      </c>
      <c r="Q71" s="1651">
        <f>'[18]27.2 Customer numbers Metro'!P52</f>
        <v>255.66053597802832</v>
      </c>
      <c r="R71" s="1651">
        <f>'[18]27.2 Customer numbers Metro'!Q52</f>
        <v>251.79948311176776</v>
      </c>
      <c r="S71" s="1652">
        <f>'[18]27.2 Customer numbers Metro'!R52</f>
        <v>248.52242617198456</v>
      </c>
    </row>
    <row r="72" spans="2:120">
      <c r="B72" s="4785"/>
      <c r="C72" s="890" t="s">
        <v>1665</v>
      </c>
      <c r="D72" s="851" t="s">
        <v>1665</v>
      </c>
      <c r="E72" s="3479">
        <f>'[22]21 - Consumption and demand Met'!E113</f>
        <v>3056</v>
      </c>
      <c r="F72" s="3480">
        <f>'[22]21 - Consumption and demand Met'!F113</f>
        <v>3054</v>
      </c>
      <c r="G72" s="3480">
        <f>'[22]21 - Consumption and demand Met'!G113</f>
        <v>3067</v>
      </c>
      <c r="H72" s="3480">
        <f>'[22]21 - Consumption and demand Met'!H113</f>
        <v>3101.72</v>
      </c>
      <c r="I72" s="3493">
        <f>[23]Sheet1!AM90*0.88</f>
        <v>3036.1671999999999</v>
      </c>
      <c r="J72" s="3479">
        <f>[23]Sheet1!AN90*0.88</f>
        <v>3090.4984000000004</v>
      </c>
      <c r="K72" s="3480">
        <f>[23]Sheet1!AO90*0.88</f>
        <v>3141.0807999999997</v>
      </c>
      <c r="L72" s="3480">
        <f>[23]Sheet1!AP90*0.88</f>
        <v>3102.6952000000001</v>
      </c>
      <c r="M72" s="3480">
        <f>[23]Sheet1!AQ90*0.88</f>
        <v>3054.5531536433273</v>
      </c>
      <c r="N72" s="3493">
        <f>[23]Sheet1!AR90*0.88</f>
        <v>3023.936274174383</v>
      </c>
      <c r="O72" s="3479">
        <f>[23]Sheet1!AS90*0.88</f>
        <v>3008.4514099515172</v>
      </c>
      <c r="P72" s="3480">
        <f>[23]Sheet1!AT90*0.88</f>
        <v>2979.5783429059861</v>
      </c>
      <c r="Q72" s="3480">
        <f>[23]Sheet1!AU90*0.88</f>
        <v>2945.9458930723699</v>
      </c>
      <c r="R72" s="3480">
        <f>[23]Sheet1!AV90*0.88</f>
        <v>2928.3564825786088</v>
      </c>
      <c r="S72" s="3494">
        <f>[23]Sheet1!AW90*0.88</f>
        <v>2900.1438889521442</v>
      </c>
    </row>
    <row r="73" spans="2:120">
      <c r="B73" s="4785"/>
      <c r="C73" s="890" t="s">
        <v>1666</v>
      </c>
      <c r="D73" s="851" t="s">
        <v>1666</v>
      </c>
      <c r="E73" s="3479">
        <f>'[22]21 - Consumption and demand Met'!E114</f>
        <v>502</v>
      </c>
      <c r="F73" s="3480">
        <f>'[22]21 - Consumption and demand Met'!F114</f>
        <v>478</v>
      </c>
      <c r="G73" s="3480">
        <f>'[22]21 - Consumption and demand Met'!G114</f>
        <v>406</v>
      </c>
      <c r="H73" s="3480">
        <f>'[22]21 - Consumption and demand Met'!H114</f>
        <v>415.47</v>
      </c>
      <c r="I73" s="3493">
        <f>[23]Sheet1!AM90-I72</f>
        <v>414.02280000000019</v>
      </c>
      <c r="J73" s="3479">
        <f>[23]Sheet1!AN90-J72</f>
        <v>421.43159999999989</v>
      </c>
      <c r="K73" s="3480">
        <f>[23]Sheet1!AO90-K72</f>
        <v>428.32920000000013</v>
      </c>
      <c r="L73" s="3480">
        <f>[23]Sheet1!AP90-L72</f>
        <v>423.09479999999985</v>
      </c>
      <c r="M73" s="3480">
        <f>[23]Sheet1!AQ90-M72</f>
        <v>416.52997549681731</v>
      </c>
      <c r="N73" s="3493">
        <f>[23]Sheet1!AR90-N72</f>
        <v>412.35494647832502</v>
      </c>
      <c r="O73" s="3479">
        <f>[23]Sheet1!AS90-O72</f>
        <v>410.24337408429756</v>
      </c>
      <c r="P73" s="3480">
        <f>[23]Sheet1!AT90-P72</f>
        <v>406.30613766899796</v>
      </c>
      <c r="Q73" s="3480">
        <f>[23]Sheet1!AU90-Q72</f>
        <v>401.71989450986848</v>
      </c>
      <c r="R73" s="3480">
        <f>[23]Sheet1!AV90-R72</f>
        <v>399.32133853344658</v>
      </c>
      <c r="S73" s="3494">
        <f>[23]Sheet1!AW90-S72</f>
        <v>395.47416667529251</v>
      </c>
    </row>
    <row r="74" spans="2:120" ht="13.5" thickBot="1">
      <c r="B74" s="4786"/>
      <c r="C74" s="4802" t="s">
        <v>396</v>
      </c>
      <c r="D74" s="4803"/>
      <c r="E74" s="1681">
        <f t="shared" ref="E74:S74" si="5">SUM(E72:E73)</f>
        <v>3558</v>
      </c>
      <c r="F74" s="1682">
        <f t="shared" si="5"/>
        <v>3532</v>
      </c>
      <c r="G74" s="1682">
        <f t="shared" si="5"/>
        <v>3473</v>
      </c>
      <c r="H74" s="1682">
        <f t="shared" si="5"/>
        <v>3517.1899999999996</v>
      </c>
      <c r="I74" s="1684">
        <f t="shared" si="5"/>
        <v>3450.19</v>
      </c>
      <c r="J74" s="1681">
        <f t="shared" si="5"/>
        <v>3511.9300000000003</v>
      </c>
      <c r="K74" s="1682">
        <f t="shared" si="5"/>
        <v>3569.41</v>
      </c>
      <c r="L74" s="1682">
        <f t="shared" si="5"/>
        <v>3525.79</v>
      </c>
      <c r="M74" s="1682">
        <f t="shared" si="5"/>
        <v>3471.0831291401446</v>
      </c>
      <c r="N74" s="1684">
        <f t="shared" si="5"/>
        <v>3436.291220652708</v>
      </c>
      <c r="O74" s="1681">
        <f t="shared" si="5"/>
        <v>3418.6947840358148</v>
      </c>
      <c r="P74" s="1682">
        <f t="shared" si="5"/>
        <v>3385.8844805749841</v>
      </c>
      <c r="Q74" s="1682">
        <f t="shared" si="5"/>
        <v>3347.6657875822384</v>
      </c>
      <c r="R74" s="1682">
        <f t="shared" si="5"/>
        <v>3327.6778211120554</v>
      </c>
      <c r="S74" s="3485">
        <f t="shared" si="5"/>
        <v>3295.6180556274367</v>
      </c>
    </row>
    <row r="75" spans="2:120" ht="13.5" thickBot="1">
      <c r="B75" s="3487" t="s">
        <v>65</v>
      </c>
      <c r="C75" s="3488"/>
      <c r="D75" s="3488"/>
      <c r="E75" s="1686">
        <f t="shared" ref="E75:S75" ca="1" si="6">SUMIF(C71:D74,"total",E71:E74)</f>
        <v>0</v>
      </c>
      <c r="F75" s="1687">
        <f t="shared" ca="1" si="6"/>
        <v>0</v>
      </c>
      <c r="G75" s="1687">
        <f t="shared" ca="1" si="6"/>
        <v>0</v>
      </c>
      <c r="H75" s="1687">
        <f t="shared" ca="1" si="6"/>
        <v>0</v>
      </c>
      <c r="I75" s="1688">
        <f t="shared" ca="1" si="6"/>
        <v>0</v>
      </c>
      <c r="J75" s="1686">
        <f t="shared" ca="1" si="6"/>
        <v>0</v>
      </c>
      <c r="K75" s="1687">
        <f t="shared" ca="1" si="6"/>
        <v>0</v>
      </c>
      <c r="L75" s="1687">
        <f t="shared" ca="1" si="6"/>
        <v>0</v>
      </c>
      <c r="M75" s="1687">
        <f t="shared" ca="1" si="6"/>
        <v>0</v>
      </c>
      <c r="N75" s="1688">
        <f t="shared" ca="1" si="6"/>
        <v>0</v>
      </c>
      <c r="O75" s="1686">
        <f t="shared" ca="1" si="6"/>
        <v>0</v>
      </c>
      <c r="P75" s="1687">
        <f t="shared" ca="1" si="6"/>
        <v>0</v>
      </c>
      <c r="Q75" s="1687">
        <f t="shared" ca="1" si="6"/>
        <v>0</v>
      </c>
      <c r="R75" s="1687">
        <f t="shared" ca="1" si="6"/>
        <v>0</v>
      </c>
      <c r="S75" s="1689">
        <f t="shared" ca="1" si="6"/>
        <v>0</v>
      </c>
    </row>
    <row r="76" spans="2:120" ht="13.5" thickBot="1"/>
    <row r="77" spans="2:120" s="1428" customFormat="1" ht="24" customHeight="1" thickBot="1">
      <c r="B77" s="3495" t="s">
        <v>1667</v>
      </c>
      <c r="C77" s="3496"/>
      <c r="D77" s="3497"/>
      <c r="E77" s="3489">
        <f>E56+E69</f>
        <v>46382.887999999999</v>
      </c>
      <c r="F77" s="3490">
        <f t="shared" ref="F77:S77" si="7">F56+F69</f>
        <v>44624.754999999997</v>
      </c>
      <c r="G77" s="3490">
        <f t="shared" si="7"/>
        <v>46449.66599999999</v>
      </c>
      <c r="H77" s="3490">
        <f t="shared" si="7"/>
        <v>44738.773128267763</v>
      </c>
      <c r="I77" s="3491">
        <f t="shared" si="7"/>
        <v>46153.010729999995</v>
      </c>
      <c r="J77" s="3489">
        <f t="shared" si="7"/>
        <v>43513.802083815135</v>
      </c>
      <c r="K77" s="3490">
        <f t="shared" si="7"/>
        <v>41163.784142234093</v>
      </c>
      <c r="L77" s="3490">
        <f t="shared" si="7"/>
        <v>45541.499033162734</v>
      </c>
      <c r="M77" s="3490">
        <f t="shared" si="7"/>
        <v>42607.463828038912</v>
      </c>
      <c r="N77" s="3491">
        <f t="shared" si="7"/>
        <v>42530.937531388037</v>
      </c>
      <c r="O77" s="3489">
        <f t="shared" si="7"/>
        <v>42172.559874973325</v>
      </c>
      <c r="P77" s="3490">
        <f t="shared" si="7"/>
        <v>41646.023345123489</v>
      </c>
      <c r="Q77" s="3490">
        <f t="shared" si="7"/>
        <v>41149.776605774787</v>
      </c>
      <c r="R77" s="3490">
        <f t="shared" si="7"/>
        <v>40557.432237031644</v>
      </c>
      <c r="S77" s="3492">
        <f t="shared" si="7"/>
        <v>40034.339459945077</v>
      </c>
      <c r="T77" s="1429"/>
      <c r="U77" s="1429"/>
      <c r="V77" s="1429"/>
      <c r="W77" s="1429"/>
      <c r="X77" s="1429"/>
      <c r="Y77" s="1429"/>
      <c r="Z77" s="1429"/>
      <c r="AA77" s="1429"/>
      <c r="AB77" s="1429"/>
      <c r="AC77" s="1429"/>
      <c r="AD77" s="1429"/>
      <c r="AE77" s="1429"/>
      <c r="AF77" s="1430"/>
      <c r="AG77" s="1430"/>
      <c r="AH77" s="1430"/>
      <c r="AI77" s="1430"/>
      <c r="AJ77" s="1430"/>
      <c r="AK77" s="1430"/>
      <c r="AL77" s="1430"/>
      <c r="AM77" s="1430"/>
      <c r="AN77" s="1430"/>
      <c r="AO77" s="1430"/>
      <c r="AP77" s="1430"/>
      <c r="AQ77" s="1430"/>
      <c r="AR77" s="1430"/>
      <c r="AS77" s="1430"/>
      <c r="AT77" s="1430"/>
      <c r="AU77" s="1430"/>
      <c r="AV77" s="1430"/>
      <c r="AW77" s="1430"/>
      <c r="AX77" s="1430"/>
      <c r="AY77" s="1430"/>
      <c r="AZ77" s="1430"/>
      <c r="BA77" s="1430"/>
      <c r="BB77" s="1430"/>
      <c r="BC77" s="1430"/>
      <c r="BD77" s="1430"/>
      <c r="BE77" s="1430"/>
      <c r="BF77" s="1430"/>
      <c r="BG77" s="1430"/>
      <c r="BH77" s="1430"/>
      <c r="BI77" s="1430"/>
      <c r="BJ77" s="1430"/>
      <c r="BK77" s="1430"/>
      <c r="BL77" s="1430"/>
      <c r="BM77" s="1430"/>
      <c r="BN77" s="1430"/>
      <c r="BO77" s="1430"/>
      <c r="BP77" s="1430"/>
      <c r="BQ77" s="1430"/>
      <c r="BR77" s="1430"/>
      <c r="BS77" s="1430"/>
      <c r="BT77" s="1430"/>
      <c r="BU77" s="1430"/>
      <c r="BV77" s="1430"/>
      <c r="BW77" s="1430"/>
      <c r="BX77" s="1430"/>
      <c r="BY77" s="1430"/>
      <c r="BZ77" s="1430"/>
      <c r="CA77" s="1430"/>
      <c r="CB77" s="1430"/>
      <c r="CC77" s="1430"/>
      <c r="CD77" s="1430"/>
      <c r="CE77" s="1430"/>
      <c r="CF77" s="1430"/>
      <c r="CG77" s="1430"/>
      <c r="CH77" s="1430"/>
      <c r="CI77" s="1430"/>
      <c r="CJ77" s="1430"/>
      <c r="CK77" s="1430"/>
      <c r="CL77" s="1430"/>
      <c r="CM77" s="1430"/>
      <c r="CN77" s="1430"/>
      <c r="CO77" s="1430"/>
      <c r="CP77" s="1430"/>
      <c r="CQ77" s="1430"/>
      <c r="CR77" s="1430"/>
      <c r="CS77" s="1430"/>
      <c r="CT77" s="1430"/>
      <c r="CU77" s="1430"/>
      <c r="CV77" s="1430"/>
      <c r="CW77" s="1430"/>
      <c r="CX77" s="1430"/>
      <c r="CY77" s="1430"/>
      <c r="CZ77" s="1430"/>
      <c r="DA77" s="1430"/>
      <c r="DB77" s="1430"/>
      <c r="DC77" s="1430"/>
      <c r="DD77" s="1430"/>
      <c r="DE77" s="1430"/>
      <c r="DF77" s="1430"/>
      <c r="DG77" s="1430"/>
      <c r="DH77" s="1430"/>
      <c r="DI77" s="1430"/>
      <c r="DJ77" s="1430"/>
      <c r="DK77" s="1430"/>
      <c r="DL77" s="1430"/>
      <c r="DM77" s="1430"/>
      <c r="DN77" s="1430"/>
      <c r="DO77" s="1430"/>
      <c r="DP77" s="1430"/>
    </row>
    <row r="78" spans="2:120" s="1428" customFormat="1" ht="24" customHeight="1" thickBot="1">
      <c r="B78" s="3487" t="s">
        <v>1668</v>
      </c>
      <c r="C78" s="3488"/>
      <c r="D78" s="3498"/>
      <c r="E78" s="3499">
        <f t="shared" ref="E78:S78" si="8">E71+E58+E39+E22</f>
        <v>651211</v>
      </c>
      <c r="F78" s="3500">
        <f t="shared" si="8"/>
        <v>655907.5</v>
      </c>
      <c r="G78" s="3500">
        <f t="shared" si="8"/>
        <v>660309.5</v>
      </c>
      <c r="H78" s="3500">
        <f t="shared" si="8"/>
        <v>664254.5</v>
      </c>
      <c r="I78" s="3501">
        <f t="shared" si="8"/>
        <v>668575.42953020136</v>
      </c>
      <c r="J78" s="3499">
        <f t="shared" si="8"/>
        <v>673210.42953020136</v>
      </c>
      <c r="K78" s="3500">
        <f t="shared" si="8"/>
        <v>677684.36937982542</v>
      </c>
      <c r="L78" s="3500">
        <f t="shared" si="8"/>
        <v>681289.90294791083</v>
      </c>
      <c r="M78" s="3500">
        <f t="shared" si="8"/>
        <v>683930.54909097368</v>
      </c>
      <c r="N78" s="3501">
        <f t="shared" si="8"/>
        <v>686554.95802036347</v>
      </c>
      <c r="O78" s="3499">
        <f t="shared" si="8"/>
        <v>689575.05095709965</v>
      </c>
      <c r="P78" s="3500">
        <f t="shared" si="8"/>
        <v>692724.79360283981</v>
      </c>
      <c r="Q78" s="3500">
        <f t="shared" si="8"/>
        <v>695923.60637088539</v>
      </c>
      <c r="R78" s="3500">
        <f t="shared" si="8"/>
        <v>699015.73876386299</v>
      </c>
      <c r="S78" s="3502">
        <f t="shared" si="8"/>
        <v>702021.88937411306</v>
      </c>
      <c r="T78" s="1429"/>
      <c r="U78" s="1429"/>
      <c r="V78" s="1429"/>
      <c r="W78" s="1429"/>
      <c r="X78" s="1429"/>
      <c r="Y78" s="1429"/>
      <c r="Z78" s="1429"/>
      <c r="AA78" s="1429"/>
      <c r="AB78" s="1429"/>
      <c r="AC78" s="1429"/>
      <c r="AD78" s="1429"/>
      <c r="AE78" s="1429"/>
      <c r="AF78" s="1430"/>
      <c r="AG78" s="1430"/>
      <c r="AH78" s="1430"/>
      <c r="AI78" s="1430"/>
      <c r="AJ78" s="1430"/>
      <c r="AK78" s="1430"/>
      <c r="AL78" s="1430"/>
      <c r="AM78" s="1430"/>
      <c r="AN78" s="1430"/>
      <c r="AO78" s="1430"/>
      <c r="AP78" s="1430"/>
      <c r="AQ78" s="1430"/>
      <c r="AR78" s="1430"/>
      <c r="AS78" s="1430"/>
      <c r="AT78" s="1430"/>
      <c r="AU78" s="1430"/>
      <c r="AV78" s="1430"/>
      <c r="AW78" s="1430"/>
      <c r="AX78" s="1430"/>
      <c r="AY78" s="1430"/>
      <c r="AZ78" s="1430"/>
      <c r="BA78" s="1430"/>
      <c r="BB78" s="1430"/>
      <c r="BC78" s="1430"/>
      <c r="BD78" s="1430"/>
      <c r="BE78" s="1430"/>
      <c r="BF78" s="1430"/>
      <c r="BG78" s="1430"/>
      <c r="BH78" s="1430"/>
      <c r="BI78" s="1430"/>
      <c r="BJ78" s="1430"/>
      <c r="BK78" s="1430"/>
      <c r="BL78" s="1430"/>
      <c r="BM78" s="1430"/>
      <c r="BN78" s="1430"/>
      <c r="BO78" s="1430"/>
      <c r="BP78" s="1430"/>
      <c r="BQ78" s="1430"/>
      <c r="BR78" s="1430"/>
      <c r="BS78" s="1430"/>
      <c r="BT78" s="1430"/>
      <c r="BU78" s="1430"/>
      <c r="BV78" s="1430"/>
      <c r="BW78" s="1430"/>
      <c r="BX78" s="1430"/>
      <c r="BY78" s="1430"/>
      <c r="BZ78" s="1430"/>
      <c r="CA78" s="1430"/>
      <c r="CB78" s="1430"/>
      <c r="CC78" s="1430"/>
      <c r="CD78" s="1430"/>
      <c r="CE78" s="1430"/>
      <c r="CF78" s="1430"/>
      <c r="CG78" s="1430"/>
      <c r="CH78" s="1430"/>
      <c r="CI78" s="1430"/>
      <c r="CJ78" s="1430"/>
      <c r="CK78" s="1430"/>
      <c r="CL78" s="1430"/>
      <c r="CM78" s="1430"/>
      <c r="CN78" s="1430"/>
      <c r="CO78" s="1430"/>
      <c r="CP78" s="1430"/>
      <c r="CQ78" s="1430"/>
      <c r="CR78" s="1430"/>
      <c r="CS78" s="1430"/>
      <c r="CT78" s="1430"/>
      <c r="CU78" s="1430"/>
      <c r="CV78" s="1430"/>
      <c r="CW78" s="1430"/>
      <c r="CX78" s="1430"/>
      <c r="CY78" s="1430"/>
      <c r="CZ78" s="1430"/>
      <c r="DA78" s="1430"/>
      <c r="DB78" s="1430"/>
      <c r="DC78" s="1430"/>
      <c r="DD78" s="1430"/>
      <c r="DE78" s="1430"/>
      <c r="DF78" s="1430"/>
      <c r="DG78" s="1430"/>
      <c r="DH78" s="1430"/>
      <c r="DI78" s="1430"/>
      <c r="DJ78" s="1430"/>
      <c r="DK78" s="1430"/>
      <c r="DL78" s="1430"/>
      <c r="DM78" s="1430"/>
      <c r="DN78" s="1430"/>
      <c r="DO78" s="1430"/>
      <c r="DP78" s="1430"/>
    </row>
    <row r="82" spans="13:17">
      <c r="M82" s="3479"/>
      <c r="N82" s="3480"/>
      <c r="O82" s="3480"/>
      <c r="P82" s="3480"/>
      <c r="Q82" s="3493"/>
    </row>
    <row r="83" spans="13:17">
      <c r="M83" s="3479"/>
      <c r="N83" s="3480"/>
      <c r="O83" s="3480"/>
      <c r="P83" s="3480"/>
      <c r="Q83" s="3493"/>
    </row>
  </sheetData>
  <mergeCells count="24">
    <mergeCell ref="B58:B68"/>
    <mergeCell ref="C58:D58"/>
    <mergeCell ref="C68:D68"/>
    <mergeCell ref="B71:B74"/>
    <mergeCell ref="C71:D71"/>
    <mergeCell ref="C74:D74"/>
    <mergeCell ref="J14:N14"/>
    <mergeCell ref="O14:S14"/>
    <mergeCell ref="E15:S15"/>
    <mergeCell ref="E16:L16"/>
    <mergeCell ref="M16:S16"/>
    <mergeCell ref="E14:I14"/>
    <mergeCell ref="B39:B55"/>
    <mergeCell ref="C39:D39"/>
    <mergeCell ref="B7:G7"/>
    <mergeCell ref="B8:G8"/>
    <mergeCell ref="B9:G9"/>
    <mergeCell ref="B10:G10"/>
    <mergeCell ref="B11:G11"/>
    <mergeCell ref="B22:B38"/>
    <mergeCell ref="C22:D22"/>
    <mergeCell ref="B14:B17"/>
    <mergeCell ref="C14:C17"/>
    <mergeCell ref="D14:D17"/>
  </mergeCells>
  <pageMargins left="0.75" right="0.75" top="1" bottom="1" header="0.5" footer="0.5"/>
  <pageSetup paperSize="9" orientation="portrait" r:id="rId1"/>
  <headerFooter alignWithMargins="0"/>
  <customProperties>
    <customPr name="layoutContexts" r:id="rId2"/>
  </customProperties>
  <drawing r:id="rId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DP83"/>
  <sheetViews>
    <sheetView topLeftCell="F7" zoomScale="90" zoomScaleNormal="90" workbookViewId="0">
      <selection activeCell="O22" sqref="O22"/>
    </sheetView>
  </sheetViews>
  <sheetFormatPr defaultColWidth="9.140625" defaultRowHeight="12.75"/>
  <cols>
    <col min="1" max="1" width="16.28515625" style="501" bestFit="1" customWidth="1"/>
    <col min="2" max="2" width="35.5703125" style="965" customWidth="1"/>
    <col min="3" max="4" width="38.140625" style="501" customWidth="1"/>
    <col min="5" max="18" width="15.7109375" style="501" customWidth="1"/>
    <col min="19" max="19" width="14.7109375" style="1266" customWidth="1"/>
    <col min="20" max="30" width="9.140625" style="1266"/>
    <col min="31" max="119" width="9.140625" style="223"/>
    <col min="120" max="16384" width="9.140625" style="501"/>
  </cols>
  <sheetData>
    <row r="1" spans="1:119" s="1274" customFormat="1" ht="24.95" customHeight="1">
      <c r="B1" s="2272" t="str">
        <f>IF(dms_DataQuality="backcast",INDEX(dms_Worksheet_List,MATCH(dms_Model,dms_Model_List))&amp;" BACKCAST",INDEX(dms_Worksheet_List,MATCH(dms_Model,dms_Model_List)))</f>
        <v>REGULATORY REPORTING STATEMENT</v>
      </c>
      <c r="C1" s="518"/>
      <c r="D1" s="518"/>
      <c r="E1" s="518"/>
      <c r="F1" s="518"/>
      <c r="G1" s="518"/>
      <c r="H1" s="518"/>
      <c r="I1" s="518"/>
      <c r="J1" s="518"/>
      <c r="K1" s="518"/>
      <c r="L1" s="518"/>
      <c r="M1" s="518"/>
      <c r="N1" s="518"/>
      <c r="O1" s="518"/>
      <c r="P1" s="518"/>
      <c r="Q1" s="518"/>
      <c r="R1" s="518"/>
      <c r="S1" s="1266"/>
      <c r="T1" s="1266"/>
      <c r="U1" s="1266"/>
      <c r="V1" s="1266"/>
      <c r="W1" s="1266"/>
      <c r="X1" s="1266"/>
      <c r="Y1" s="1266"/>
      <c r="Z1" s="1266"/>
      <c r="AA1" s="1266"/>
      <c r="AB1" s="1266"/>
      <c r="AC1" s="1266"/>
      <c r="AD1" s="1266"/>
    </row>
    <row r="2" spans="1:119" s="1274" customFormat="1" ht="24.95" customHeight="1">
      <c r="B2" s="2277" t="str">
        <f>INDEX(dms_TradingNameFull_List,MATCH(dms_TradingName,dms_TradingName_List))</f>
        <v>Multinet Gas (DB No.1) Pty Ltd (ACN 086 026 986), Multinet Gas (DB No.2) Pty Ltd (ACN 086 230 122)</v>
      </c>
      <c r="C2" s="1267"/>
      <c r="D2" s="1267"/>
      <c r="E2" s="1267"/>
      <c r="F2" s="1267"/>
      <c r="G2" s="1267"/>
      <c r="H2" s="1267"/>
      <c r="I2" s="1267"/>
      <c r="J2" s="1267"/>
      <c r="K2" s="1267"/>
      <c r="L2" s="1267"/>
      <c r="M2" s="1267"/>
      <c r="N2" s="1267"/>
      <c r="O2" s="1267"/>
      <c r="P2" s="1267"/>
      <c r="Q2" s="1267"/>
      <c r="R2" s="1267"/>
      <c r="S2" s="1266"/>
      <c r="T2" s="1266"/>
      <c r="U2" s="1266"/>
      <c r="V2" s="1266"/>
      <c r="W2" s="1266"/>
      <c r="X2" s="1266"/>
      <c r="Y2" s="1266"/>
      <c r="Z2" s="1266"/>
      <c r="AA2" s="1266"/>
      <c r="AB2" s="1266"/>
      <c r="AC2" s="1266"/>
      <c r="AD2" s="1266"/>
    </row>
    <row r="3" spans="1:119" s="1274" customFormat="1" ht="24.95" customHeight="1">
      <c r="B3" s="2277" t="str">
        <f ca="1">IF(SUM(dms_SingleYear_Model)&gt;0,CRY,CONCATENATE(FRCP_y1," to ",dms_MultiYear_FinalYear_Result))</f>
        <v>2018 to 2022</v>
      </c>
      <c r="C3" s="1265"/>
      <c r="D3" s="1265"/>
      <c r="E3" s="1265"/>
      <c r="F3" s="1265"/>
      <c r="G3" s="1265"/>
      <c r="H3" s="1265"/>
      <c r="I3" s="1265"/>
      <c r="J3" s="1265"/>
      <c r="K3" s="1265"/>
      <c r="L3" s="1265"/>
      <c r="M3" s="1265"/>
      <c r="N3" s="1265"/>
      <c r="O3" s="1265"/>
      <c r="P3" s="1265"/>
      <c r="Q3" s="1265"/>
      <c r="R3" s="1265"/>
      <c r="S3" s="1266"/>
      <c r="T3" s="1266"/>
      <c r="U3" s="1266"/>
      <c r="V3" s="1266"/>
      <c r="W3" s="1266"/>
      <c r="X3" s="1266"/>
      <c r="Y3" s="1266"/>
      <c r="Z3" s="1266"/>
      <c r="AA3" s="1266"/>
      <c r="AB3" s="1266"/>
      <c r="AC3" s="1266"/>
      <c r="AD3" s="1266"/>
    </row>
    <row r="4" spans="1:119" s="1274" customFormat="1" ht="24" customHeight="1">
      <c r="B4" s="10" t="s">
        <v>387</v>
      </c>
      <c r="C4" s="12"/>
      <c r="D4" s="12"/>
      <c r="E4" s="12"/>
      <c r="F4" s="12"/>
      <c r="G4" s="12"/>
      <c r="H4" s="12"/>
      <c r="I4" s="12"/>
      <c r="J4" s="12"/>
      <c r="K4" s="12"/>
      <c r="L4" s="12"/>
      <c r="M4" s="12"/>
      <c r="N4" s="12"/>
      <c r="O4" s="12"/>
      <c r="P4" s="12"/>
      <c r="Q4" s="12"/>
      <c r="R4" s="12"/>
      <c r="S4" s="1266"/>
      <c r="T4" s="1266"/>
      <c r="U4" s="1266"/>
      <c r="V4" s="1266"/>
      <c r="W4" s="1266"/>
      <c r="X4" s="1266"/>
      <c r="Y4" s="1266"/>
      <c r="Z4" s="1266"/>
      <c r="AA4" s="1266"/>
      <c r="AB4" s="1266"/>
      <c r="AC4" s="1266"/>
      <c r="AD4" s="1266"/>
    </row>
    <row r="5" spans="1:119" s="1266" customFormat="1"/>
    <row r="7" spans="1:119" s="888" customFormat="1">
      <c r="B7" s="4789" t="s">
        <v>61</v>
      </c>
      <c r="C7" s="4789"/>
      <c r="D7" s="4789"/>
      <c r="E7" s="4789"/>
      <c r="F7" s="4789"/>
      <c r="G7" s="4789"/>
      <c r="S7" s="1266"/>
      <c r="T7" s="1266"/>
      <c r="U7" s="1266"/>
      <c r="V7" s="1266"/>
      <c r="W7" s="1266"/>
      <c r="X7" s="1266"/>
      <c r="Y7" s="1266"/>
      <c r="Z7" s="1266"/>
      <c r="AA7" s="1266"/>
      <c r="AB7" s="1266"/>
      <c r="AC7" s="1266"/>
      <c r="AD7" s="1266"/>
      <c r="AE7" s="386"/>
      <c r="AF7" s="386"/>
      <c r="AG7" s="386"/>
      <c r="AH7" s="386"/>
      <c r="AI7" s="386"/>
      <c r="AJ7" s="386"/>
      <c r="AK7" s="386"/>
      <c r="AL7" s="386"/>
      <c r="AM7" s="386"/>
      <c r="AN7" s="386"/>
      <c r="AO7" s="386"/>
      <c r="AP7" s="386"/>
      <c r="AQ7" s="386"/>
      <c r="AR7" s="386"/>
      <c r="AS7" s="386"/>
      <c r="AT7" s="386"/>
      <c r="AU7" s="386"/>
      <c r="AV7" s="386"/>
      <c r="AW7" s="386"/>
      <c r="AX7" s="386"/>
      <c r="AY7" s="386"/>
      <c r="AZ7" s="386"/>
      <c r="BA7" s="386"/>
      <c r="BB7" s="386"/>
      <c r="BC7" s="386"/>
      <c r="BD7" s="386"/>
      <c r="BE7" s="386"/>
      <c r="BF7" s="386"/>
      <c r="BG7" s="386"/>
      <c r="BH7" s="386"/>
      <c r="BI7" s="386"/>
      <c r="BJ7" s="386"/>
      <c r="BK7" s="386"/>
      <c r="BL7" s="386"/>
      <c r="BM7" s="386"/>
      <c r="BN7" s="386"/>
      <c r="BO7" s="386"/>
      <c r="BP7" s="386"/>
      <c r="BQ7" s="386"/>
      <c r="BR7" s="386"/>
      <c r="BS7" s="386"/>
      <c r="BT7" s="386"/>
      <c r="BU7" s="386"/>
      <c r="BV7" s="386"/>
      <c r="BW7" s="386"/>
      <c r="BX7" s="386"/>
      <c r="BY7" s="386"/>
      <c r="BZ7" s="386"/>
      <c r="CA7" s="386"/>
      <c r="CB7" s="386"/>
      <c r="CC7" s="386"/>
      <c r="CD7" s="386"/>
      <c r="CE7" s="386"/>
      <c r="CF7" s="386"/>
      <c r="CG7" s="386"/>
      <c r="CH7" s="386"/>
      <c r="CI7" s="386"/>
      <c r="CJ7" s="386"/>
      <c r="CK7" s="386"/>
      <c r="CL7" s="386"/>
      <c r="CM7" s="386"/>
      <c r="CN7" s="386"/>
      <c r="CO7" s="386"/>
      <c r="CP7" s="386"/>
      <c r="CQ7" s="386"/>
      <c r="CR7" s="386"/>
      <c r="CS7" s="386"/>
      <c r="CT7" s="386"/>
      <c r="CU7" s="386"/>
      <c r="CV7" s="386"/>
      <c r="CW7" s="386"/>
      <c r="CX7" s="386"/>
      <c r="CY7" s="386"/>
      <c r="CZ7" s="386"/>
      <c r="DA7" s="386"/>
      <c r="DB7" s="386"/>
      <c r="DC7" s="386"/>
      <c r="DD7" s="386"/>
      <c r="DE7" s="386"/>
      <c r="DF7" s="386"/>
      <c r="DG7" s="386"/>
      <c r="DH7" s="386"/>
      <c r="DI7" s="386"/>
      <c r="DJ7" s="386"/>
      <c r="DK7" s="386"/>
      <c r="DL7" s="386"/>
      <c r="DM7" s="386"/>
      <c r="DN7" s="386"/>
      <c r="DO7" s="386"/>
    </row>
    <row r="8" spans="1:119" s="888" customFormat="1" ht="30.75" customHeight="1">
      <c r="B8" s="4163" t="s">
        <v>1468</v>
      </c>
      <c r="C8" s="4163"/>
      <c r="D8" s="4163"/>
      <c r="E8" s="4163"/>
      <c r="F8" s="4163"/>
      <c r="G8" s="4163"/>
      <c r="S8" s="1266"/>
      <c r="T8" s="1266"/>
      <c r="U8" s="1266"/>
      <c r="V8" s="1266"/>
      <c r="W8" s="1266"/>
      <c r="X8" s="1266"/>
      <c r="Y8" s="1266"/>
      <c r="Z8" s="1266"/>
      <c r="AA8" s="1266"/>
      <c r="AB8" s="1266"/>
      <c r="AC8" s="1266"/>
      <c r="AD8" s="1266"/>
      <c r="AE8" s="386"/>
      <c r="AF8" s="386"/>
      <c r="AG8" s="386"/>
      <c r="AH8" s="386"/>
      <c r="AI8" s="386"/>
      <c r="AJ8" s="386"/>
      <c r="AK8" s="386"/>
      <c r="AL8" s="386"/>
      <c r="AM8" s="386"/>
      <c r="AN8" s="386"/>
      <c r="AO8" s="386"/>
      <c r="AP8" s="386"/>
      <c r="AQ8" s="386"/>
      <c r="AR8" s="386"/>
      <c r="AS8" s="386"/>
      <c r="AT8" s="386"/>
      <c r="AU8" s="386"/>
      <c r="AV8" s="386"/>
      <c r="AW8" s="386"/>
      <c r="AX8" s="386"/>
      <c r="AY8" s="386"/>
      <c r="AZ8" s="386"/>
      <c r="BA8" s="386"/>
      <c r="BB8" s="386"/>
      <c r="BC8" s="386"/>
      <c r="BD8" s="386"/>
      <c r="BE8" s="386"/>
      <c r="BF8" s="386"/>
      <c r="BG8" s="386"/>
      <c r="BH8" s="386"/>
      <c r="BI8" s="386"/>
      <c r="BJ8" s="386"/>
      <c r="BK8" s="386"/>
      <c r="BL8" s="386"/>
      <c r="BM8" s="386"/>
      <c r="BN8" s="386"/>
      <c r="BO8" s="386"/>
      <c r="BP8" s="386"/>
      <c r="BQ8" s="386"/>
      <c r="BR8" s="386"/>
      <c r="BS8" s="386"/>
      <c r="BT8" s="386"/>
      <c r="BU8" s="386"/>
      <c r="BV8" s="386"/>
      <c r="BW8" s="386"/>
      <c r="BX8" s="386"/>
      <c r="BY8" s="386"/>
      <c r="BZ8" s="386"/>
      <c r="CA8" s="386"/>
      <c r="CB8" s="386"/>
      <c r="CC8" s="386"/>
      <c r="CD8" s="386"/>
      <c r="CE8" s="386"/>
      <c r="CF8" s="386"/>
      <c r="CG8" s="386"/>
      <c r="CH8" s="386"/>
      <c r="CI8" s="386"/>
      <c r="CJ8" s="386"/>
      <c r="CK8" s="386"/>
      <c r="CL8" s="386"/>
      <c r="CM8" s="386"/>
      <c r="CN8" s="386"/>
      <c r="CO8" s="386"/>
      <c r="CP8" s="386"/>
      <c r="CQ8" s="386"/>
      <c r="CR8" s="386"/>
      <c r="CS8" s="386"/>
      <c r="CT8" s="386"/>
      <c r="CU8" s="386"/>
      <c r="CV8" s="386"/>
      <c r="CW8" s="386"/>
      <c r="CX8" s="386"/>
      <c r="CY8" s="386"/>
      <c r="CZ8" s="386"/>
      <c r="DA8" s="386"/>
      <c r="DB8" s="386"/>
      <c r="DC8" s="386"/>
      <c r="DD8" s="386"/>
      <c r="DE8" s="386"/>
      <c r="DF8" s="386"/>
      <c r="DG8" s="386"/>
      <c r="DH8" s="386"/>
      <c r="DI8" s="386"/>
      <c r="DJ8" s="386"/>
      <c r="DK8" s="386"/>
      <c r="DL8" s="386"/>
      <c r="DM8" s="386"/>
      <c r="DN8" s="386"/>
      <c r="DO8" s="386"/>
    </row>
    <row r="9" spans="1:119" s="888" customFormat="1" ht="17.25" customHeight="1">
      <c r="B9" s="4163" t="s">
        <v>752</v>
      </c>
      <c r="C9" s="4212"/>
      <c r="D9" s="4212"/>
      <c r="E9" s="4212"/>
      <c r="F9" s="4212"/>
      <c r="G9" s="4212"/>
      <c r="S9" s="1266"/>
      <c r="T9" s="1266"/>
      <c r="U9" s="1266"/>
      <c r="V9" s="1266"/>
      <c r="W9" s="1266"/>
      <c r="X9" s="1266"/>
      <c r="Y9" s="1266"/>
      <c r="Z9" s="1266"/>
      <c r="AA9" s="1266"/>
      <c r="AB9" s="1266"/>
      <c r="AC9" s="1266"/>
      <c r="AD9" s="1266"/>
      <c r="AE9" s="386"/>
      <c r="AF9" s="386"/>
      <c r="AG9" s="386"/>
      <c r="AH9" s="386"/>
      <c r="AI9" s="386"/>
      <c r="AJ9" s="386"/>
      <c r="AK9" s="386"/>
      <c r="AL9" s="386"/>
      <c r="AM9" s="386"/>
      <c r="AN9" s="386"/>
      <c r="AO9" s="386"/>
      <c r="AP9" s="386"/>
      <c r="AQ9" s="386"/>
      <c r="AR9" s="386"/>
      <c r="AS9" s="386"/>
      <c r="AT9" s="386"/>
      <c r="AU9" s="386"/>
      <c r="AV9" s="386"/>
      <c r="AW9" s="386"/>
      <c r="AX9" s="386"/>
      <c r="AY9" s="386"/>
      <c r="AZ9" s="386"/>
      <c r="BA9" s="386"/>
      <c r="BB9" s="386"/>
      <c r="BC9" s="386"/>
      <c r="BD9" s="386"/>
      <c r="BE9" s="386"/>
      <c r="BF9" s="386"/>
      <c r="BG9" s="386"/>
      <c r="BH9" s="386"/>
      <c r="BI9" s="386"/>
      <c r="BJ9" s="386"/>
      <c r="BK9" s="386"/>
      <c r="BL9" s="386"/>
      <c r="BM9" s="386"/>
      <c r="BN9" s="386"/>
      <c r="BO9" s="386"/>
      <c r="BP9" s="386"/>
      <c r="BQ9" s="386"/>
      <c r="BR9" s="386"/>
      <c r="BS9" s="386"/>
      <c r="BT9" s="386"/>
      <c r="BU9" s="386"/>
      <c r="BV9" s="386"/>
      <c r="BW9" s="386"/>
      <c r="BX9" s="386"/>
      <c r="BY9" s="386"/>
      <c r="BZ9" s="386"/>
      <c r="CA9" s="386"/>
      <c r="CB9" s="386"/>
      <c r="CC9" s="386"/>
      <c r="CD9" s="386"/>
      <c r="CE9" s="386"/>
      <c r="CF9" s="386"/>
      <c r="CG9" s="386"/>
      <c r="CH9" s="386"/>
      <c r="CI9" s="386"/>
      <c r="CJ9" s="386"/>
      <c r="CK9" s="386"/>
      <c r="CL9" s="386"/>
      <c r="CM9" s="386"/>
      <c r="CN9" s="386"/>
      <c r="CO9" s="386"/>
      <c r="CP9" s="386"/>
      <c r="CQ9" s="386"/>
      <c r="CR9" s="386"/>
      <c r="CS9" s="386"/>
      <c r="CT9" s="386"/>
      <c r="CU9" s="386"/>
      <c r="CV9" s="386"/>
      <c r="CW9" s="386"/>
      <c r="CX9" s="386"/>
      <c r="CY9" s="386"/>
      <c r="CZ9" s="386"/>
      <c r="DA9" s="386"/>
      <c r="DB9" s="386"/>
      <c r="DC9" s="386"/>
      <c r="DD9" s="386"/>
      <c r="DE9" s="386"/>
      <c r="DF9" s="386"/>
      <c r="DG9" s="386"/>
      <c r="DH9" s="386"/>
      <c r="DI9" s="386"/>
      <c r="DJ9" s="386"/>
      <c r="DK9" s="386"/>
      <c r="DL9" s="386"/>
      <c r="DM9" s="386"/>
      <c r="DN9" s="386"/>
      <c r="DO9" s="386"/>
    </row>
    <row r="10" spans="1:119" s="888" customFormat="1" ht="18.75" customHeight="1">
      <c r="B10" s="4163" t="s">
        <v>244</v>
      </c>
      <c r="C10" s="4163"/>
      <c r="D10" s="4163"/>
      <c r="E10" s="4163"/>
      <c r="F10" s="4163"/>
      <c r="G10" s="4163"/>
      <c r="S10" s="1266"/>
      <c r="T10" s="1266"/>
      <c r="U10" s="1266"/>
      <c r="V10" s="1266"/>
      <c r="W10" s="1266"/>
      <c r="X10" s="1266"/>
      <c r="Y10" s="1266"/>
      <c r="Z10" s="1266"/>
      <c r="AA10" s="1266"/>
      <c r="AB10" s="1266"/>
      <c r="AC10" s="1266"/>
      <c r="AD10" s="1266"/>
      <c r="AE10" s="386"/>
      <c r="AF10" s="386"/>
      <c r="AG10" s="386"/>
      <c r="AH10" s="386"/>
      <c r="AI10" s="386"/>
      <c r="AJ10" s="386"/>
      <c r="AK10" s="386"/>
      <c r="AL10" s="386"/>
      <c r="AM10" s="386"/>
      <c r="AN10" s="386"/>
      <c r="AO10" s="386"/>
      <c r="AP10" s="386"/>
      <c r="AQ10" s="386"/>
      <c r="AR10" s="386"/>
      <c r="AS10" s="386"/>
      <c r="AT10" s="386"/>
      <c r="AU10" s="386"/>
      <c r="AV10" s="386"/>
      <c r="AW10" s="386"/>
      <c r="AX10" s="386"/>
      <c r="AY10" s="386"/>
      <c r="AZ10" s="386"/>
      <c r="BA10" s="386"/>
      <c r="BB10" s="386"/>
      <c r="BC10" s="386"/>
      <c r="BD10" s="386"/>
      <c r="BE10" s="386"/>
      <c r="BF10" s="386"/>
      <c r="BG10" s="386"/>
      <c r="BH10" s="386"/>
      <c r="BI10" s="386"/>
      <c r="BJ10" s="386"/>
      <c r="BK10" s="386"/>
      <c r="BL10" s="386"/>
      <c r="BM10" s="386"/>
      <c r="BN10" s="386"/>
      <c r="BO10" s="386"/>
      <c r="BP10" s="386"/>
      <c r="BQ10" s="386"/>
      <c r="BR10" s="386"/>
      <c r="BS10" s="386"/>
      <c r="BT10" s="386"/>
      <c r="BU10" s="386"/>
      <c r="BV10" s="386"/>
      <c r="BW10" s="386"/>
      <c r="BX10" s="386"/>
      <c r="BY10" s="386"/>
      <c r="BZ10" s="386"/>
      <c r="CA10" s="386"/>
      <c r="CB10" s="386"/>
      <c r="CC10" s="386"/>
      <c r="CD10" s="386"/>
      <c r="CE10" s="386"/>
      <c r="CF10" s="386"/>
      <c r="CG10" s="386"/>
      <c r="CH10" s="386"/>
      <c r="CI10" s="386"/>
      <c r="CJ10" s="386"/>
      <c r="CK10" s="386"/>
      <c r="CL10" s="386"/>
      <c r="CM10" s="386"/>
      <c r="CN10" s="386"/>
      <c r="CO10" s="386"/>
      <c r="CP10" s="386"/>
      <c r="CQ10" s="386"/>
      <c r="CR10" s="386"/>
      <c r="CS10" s="386"/>
      <c r="CT10" s="386"/>
      <c r="CU10" s="386"/>
      <c r="CV10" s="386"/>
      <c r="CW10" s="386"/>
      <c r="CX10" s="386"/>
      <c r="CY10" s="386"/>
      <c r="CZ10" s="386"/>
      <c r="DA10" s="386"/>
      <c r="DB10" s="386"/>
      <c r="DC10" s="386"/>
      <c r="DD10" s="386"/>
      <c r="DE10" s="386"/>
      <c r="DF10" s="386"/>
      <c r="DG10" s="386"/>
      <c r="DH10" s="386"/>
      <c r="DI10" s="386"/>
      <c r="DJ10" s="386"/>
      <c r="DK10" s="386"/>
      <c r="DL10" s="386"/>
      <c r="DM10" s="386"/>
      <c r="DN10" s="386"/>
      <c r="DO10" s="386"/>
    </row>
    <row r="11" spans="1:119" s="888" customFormat="1" ht="30" customHeight="1">
      <c r="B11" s="4163" t="s">
        <v>1395</v>
      </c>
      <c r="C11" s="4163"/>
      <c r="D11" s="4212"/>
      <c r="E11" s="4212"/>
      <c r="F11" s="4212"/>
      <c r="G11" s="4212"/>
      <c r="S11" s="1266"/>
      <c r="T11" s="1266"/>
      <c r="U11" s="1266"/>
      <c r="V11" s="1266"/>
      <c r="W11" s="1266"/>
      <c r="X11" s="1266"/>
      <c r="Y11" s="1266"/>
      <c r="Z11" s="1266"/>
      <c r="AA11" s="1266"/>
      <c r="AB11" s="1266"/>
      <c r="AC11" s="1266"/>
      <c r="AD11" s="1266"/>
      <c r="AE11" s="386"/>
      <c r="AF11" s="386"/>
      <c r="AG11" s="386"/>
      <c r="AH11" s="386"/>
      <c r="AI11" s="386"/>
      <c r="AJ11" s="386"/>
      <c r="AK11" s="386"/>
      <c r="AL11" s="386"/>
      <c r="AM11" s="386"/>
      <c r="AN11" s="386"/>
      <c r="AO11" s="386"/>
      <c r="AP11" s="386"/>
      <c r="AQ11" s="386"/>
      <c r="AR11" s="386"/>
      <c r="AS11" s="386"/>
      <c r="AT11" s="386"/>
      <c r="AU11" s="386"/>
      <c r="AV11" s="386"/>
      <c r="AW11" s="386"/>
      <c r="AX11" s="386"/>
      <c r="AY11" s="386"/>
      <c r="AZ11" s="386"/>
      <c r="BA11" s="386"/>
      <c r="BB11" s="386"/>
      <c r="BC11" s="386"/>
      <c r="BD11" s="386"/>
      <c r="BE11" s="386"/>
      <c r="BF11" s="386"/>
      <c r="BG11" s="386"/>
      <c r="BH11" s="386"/>
      <c r="BI11" s="386"/>
      <c r="BJ11" s="386"/>
      <c r="BK11" s="386"/>
      <c r="BL11" s="386"/>
      <c r="BM11" s="386"/>
      <c r="BN11" s="386"/>
      <c r="BO11" s="386"/>
      <c r="BP11" s="386"/>
      <c r="BQ11" s="386"/>
      <c r="BR11" s="386"/>
      <c r="BS11" s="386"/>
      <c r="BT11" s="386"/>
      <c r="BU11" s="386"/>
      <c r="BV11" s="386"/>
      <c r="BW11" s="386"/>
      <c r="BX11" s="386"/>
      <c r="BY11" s="386"/>
      <c r="BZ11" s="386"/>
      <c r="CA11" s="386"/>
      <c r="CB11" s="386"/>
      <c r="CC11" s="386"/>
      <c r="CD11" s="386"/>
      <c r="CE11" s="386"/>
      <c r="CF11" s="386"/>
      <c r="CG11" s="386"/>
      <c r="CH11" s="386"/>
      <c r="CI11" s="386"/>
      <c r="CJ11" s="386"/>
      <c r="CK11" s="386"/>
      <c r="CL11" s="386"/>
      <c r="CM11" s="386"/>
      <c r="CN11" s="386"/>
      <c r="CO11" s="386"/>
      <c r="CP11" s="386"/>
      <c r="CQ11" s="386"/>
      <c r="CR11" s="386"/>
      <c r="CS11" s="386"/>
      <c r="CT11" s="386"/>
      <c r="CU11" s="386"/>
      <c r="CV11" s="386"/>
      <c r="CW11" s="386"/>
      <c r="CX11" s="386"/>
      <c r="CY11" s="386"/>
      <c r="CZ11" s="386"/>
      <c r="DA11" s="386"/>
      <c r="DB11" s="386"/>
      <c r="DC11" s="386"/>
      <c r="DD11" s="386"/>
      <c r="DE11" s="386"/>
      <c r="DF11" s="386"/>
      <c r="DG11" s="386"/>
      <c r="DH11" s="386"/>
      <c r="DI11" s="386"/>
      <c r="DJ11" s="386"/>
      <c r="DK11" s="386"/>
      <c r="DL11" s="386"/>
      <c r="DM11" s="386"/>
      <c r="DN11" s="386"/>
      <c r="DO11" s="386"/>
    </row>
    <row r="12" spans="1:119" s="1266" customFormat="1" ht="33.75" customHeight="1" thickBot="1">
      <c r="N12" s="92"/>
      <c r="O12" s="92"/>
      <c r="P12" s="92"/>
      <c r="Q12" s="92"/>
    </row>
    <row r="13" spans="1:119" s="1266" customFormat="1" ht="32.25" customHeight="1" thickBot="1">
      <c r="A13" s="1268"/>
      <c r="B13" s="833" t="s">
        <v>555</v>
      </c>
      <c r="C13" s="863"/>
      <c r="D13" s="863"/>
      <c r="E13" s="863"/>
      <c r="F13" s="863"/>
      <c r="G13" s="863"/>
      <c r="H13" s="863"/>
      <c r="I13" s="863"/>
      <c r="J13" s="863"/>
      <c r="K13" s="864"/>
      <c r="L13" s="864"/>
      <c r="M13" s="864"/>
      <c r="N13" s="864"/>
      <c r="O13" s="864"/>
      <c r="P13" s="864"/>
      <c r="Q13" s="864"/>
      <c r="R13" s="864"/>
      <c r="S13" s="864"/>
    </row>
    <row r="14" spans="1:119" ht="20.25" customHeight="1">
      <c r="A14" s="223"/>
      <c r="B14" s="4791"/>
      <c r="C14" s="4794" t="s">
        <v>751</v>
      </c>
      <c r="D14" s="4797" t="s">
        <v>72</v>
      </c>
      <c r="E14" s="4801" t="s">
        <v>36</v>
      </c>
      <c r="F14" s="4747"/>
      <c r="G14" s="4747"/>
      <c r="H14" s="4747"/>
      <c r="I14" s="4747"/>
      <c r="J14" s="4751" t="s">
        <v>37</v>
      </c>
      <c r="K14" s="4752"/>
      <c r="L14" s="4752"/>
      <c r="M14" s="4752"/>
      <c r="N14" s="4752"/>
      <c r="O14" s="4732" t="s">
        <v>75</v>
      </c>
      <c r="P14" s="4732"/>
      <c r="Q14" s="4732"/>
      <c r="R14" s="4732"/>
      <c r="S14" s="4733"/>
      <c r="AE14" s="1266"/>
      <c r="AF14" s="501"/>
      <c r="AG14" s="501"/>
      <c r="AH14" s="501"/>
      <c r="AI14" s="501"/>
      <c r="AJ14" s="501"/>
      <c r="AK14" s="501"/>
      <c r="AL14" s="501"/>
      <c r="AM14" s="501"/>
      <c r="AN14" s="501"/>
      <c r="AO14" s="501"/>
      <c r="AP14" s="501"/>
      <c r="AQ14" s="501"/>
      <c r="AR14" s="501"/>
      <c r="AS14" s="501"/>
      <c r="AT14" s="501"/>
      <c r="AU14" s="501"/>
      <c r="AV14" s="501"/>
      <c r="AW14" s="501"/>
      <c r="AX14" s="501"/>
      <c r="AY14" s="501"/>
      <c r="AZ14" s="501"/>
      <c r="BA14" s="501"/>
      <c r="BB14" s="501"/>
      <c r="BC14" s="501"/>
      <c r="BD14" s="501"/>
      <c r="BE14" s="501"/>
      <c r="BF14" s="501"/>
      <c r="BG14" s="501"/>
      <c r="BH14" s="501"/>
      <c r="BI14" s="501"/>
      <c r="BJ14" s="501"/>
      <c r="BK14" s="501"/>
      <c r="BL14" s="501"/>
      <c r="BM14" s="501"/>
      <c r="BN14" s="501"/>
      <c r="BO14" s="501"/>
      <c r="BP14" s="501"/>
      <c r="BQ14" s="501"/>
      <c r="BR14" s="501"/>
      <c r="BS14" s="501"/>
      <c r="BT14" s="501"/>
      <c r="BU14" s="501"/>
      <c r="BV14" s="501"/>
      <c r="BW14" s="501"/>
      <c r="BX14" s="501"/>
      <c r="BY14" s="501"/>
      <c r="BZ14" s="501"/>
      <c r="CA14" s="501"/>
      <c r="CB14" s="501"/>
      <c r="CC14" s="501"/>
      <c r="CD14" s="501"/>
      <c r="CE14" s="501"/>
      <c r="CF14" s="501"/>
      <c r="CG14" s="501"/>
      <c r="CH14" s="501"/>
      <c r="CI14" s="501"/>
      <c r="CJ14" s="501"/>
      <c r="CK14" s="501"/>
      <c r="CL14" s="501"/>
      <c r="CM14" s="501"/>
      <c r="CN14" s="501"/>
      <c r="CO14" s="501"/>
      <c r="CP14" s="501"/>
      <c r="CQ14" s="501"/>
      <c r="CR14" s="501"/>
      <c r="CS14" s="501"/>
      <c r="CT14" s="501"/>
      <c r="CU14" s="501"/>
      <c r="CV14" s="501"/>
      <c r="CW14" s="501"/>
      <c r="CX14" s="501"/>
      <c r="CY14" s="501"/>
      <c r="CZ14" s="501"/>
      <c r="DA14" s="501"/>
      <c r="DB14" s="501"/>
      <c r="DC14" s="501"/>
      <c r="DD14" s="501"/>
      <c r="DE14" s="501"/>
      <c r="DF14" s="501"/>
      <c r="DG14" s="501"/>
      <c r="DH14" s="501"/>
      <c r="DI14" s="501"/>
      <c r="DJ14" s="501"/>
      <c r="DK14" s="501"/>
      <c r="DL14" s="501"/>
      <c r="DM14" s="501"/>
      <c r="DN14" s="501"/>
      <c r="DO14" s="501"/>
    </row>
    <row r="15" spans="1:119">
      <c r="A15" s="223"/>
      <c r="B15" s="4792"/>
      <c r="C15" s="4795"/>
      <c r="D15" s="4798"/>
      <c r="E15" s="4735" t="s">
        <v>357</v>
      </c>
      <c r="F15" s="4735"/>
      <c r="G15" s="4735"/>
      <c r="H15" s="4735"/>
      <c r="I15" s="4735"/>
      <c r="J15" s="4735"/>
      <c r="K15" s="4735"/>
      <c r="L15" s="4735"/>
      <c r="M15" s="4735"/>
      <c r="N15" s="4735"/>
      <c r="O15" s="4735"/>
      <c r="P15" s="4735"/>
      <c r="Q15" s="4735"/>
      <c r="R15" s="4735"/>
      <c r="S15" s="4736"/>
      <c r="AE15" s="1266"/>
      <c r="AF15" s="501"/>
      <c r="AG15" s="501"/>
      <c r="AH15" s="501"/>
      <c r="AI15" s="501"/>
      <c r="AJ15" s="501"/>
      <c r="AK15" s="501"/>
      <c r="AL15" s="501"/>
      <c r="AM15" s="501"/>
      <c r="AN15" s="501"/>
      <c r="AO15" s="501"/>
      <c r="AP15" s="501"/>
      <c r="AQ15" s="501"/>
      <c r="AR15" s="501"/>
      <c r="AS15" s="501"/>
      <c r="AT15" s="501"/>
      <c r="AU15" s="501"/>
      <c r="AV15" s="501"/>
      <c r="AW15" s="501"/>
      <c r="AX15" s="501"/>
      <c r="AY15" s="501"/>
      <c r="AZ15" s="501"/>
      <c r="BA15" s="501"/>
      <c r="BB15" s="501"/>
      <c r="BC15" s="501"/>
      <c r="BD15" s="501"/>
      <c r="BE15" s="501"/>
      <c r="BF15" s="501"/>
      <c r="BG15" s="501"/>
      <c r="BH15" s="501"/>
      <c r="BI15" s="501"/>
      <c r="BJ15" s="501"/>
      <c r="BK15" s="501"/>
      <c r="BL15" s="501"/>
      <c r="BM15" s="501"/>
      <c r="BN15" s="501"/>
      <c r="BO15" s="501"/>
      <c r="BP15" s="501"/>
      <c r="BQ15" s="501"/>
      <c r="BR15" s="501"/>
      <c r="BS15" s="501"/>
      <c r="BT15" s="501"/>
      <c r="BU15" s="501"/>
      <c r="BV15" s="501"/>
      <c r="BW15" s="501"/>
      <c r="BX15" s="501"/>
      <c r="BY15" s="501"/>
      <c r="BZ15" s="501"/>
      <c r="CA15" s="501"/>
      <c r="CB15" s="501"/>
      <c r="CC15" s="501"/>
      <c r="CD15" s="501"/>
      <c r="CE15" s="501"/>
      <c r="CF15" s="501"/>
      <c r="CG15" s="501"/>
      <c r="CH15" s="501"/>
      <c r="CI15" s="501"/>
      <c r="CJ15" s="501"/>
      <c r="CK15" s="501"/>
      <c r="CL15" s="501"/>
      <c r="CM15" s="501"/>
      <c r="CN15" s="501"/>
      <c r="CO15" s="501"/>
      <c r="CP15" s="501"/>
      <c r="CQ15" s="501"/>
      <c r="CR15" s="501"/>
      <c r="CS15" s="501"/>
      <c r="CT15" s="501"/>
      <c r="CU15" s="501"/>
      <c r="CV15" s="501"/>
      <c r="CW15" s="501"/>
      <c r="CX15" s="501"/>
      <c r="CY15" s="501"/>
      <c r="CZ15" s="501"/>
      <c r="DA15" s="501"/>
      <c r="DB15" s="501"/>
      <c r="DC15" s="501"/>
      <c r="DD15" s="501"/>
      <c r="DE15" s="501"/>
      <c r="DF15" s="501"/>
      <c r="DG15" s="501"/>
      <c r="DH15" s="501"/>
      <c r="DI15" s="501"/>
      <c r="DJ15" s="501"/>
      <c r="DK15" s="501"/>
      <c r="DL15" s="501"/>
      <c r="DM15" s="501"/>
      <c r="DN15" s="501"/>
      <c r="DO15" s="501"/>
    </row>
    <row r="16" spans="1:119">
      <c r="A16" s="223"/>
      <c r="B16" s="4792"/>
      <c r="C16" s="4795"/>
      <c r="D16" s="4798"/>
      <c r="E16" s="4735" t="s">
        <v>56</v>
      </c>
      <c r="F16" s="4735"/>
      <c r="G16" s="4735"/>
      <c r="H16" s="4735"/>
      <c r="I16" s="4735"/>
      <c r="J16" s="4735"/>
      <c r="K16" s="4735"/>
      <c r="L16" s="4800"/>
      <c r="M16" s="4104" t="s">
        <v>57</v>
      </c>
      <c r="N16" s="4737"/>
      <c r="O16" s="4737"/>
      <c r="P16" s="4737"/>
      <c r="Q16" s="4737"/>
      <c r="R16" s="4737"/>
      <c r="S16" s="4738"/>
      <c r="AE16" s="1266"/>
      <c r="AF16" s="501"/>
      <c r="AG16" s="501"/>
      <c r="AH16" s="501"/>
      <c r="AI16" s="501"/>
      <c r="AJ16" s="501"/>
      <c r="AK16" s="501"/>
      <c r="AL16" s="501"/>
      <c r="AM16" s="501"/>
      <c r="AN16" s="501"/>
      <c r="AO16" s="501"/>
      <c r="AP16" s="501"/>
      <c r="AQ16" s="501"/>
      <c r="AR16" s="501"/>
      <c r="AS16" s="501"/>
      <c r="AT16" s="501"/>
      <c r="AU16" s="501"/>
      <c r="AV16" s="501"/>
      <c r="AW16" s="501"/>
      <c r="AX16" s="501"/>
      <c r="AY16" s="501"/>
      <c r="AZ16" s="501"/>
      <c r="BA16" s="501"/>
      <c r="BB16" s="501"/>
      <c r="BC16" s="501"/>
      <c r="BD16" s="501"/>
      <c r="BE16" s="501"/>
      <c r="BF16" s="501"/>
      <c r="BG16" s="501"/>
      <c r="BH16" s="501"/>
      <c r="BI16" s="501"/>
      <c r="BJ16" s="501"/>
      <c r="BK16" s="501"/>
      <c r="BL16" s="501"/>
      <c r="BM16" s="501"/>
      <c r="BN16" s="501"/>
      <c r="BO16" s="501"/>
      <c r="BP16" s="501"/>
      <c r="BQ16" s="501"/>
      <c r="BR16" s="501"/>
      <c r="BS16" s="501"/>
      <c r="BT16" s="501"/>
      <c r="BU16" s="501"/>
      <c r="BV16" s="501"/>
      <c r="BW16" s="501"/>
      <c r="BX16" s="501"/>
      <c r="BY16" s="501"/>
      <c r="BZ16" s="501"/>
      <c r="CA16" s="501"/>
      <c r="CB16" s="501"/>
      <c r="CC16" s="501"/>
      <c r="CD16" s="501"/>
      <c r="CE16" s="501"/>
      <c r="CF16" s="501"/>
      <c r="CG16" s="501"/>
      <c r="CH16" s="501"/>
      <c r="CI16" s="501"/>
      <c r="CJ16" s="501"/>
      <c r="CK16" s="501"/>
      <c r="CL16" s="501"/>
      <c r="CM16" s="501"/>
      <c r="CN16" s="501"/>
      <c r="CO16" s="501"/>
      <c r="CP16" s="501"/>
      <c r="CQ16" s="501"/>
      <c r="CR16" s="501"/>
      <c r="CS16" s="501"/>
      <c r="CT16" s="501"/>
      <c r="CU16" s="501"/>
      <c r="CV16" s="501"/>
      <c r="CW16" s="501"/>
      <c r="CX16" s="501"/>
      <c r="CY16" s="501"/>
      <c r="CZ16" s="501"/>
      <c r="DA16" s="501"/>
      <c r="DB16" s="501"/>
      <c r="DC16" s="501"/>
      <c r="DD16" s="501"/>
      <c r="DE16" s="501"/>
      <c r="DF16" s="501"/>
      <c r="DG16" s="501"/>
      <c r="DH16" s="501"/>
      <c r="DI16" s="501"/>
      <c r="DJ16" s="501"/>
      <c r="DK16" s="501"/>
      <c r="DL16" s="501"/>
      <c r="DM16" s="501"/>
      <c r="DN16" s="501"/>
      <c r="DO16" s="501"/>
    </row>
    <row r="17" spans="1:120" ht="13.5" thickBot="1">
      <c r="B17" s="4793"/>
      <c r="C17" s="4796"/>
      <c r="D17" s="4799"/>
      <c r="E17" s="1610">
        <f t="array" ref="E17:I17">PRCP</f>
        <v>2008</v>
      </c>
      <c r="F17" s="891">
        <v>2009</v>
      </c>
      <c r="G17" s="891">
        <v>2010</v>
      </c>
      <c r="H17" s="891">
        <v>2011</v>
      </c>
      <c r="I17" s="891">
        <v>2012</v>
      </c>
      <c r="J17" s="892">
        <f>CRCP_y1</f>
        <v>2013</v>
      </c>
      <c r="K17" s="892">
        <f>CRCP_y2</f>
        <v>2014</v>
      </c>
      <c r="L17" s="892">
        <f>CRCP_y3</f>
        <v>2015</v>
      </c>
      <c r="M17" s="892">
        <f>CRCP_y4</f>
        <v>2016</v>
      </c>
      <c r="N17" s="892">
        <f>CRCP_y5</f>
        <v>2017</v>
      </c>
      <c r="O17" s="891" t="str">
        <f t="array" ref="O17:S17">FRCP</f>
        <v>2018</v>
      </c>
      <c r="P17" s="891">
        <v>2019</v>
      </c>
      <c r="Q17" s="891">
        <v>2020</v>
      </c>
      <c r="R17" s="891">
        <v>2021</v>
      </c>
      <c r="S17" s="893">
        <v>2022</v>
      </c>
      <c r="AE17" s="1266"/>
      <c r="AF17" s="501"/>
      <c r="AG17" s="501"/>
      <c r="AH17" s="501"/>
      <c r="AI17" s="501"/>
      <c r="AJ17" s="501"/>
      <c r="AK17" s="501"/>
      <c r="AL17" s="501"/>
      <c r="AM17" s="501"/>
      <c r="AN17" s="501"/>
      <c r="AO17" s="501"/>
      <c r="AP17" s="501"/>
      <c r="AQ17" s="501"/>
      <c r="AR17" s="501"/>
      <c r="AS17" s="501"/>
      <c r="AT17" s="501"/>
      <c r="AU17" s="501"/>
      <c r="AV17" s="501"/>
      <c r="AW17" s="501"/>
      <c r="AX17" s="501"/>
      <c r="AY17" s="501"/>
      <c r="AZ17" s="501"/>
      <c r="BA17" s="501"/>
      <c r="BB17" s="501"/>
      <c r="BC17" s="501"/>
      <c r="BD17" s="501"/>
      <c r="BE17" s="501"/>
      <c r="BF17" s="501"/>
      <c r="BG17" s="501"/>
      <c r="BH17" s="501"/>
      <c r="BI17" s="501"/>
      <c r="BJ17" s="501"/>
      <c r="BK17" s="501"/>
      <c r="BL17" s="501"/>
      <c r="BM17" s="501"/>
      <c r="BN17" s="501"/>
      <c r="BO17" s="501"/>
      <c r="BP17" s="501"/>
      <c r="BQ17" s="501"/>
      <c r="BR17" s="501"/>
      <c r="BS17" s="501"/>
      <c r="BT17" s="501"/>
      <c r="BU17" s="501"/>
      <c r="BV17" s="501"/>
      <c r="BW17" s="501"/>
      <c r="BX17" s="501"/>
      <c r="BY17" s="501"/>
      <c r="BZ17" s="501"/>
      <c r="CA17" s="501"/>
      <c r="CB17" s="501"/>
      <c r="CC17" s="501"/>
      <c r="CD17" s="501"/>
      <c r="CE17" s="501"/>
      <c r="CF17" s="501"/>
      <c r="CG17" s="501"/>
      <c r="CH17" s="501"/>
      <c r="CI17" s="501"/>
      <c r="CJ17" s="501"/>
      <c r="CK17" s="501"/>
      <c r="CL17" s="501"/>
      <c r="CM17" s="501"/>
      <c r="CN17" s="501"/>
      <c r="CO17" s="501"/>
      <c r="CP17" s="501"/>
      <c r="CQ17" s="501"/>
      <c r="CR17" s="501"/>
      <c r="CS17" s="501"/>
      <c r="CT17" s="501"/>
      <c r="CU17" s="501"/>
      <c r="CV17" s="501"/>
      <c r="CW17" s="501"/>
      <c r="CX17" s="501"/>
      <c r="CY17" s="501"/>
      <c r="CZ17" s="501"/>
      <c r="DA17" s="501"/>
      <c r="DB17" s="501"/>
      <c r="DC17" s="501"/>
      <c r="DD17" s="501"/>
      <c r="DE17" s="501"/>
      <c r="DF17" s="501"/>
      <c r="DG17" s="501"/>
      <c r="DH17" s="501"/>
      <c r="DI17" s="501"/>
      <c r="DJ17" s="501"/>
      <c r="DK17" s="501"/>
      <c r="DL17" s="501"/>
      <c r="DM17" s="501"/>
      <c r="DN17" s="501"/>
      <c r="DO17" s="501"/>
    </row>
    <row r="18" spans="1:120" s="1266" customFormat="1" ht="25.5" customHeight="1" thickBot="1">
      <c r="A18" s="1268"/>
      <c r="B18" s="771" t="s">
        <v>715</v>
      </c>
      <c r="C18" s="3478"/>
      <c r="D18" s="3478"/>
      <c r="E18" s="772"/>
      <c r="F18" s="772"/>
      <c r="G18" s="772"/>
      <c r="H18" s="772"/>
      <c r="I18" s="772"/>
      <c r="J18" s="772"/>
      <c r="K18" s="772"/>
      <c r="L18" s="772"/>
      <c r="M18" s="772"/>
      <c r="N18" s="772"/>
      <c r="O18" s="772"/>
      <c r="P18" s="772"/>
      <c r="Q18" s="772"/>
      <c r="R18" s="772"/>
      <c r="S18" s="773"/>
    </row>
    <row r="19" spans="1:120" s="1266" customFormat="1" ht="25.5" customHeight="1" thickBot="1">
      <c r="A19" s="1268"/>
      <c r="B19" s="2265" t="s">
        <v>1672</v>
      </c>
      <c r="C19" s="2271"/>
      <c r="D19" s="2271"/>
      <c r="E19" s="814"/>
      <c r="F19" s="814"/>
      <c r="G19" s="814"/>
      <c r="H19" s="814"/>
      <c r="I19" s="814"/>
      <c r="J19" s="814"/>
      <c r="K19" s="814"/>
      <c r="L19" s="814"/>
      <c r="M19" s="814"/>
      <c r="N19" s="814"/>
      <c r="O19" s="814"/>
      <c r="P19" s="814"/>
      <c r="Q19" s="814"/>
      <c r="R19" s="814"/>
      <c r="S19" s="815"/>
    </row>
    <row r="20" spans="1:120" s="1266" customFormat="1" ht="25.5" customHeight="1" thickBot="1">
      <c r="A20" s="1268"/>
      <c r="B20" s="2269" t="s">
        <v>1636</v>
      </c>
      <c r="C20" s="2271"/>
      <c r="D20" s="2271"/>
      <c r="E20" s="814"/>
      <c r="F20" s="814"/>
      <c r="G20" s="814"/>
      <c r="H20" s="814"/>
      <c r="I20" s="814"/>
      <c r="J20" s="814"/>
      <c r="K20" s="814"/>
      <c r="L20" s="814"/>
      <c r="M20" s="814"/>
      <c r="N20" s="814"/>
      <c r="O20" s="814"/>
      <c r="P20" s="814"/>
      <c r="Q20" s="814"/>
      <c r="R20" s="814"/>
      <c r="S20" s="815"/>
    </row>
    <row r="21" spans="1:120" s="1266" customFormat="1" ht="20.25" customHeight="1" thickBot="1">
      <c r="A21" s="1268"/>
      <c r="B21" s="1387" t="s">
        <v>1673</v>
      </c>
      <c r="C21" s="1431"/>
      <c r="D21" s="1431"/>
      <c r="E21" s="1678"/>
      <c r="F21" s="1678"/>
      <c r="G21" s="1678"/>
      <c r="H21" s="1678"/>
      <c r="I21" s="1678"/>
      <c r="J21" s="1678"/>
      <c r="K21" s="1678"/>
      <c r="L21" s="1678"/>
      <c r="M21" s="1678"/>
      <c r="N21" s="1678"/>
      <c r="O21" s="1678"/>
      <c r="P21" s="1678"/>
      <c r="Q21" s="1678"/>
      <c r="R21" s="1678"/>
      <c r="S21" s="1685"/>
    </row>
    <row r="22" spans="1:120">
      <c r="B22" s="4784" t="s">
        <v>1674</v>
      </c>
      <c r="C22" s="4787" t="s">
        <v>48</v>
      </c>
      <c r="D22" s="4790"/>
      <c r="E22" s="1650">
        <f>'[18]27.3 Customer numbers YV'!D28</f>
        <v>3348.5</v>
      </c>
      <c r="F22" s="1651">
        <f>'[18]27.3 Customer numbers YV'!E28</f>
        <v>3736.5</v>
      </c>
      <c r="G22" s="1651">
        <f>'[18]27.3 Customer numbers YV'!F28</f>
        <v>3963.5</v>
      </c>
      <c r="H22" s="1651">
        <f>'[18]27.3 Customer numbers YV'!G28</f>
        <v>4183.5</v>
      </c>
      <c r="I22" s="1683">
        <f>'[18]27.3 Customer numbers YV'!H28</f>
        <v>4338.5</v>
      </c>
      <c r="J22" s="1650">
        <f>'[18]27.3 Customer numbers YV'!I28</f>
        <v>4308</v>
      </c>
      <c r="K22" s="1651">
        <f>'[18]27.3 Customer numbers YV'!J28</f>
        <v>4302</v>
      </c>
      <c r="L22" s="1651">
        <f>'[18]27.3 Customer numbers YV'!K28</f>
        <v>4536.5</v>
      </c>
      <c r="M22" s="1651">
        <f>'[18]27.3 Customer numbers YV'!L28</f>
        <v>4777.5</v>
      </c>
      <c r="N22" s="1683">
        <f>'[18]27.3 Customer numbers YV'!M28</f>
        <v>4934.7309353318497</v>
      </c>
      <c r="O22" s="1650">
        <f>'[18]27.3 Customer numbers YV'!N28</f>
        <v>5088.7090134687805</v>
      </c>
      <c r="P22" s="1651">
        <f>'[18]27.3 Customer numbers YV'!O28</f>
        <v>5231.8961050744929</v>
      </c>
      <c r="Q22" s="1651">
        <f>'[18]27.3 Customer numbers YV'!P28</f>
        <v>5375.3522613483565</v>
      </c>
      <c r="R22" s="1651">
        <f>'[18]27.3 Customer numbers YV'!Q28</f>
        <v>5515.8084176222183</v>
      </c>
      <c r="S22" s="1652">
        <f>'[18]27.3 Customer numbers YV'!R28</f>
        <v>5651.2645738960819</v>
      </c>
      <c r="AE22" s="1266"/>
      <c r="DP22" s="223"/>
    </row>
    <row r="23" spans="1:120">
      <c r="B23" s="4785"/>
      <c r="C23" s="890" t="s">
        <v>1638</v>
      </c>
      <c r="D23" s="851" t="s">
        <v>1638</v>
      </c>
      <c r="E23" s="3479">
        <f>'[22]27 - Gas extensions - demand YV'!D31/1000</f>
        <v>18.401</v>
      </c>
      <c r="F23" s="3480">
        <f>'[22]27 - Gas extensions - demand YV'!E31/1000</f>
        <v>20.091000000000001</v>
      </c>
      <c r="G23" s="3480">
        <f>'[22]27 - Gas extensions - demand YV'!F31/1000</f>
        <v>21.315999999999999</v>
      </c>
      <c r="H23" s="3480">
        <f>'[22]27 - Gas extensions - demand YV'!G31/1000</f>
        <v>22.70611185009728</v>
      </c>
      <c r="I23" s="3481">
        <f>'[22]27 - Gas extensions - demand YV'!H31/1000</f>
        <v>21.464366677258202</v>
      </c>
      <c r="J23" s="3479">
        <f>[23]Sheet1!BR162</f>
        <v>22.810625213624309</v>
      </c>
      <c r="K23" s="3480">
        <f>[23]Sheet1!BS162</f>
        <v>22.141959142067453</v>
      </c>
      <c r="L23" s="3480">
        <f>[23]Sheet1!BT162</f>
        <v>26.490682380444518</v>
      </c>
      <c r="M23" s="3480">
        <f>[23]Sheet1!BU162</f>
        <v>27.012052157768736</v>
      </c>
      <c r="N23" s="3481">
        <f>[23]Sheet1!BV162</f>
        <v>27.774967446836989</v>
      </c>
      <c r="O23" s="3479">
        <f>'[13]PTRM input'!M328/1000</f>
        <v>28.168646648805474</v>
      </c>
      <c r="P23" s="3480">
        <f>'[13]PTRM input'!N328/1000</f>
        <v>28.460505724723248</v>
      </c>
      <c r="Q23" s="3480">
        <f>'[13]PTRM input'!O328/1000</f>
        <v>28.709765260220085</v>
      </c>
      <c r="R23" s="3480">
        <f>'[13]PTRM input'!P328/1000</f>
        <v>28.817129051880581</v>
      </c>
      <c r="S23" s="3482">
        <f>'[13]PTRM input'!Q328/1000</f>
        <v>28.882204152065238</v>
      </c>
      <c r="AE23" s="1266"/>
      <c r="DP23" s="223"/>
    </row>
    <row r="24" spans="1:120">
      <c r="B24" s="4785"/>
      <c r="C24" s="890" t="s">
        <v>1639</v>
      </c>
      <c r="D24" s="851" t="s">
        <v>1639</v>
      </c>
      <c r="E24" s="3479">
        <f>'[22]27 - Gas extensions - demand YV'!D32/1000</f>
        <v>15.523</v>
      </c>
      <c r="F24" s="3480">
        <f>'[22]27 - Gas extensions - demand YV'!E32/1000</f>
        <v>17.132999999999999</v>
      </c>
      <c r="G24" s="3480">
        <f>'[22]27 - Gas extensions - demand YV'!F32/1000</f>
        <v>18.466999999999999</v>
      </c>
      <c r="H24" s="3480">
        <f>'[22]27 - Gas extensions - demand YV'!G32/1000</f>
        <v>19.257764738546847</v>
      </c>
      <c r="I24" s="3481">
        <f>'[22]27 - Gas extensions - demand YV'!H32/1000</f>
        <v>19.062407175849302</v>
      </c>
      <c r="J24" s="3479">
        <f>[23]Sheet1!BR163</f>
        <v>19.35909058134779</v>
      </c>
      <c r="K24" s="3480">
        <f>[23]Sheet1!BS163</f>
        <v>18.56693909181697</v>
      </c>
      <c r="L24" s="3480">
        <f>[23]Sheet1!BT163</f>
        <v>22.253091890683784</v>
      </c>
      <c r="M24" s="3480">
        <f>[23]Sheet1!BU163</f>
        <v>22.859794099653435</v>
      </c>
      <c r="N24" s="3481">
        <f>[23]Sheet1!BV163</f>
        <v>23.505435027699772</v>
      </c>
      <c r="O24" s="3479">
        <f>'[13]PTRM input'!M329/1000</f>
        <v>23.840432623807423</v>
      </c>
      <c r="P24" s="3480">
        <f>'[13]PTRM input'!N329/1000</f>
        <v>24.089261753220086</v>
      </c>
      <c r="Q24" s="3480">
        <f>'[13]PTRM input'!O329/1000</f>
        <v>24.30203968899982</v>
      </c>
      <c r="R24" s="3480">
        <f>'[13]PTRM input'!P329/1000</f>
        <v>24.39473391293232</v>
      </c>
      <c r="S24" s="3482">
        <f>'[13]PTRM input'!Q329/1000</f>
        <v>24.451640008875319</v>
      </c>
      <c r="AE24" s="1266"/>
      <c r="DP24" s="223"/>
    </row>
    <row r="25" spans="1:120">
      <c r="B25" s="4785"/>
      <c r="C25" s="890" t="s">
        <v>1640</v>
      </c>
      <c r="D25" s="851" t="s">
        <v>1640</v>
      </c>
      <c r="E25" s="3479">
        <f>'[22]27 - Gas extensions - demand YV'!D33/1000</f>
        <v>13.356999999999999</v>
      </c>
      <c r="F25" s="3480">
        <f>'[22]27 - Gas extensions - demand YV'!E33/1000</f>
        <v>14.808</v>
      </c>
      <c r="G25" s="3480">
        <f>'[22]27 - Gas extensions - demand YV'!F33/1000</f>
        <v>16.303999999999998</v>
      </c>
      <c r="H25" s="3480">
        <f>'[22]27 - Gas extensions - demand YV'!G33/1000</f>
        <v>16.655154783073439</v>
      </c>
      <c r="I25" s="3481">
        <f>'[22]27 - Gas extensions - demand YV'!H33/1000</f>
        <v>16.8554792966668</v>
      </c>
      <c r="J25" s="3479">
        <f>[23]Sheet1!BR164</f>
        <v>16.72665564584225</v>
      </c>
      <c r="K25" s="3480">
        <f>[23]Sheet1!BS164</f>
        <v>15.866771937037509</v>
      </c>
      <c r="L25" s="3480">
        <f>[23]Sheet1!BT164</f>
        <v>19.210953234011122</v>
      </c>
      <c r="M25" s="3480">
        <f>[23]Sheet1!BU164</f>
        <v>19.760366293847866</v>
      </c>
      <c r="N25" s="3481">
        <f>[23]Sheet1!BV164</f>
        <v>20.318468487458127</v>
      </c>
      <c r="O25" s="3479">
        <f>'[13]PTRM input'!M330/1000</f>
        <v>20.609663555315176</v>
      </c>
      <c r="P25" s="3480">
        <f>'[13]PTRM input'!N330/1000</f>
        <v>20.826373242531897</v>
      </c>
      <c r="Q25" s="3480">
        <f>'[13]PTRM input'!O330/1000</f>
        <v>21.011919709799585</v>
      </c>
      <c r="R25" s="3480">
        <f>'[13]PTRM input'!P330/1000</f>
        <v>21.093663924007512</v>
      </c>
      <c r="S25" s="3482">
        <f>'[13]PTRM input'!Q330/1000</f>
        <v>21.144472316354541</v>
      </c>
      <c r="AE25" s="1266"/>
      <c r="DP25" s="223"/>
    </row>
    <row r="26" spans="1:120">
      <c r="B26" s="4785"/>
      <c r="C26" s="890" t="s">
        <v>1641</v>
      </c>
      <c r="D26" s="851" t="s">
        <v>1641</v>
      </c>
      <c r="E26" s="3479">
        <f>'[22]27 - Gas extensions - demand YV'!D34/1000</f>
        <v>21.114999999999998</v>
      </c>
      <c r="F26" s="3480">
        <f>'[22]27 - Gas extensions - demand YV'!E34/1000</f>
        <v>22.727</v>
      </c>
      <c r="G26" s="3480">
        <f>'[22]27 - Gas extensions - demand YV'!F34/1000</f>
        <v>26.585999999999999</v>
      </c>
      <c r="H26" s="3480">
        <f>'[22]27 - Gas extensions - demand YV'!G34/1000</f>
        <v>25.863168070913169</v>
      </c>
      <c r="I26" s="3481">
        <f>'[22]27 - Gas extensions - demand YV'!H34/1000</f>
        <v>27.192940956962701</v>
      </c>
      <c r="J26" s="3479">
        <f>[23]Sheet1!BR165</f>
        <v>25.930040460233101</v>
      </c>
      <c r="K26" s="3480">
        <f>[23]Sheet1!BS165</f>
        <v>24.434513576272302</v>
      </c>
      <c r="L26" s="3480">
        <f>[23]Sheet1!BT165</f>
        <v>31.034618884912796</v>
      </c>
      <c r="M26" s="3480">
        <f>[23]Sheet1!BU165</f>
        <v>31.107120332635919</v>
      </c>
      <c r="N26" s="3481">
        <f>[23]Sheet1!BV165</f>
        <v>31.985694739424499</v>
      </c>
      <c r="O26" s="3479">
        <f>'[13]PTRM input'!M331/1000</f>
        <v>32.762380384541103</v>
      </c>
      <c r="P26" s="3480">
        <f>'[13]PTRM input'!N331/1000</f>
        <v>33.421809817695561</v>
      </c>
      <c r="Q26" s="3480">
        <f>'[13]PTRM input'!O331/1000</f>
        <v>34.0321815553351</v>
      </c>
      <c r="R26" s="3480">
        <f>'[13]PTRM input'!P331/1000</f>
        <v>34.479145938641636</v>
      </c>
      <c r="S26" s="3482">
        <f>'[13]PTRM input'!Q331/1000</f>
        <v>34.87741060055103</v>
      </c>
      <c r="AE26" s="1266"/>
      <c r="DP26" s="223"/>
    </row>
    <row r="27" spans="1:120">
      <c r="B27" s="4785"/>
      <c r="C27" s="890" t="s">
        <v>1642</v>
      </c>
      <c r="D27" s="851" t="s">
        <v>1642</v>
      </c>
      <c r="E27" s="3479">
        <f>'[22]27 - Gas extensions - demand YV'!D35/1000</f>
        <v>38.345999999999997</v>
      </c>
      <c r="F27" s="3480">
        <f>'[22]27 - Gas extensions - demand YV'!E35/1000</f>
        <v>36.469000000000001</v>
      </c>
      <c r="G27" s="3480">
        <f>'[22]27 - Gas extensions - demand YV'!F35/1000</f>
        <v>52.975999999999999</v>
      </c>
      <c r="H27" s="3480">
        <f>'[22]27 - Gas extensions - demand YV'!G35/1000</f>
        <v>46.366586146999836</v>
      </c>
      <c r="I27" s="3481">
        <f>'[22]27 - Gas extensions - demand YV'!H35/1000</f>
        <v>51.005762198299003</v>
      </c>
      <c r="J27" s="3479">
        <f>[23]Sheet1!BR166</f>
        <v>42.394026767388539</v>
      </c>
      <c r="K27" s="3480">
        <f>[23]Sheet1!BS166</f>
        <v>37.327295468511345</v>
      </c>
      <c r="L27" s="3480">
        <f>[23]Sheet1!BT166</f>
        <v>68.675896602343542</v>
      </c>
      <c r="M27" s="3480">
        <f>[23]Sheet1!BU166</f>
        <v>56.256446223777125</v>
      </c>
      <c r="N27" s="3481">
        <f>[23]Sheet1!BV166</f>
        <v>57.845325983156016</v>
      </c>
      <c r="O27" s="3479">
        <f>'[13]PTRM input'!M332/1000</f>
        <v>58.64036775518241</v>
      </c>
      <c r="P27" s="3480">
        <f>'[13]PTRM input'!N332/1000</f>
        <v>59.223354611417342</v>
      </c>
      <c r="Q27" s="3480">
        <f>'[13]PTRM input'!O332/1000</f>
        <v>59.717621856833716</v>
      </c>
      <c r="R27" s="3480">
        <f>'[13]PTRM input'!P332/1000</f>
        <v>59.916371004036428</v>
      </c>
      <c r="S27" s="3482">
        <f>'[13]PTRM input'!Q332/1000</f>
        <v>60.027047927626164</v>
      </c>
      <c r="AE27" s="1266"/>
      <c r="DP27" s="223"/>
    </row>
    <row r="28" spans="1:120">
      <c r="B28" s="4785"/>
      <c r="C28" s="890" t="s">
        <v>1643</v>
      </c>
      <c r="D28" s="851" t="s">
        <v>1643</v>
      </c>
      <c r="E28" s="3479">
        <f>'[22]27 - Gas extensions - demand YV'!D46/1000</f>
        <v>8.9969999999999999</v>
      </c>
      <c r="F28" s="3480">
        <f>'[22]27 - Gas extensions - demand YV'!E46/1000</f>
        <v>9.9410000000000007</v>
      </c>
      <c r="G28" s="3480">
        <f>'[22]27 - Gas extensions - demand YV'!F46/1000</f>
        <v>10.430999999999999</v>
      </c>
      <c r="H28" s="3480">
        <f>'[22]27 - Gas extensions - demand YV'!G46/1000</f>
        <v>11.158033870313611</v>
      </c>
      <c r="I28" s="3481">
        <f>'[22]27 - Gas extensions - demand YV'!H46/1000</f>
        <v>10.4035000824049</v>
      </c>
      <c r="J28" s="3479">
        <f>[23]Sheet1!BR174</f>
        <v>11.39787620935898</v>
      </c>
      <c r="K28" s="3480">
        <f>[23]Sheet1!BS174</f>
        <v>10.8212242117371</v>
      </c>
      <c r="L28" s="3480">
        <f>[23]Sheet1!BT174</f>
        <v>12.88287374171561</v>
      </c>
      <c r="M28" s="3480">
        <f>[23]Sheet1!BU174</f>
        <v>14.538135525747995</v>
      </c>
      <c r="N28" s="3481">
        <f>[23]Sheet1!BV174</f>
        <v>14.909282099137997</v>
      </c>
      <c r="O28" s="3479">
        <f>'[13]PTRM input'!S328/1000</f>
        <v>15.080365143671477</v>
      </c>
      <c r="P28" s="3480">
        <f>'[13]PTRM input'!T328/1000</f>
        <v>15.196105373843542</v>
      </c>
      <c r="Q28" s="3480">
        <f>'[13]PTRM input'!U328/1000</f>
        <v>15.288475188345744</v>
      </c>
      <c r="R28" s="3480">
        <f>'[13]PTRM input'!V328/1000</f>
        <v>15.304916627899779</v>
      </c>
      <c r="S28" s="3482">
        <f>'[13]PTRM input'!W328/1000</f>
        <v>15.298794826330546</v>
      </c>
      <c r="AE28" s="1266"/>
      <c r="DP28" s="223"/>
    </row>
    <row r="29" spans="1:120">
      <c r="B29" s="4785"/>
      <c r="C29" s="890" t="s">
        <v>1644</v>
      </c>
      <c r="D29" s="851" t="s">
        <v>1644</v>
      </c>
      <c r="E29" s="3479">
        <f>'[22]27 - Gas extensions - demand YV'!D47/1000</f>
        <v>6.718</v>
      </c>
      <c r="F29" s="3480">
        <f>'[22]27 - Gas extensions - demand YV'!E47/1000</f>
        <v>7.82</v>
      </c>
      <c r="G29" s="3480">
        <f>'[22]27 - Gas extensions - demand YV'!F47/1000</f>
        <v>8.0540000000000003</v>
      </c>
      <c r="H29" s="3480">
        <f>'[22]27 - Gas extensions - demand YV'!G47/1000</f>
        <v>8.6192898095041492</v>
      </c>
      <c r="I29" s="3481">
        <f>'[22]27 - Gas extensions - demand YV'!H47/1000</f>
        <v>8.3344028682230604</v>
      </c>
      <c r="J29" s="3479">
        <f>[23]Sheet1!BR175</f>
        <v>8.8414353270487496</v>
      </c>
      <c r="K29" s="3480">
        <f>[23]Sheet1!BS175</f>
        <v>7.9610685320385501</v>
      </c>
      <c r="L29" s="3480">
        <f>[23]Sheet1!BT175</f>
        <v>9.3601129963887715</v>
      </c>
      <c r="M29" s="3480">
        <f>[23]Sheet1!BU175</f>
        <v>10.969880210144273</v>
      </c>
      <c r="N29" s="3481">
        <f>[23]Sheet1!BV175</f>
        <v>11.249932177143966</v>
      </c>
      <c r="O29" s="3479">
        <f>'[13]PTRM input'!S329/1000</f>
        <v>11.380512794082515</v>
      </c>
      <c r="P29" s="3480">
        <f>'[13]PTRM input'!T329/1000</f>
        <v>11.469333995381982</v>
      </c>
      <c r="Q29" s="3480">
        <f>'[13]PTRM input'!U329/1000</f>
        <v>11.540520840480434</v>
      </c>
      <c r="R29" s="3480">
        <f>'[13]PTRM input'!V329/1000</f>
        <v>11.554415251053348</v>
      </c>
      <c r="S29" s="3482">
        <f>'[13]PTRM input'!W329/1000</f>
        <v>11.551284366199864</v>
      </c>
      <c r="AE29" s="1266"/>
      <c r="DP29" s="223"/>
    </row>
    <row r="30" spans="1:120">
      <c r="B30" s="4785"/>
      <c r="C30" s="890" t="s">
        <v>1645</v>
      </c>
      <c r="D30" s="851" t="s">
        <v>1645</v>
      </c>
      <c r="E30" s="3479">
        <f>'[22]27 - Gas extensions - demand YV'!D48/1000</f>
        <v>4.8570000000000002</v>
      </c>
      <c r="F30" s="3480">
        <f>'[22]27 - Gas extensions - demand YV'!E48/1000</f>
        <v>5.97</v>
      </c>
      <c r="G30" s="3480">
        <f>'[22]27 - Gas extensions - demand YV'!F48/1000</f>
        <v>6.0759999999999996</v>
      </c>
      <c r="H30" s="3480">
        <f>'[22]27 - Gas extensions - demand YV'!G48/1000</f>
        <v>6.4884964641718303</v>
      </c>
      <c r="I30" s="3481">
        <f>'[22]27 - Gas extensions - demand YV'!H48/1000</f>
        <v>6.3590419850465301</v>
      </c>
      <c r="J30" s="3479">
        <f>[23]Sheet1!BR176</f>
        <v>6.7378606743495091</v>
      </c>
      <c r="K30" s="3480">
        <f>[23]Sheet1!BS176</f>
        <v>5.6518042432917204</v>
      </c>
      <c r="L30" s="3480">
        <f>[23]Sheet1!BT176</f>
        <v>6.6281246964313301</v>
      </c>
      <c r="M30" s="3480">
        <f>[23]Sheet1!BU176</f>
        <v>8.0678973472200592</v>
      </c>
      <c r="N30" s="3481">
        <f>[23]Sheet1!BV176</f>
        <v>8.273864092376602</v>
      </c>
      <c r="O30" s="3479">
        <f>'[13]PTRM input'!S330/1000</f>
        <v>8.3683988607666375</v>
      </c>
      <c r="P30" s="3480">
        <f>'[13]PTRM input'!T330/1000</f>
        <v>8.4322212902612641</v>
      </c>
      <c r="Q30" s="3480">
        <f>'[13]PTRM input'!U330/1000</f>
        <v>8.4830743734286091</v>
      </c>
      <c r="R30" s="3480">
        <f>'[13]PTRM input'!V330/1000</f>
        <v>8.4917912188550098</v>
      </c>
      <c r="S30" s="3482">
        <f>'[13]PTRM input'!W330/1000</f>
        <v>8.4879866571944635</v>
      </c>
      <c r="AE30" s="1266"/>
      <c r="DP30" s="223"/>
    </row>
    <row r="31" spans="1:120">
      <c r="B31" s="4785"/>
      <c r="C31" s="890" t="s">
        <v>1646</v>
      </c>
      <c r="D31" s="851" t="s">
        <v>1646</v>
      </c>
      <c r="E31" s="3479">
        <f>'[22]27 - Gas extensions - demand YV'!D49/1000</f>
        <v>5.6989999999999998</v>
      </c>
      <c r="F31" s="3480">
        <f>'[22]27 - Gas extensions - demand YV'!E49/1000</f>
        <v>7.3819999999999997</v>
      </c>
      <c r="G31" s="3480">
        <f>'[22]27 - Gas extensions - demand YV'!F49/1000</f>
        <v>7.7190000000000003</v>
      </c>
      <c r="H31" s="3480">
        <f>'[22]27 - Gas extensions - demand YV'!G49/1000</f>
        <v>7.9942426049608803</v>
      </c>
      <c r="I31" s="3481">
        <f>'[22]27 - Gas extensions - demand YV'!H49/1000</f>
        <v>8.2810628790169005</v>
      </c>
      <c r="J31" s="3479">
        <f>[23]Sheet1!BR177</f>
        <v>8.404950378974771</v>
      </c>
      <c r="K31" s="3480">
        <f>[23]Sheet1!BS177</f>
        <v>6.3154676107035499</v>
      </c>
      <c r="L31" s="3480">
        <f>[23]Sheet1!BT177</f>
        <v>8.0570226883924896</v>
      </c>
      <c r="M31" s="3480">
        <f>[23]Sheet1!BU177</f>
        <v>9.6856762253252722</v>
      </c>
      <c r="N31" s="3481">
        <f>[23]Sheet1!BV177</f>
        <v>9.9329435269423083</v>
      </c>
      <c r="O31" s="3479">
        <f>'[13]PTRM input'!S331/1000</f>
        <v>10.151981840995958</v>
      </c>
      <c r="P31" s="3480">
        <f>'[13]PTRM input'!T331/1000</f>
        <v>10.334149362343517</v>
      </c>
      <c r="Q31" s="3480">
        <f>'[13]PTRM input'!U331/1000</f>
        <v>10.500746917444118</v>
      </c>
      <c r="R31" s="3480">
        <f>'[13]PTRM input'!V331/1000</f>
        <v>10.616759054988211</v>
      </c>
      <c r="S31" s="3482">
        <f>'[13]PTRM input'!W331/1000</f>
        <v>10.717738986529902</v>
      </c>
      <c r="AE31" s="1266"/>
      <c r="DP31" s="223"/>
    </row>
    <row r="32" spans="1:120">
      <c r="B32" s="4785"/>
      <c r="C32" s="890" t="s">
        <v>1647</v>
      </c>
      <c r="D32" s="851" t="s">
        <v>1647</v>
      </c>
      <c r="E32" s="3479">
        <f>'[22]27 - Gas extensions - demand YV'!D50/1000</f>
        <v>8.7390000000000008</v>
      </c>
      <c r="F32" s="3480">
        <f>'[22]27 - Gas extensions - demand YV'!E50/1000</f>
        <v>9.7829999999999995</v>
      </c>
      <c r="G32" s="3480">
        <f>'[22]27 - Gas extensions - demand YV'!F50/1000</f>
        <v>11.686</v>
      </c>
      <c r="H32" s="3480">
        <f>'[22]27 - Gas extensions - demand YV'!G50/1000</f>
        <v>12.909923982475659</v>
      </c>
      <c r="I32" s="3481">
        <f>'[22]27 - Gas extensions - demand YV'!H50/1000</f>
        <v>10.673065218425602</v>
      </c>
      <c r="J32" s="3479">
        <f>[23]Sheet1!BR178</f>
        <v>12.282283533254249</v>
      </c>
      <c r="K32" s="3480">
        <f>[23]Sheet1!BS178</f>
        <v>7.4498223470074896</v>
      </c>
      <c r="L32" s="3480">
        <f>[23]Sheet1!BT178</f>
        <v>15.4362637906231</v>
      </c>
      <c r="M32" s="3480">
        <f>[23]Sheet1!BU178</f>
        <v>14.622592779976358</v>
      </c>
      <c r="N32" s="3481">
        <f>[23]Sheet1!BV178</f>
        <v>14.995895477200071</v>
      </c>
      <c r="O32" s="3479">
        <f>'[13]PTRM input'!S332/1000</f>
        <v>15.161873091730994</v>
      </c>
      <c r="P32" s="3480">
        <f>'[13]PTRM input'!T332/1000</f>
        <v>15.272186385601845</v>
      </c>
      <c r="Q32" s="3480">
        <f>'[13]PTRM input'!U332/1000</f>
        <v>15.358993496658954</v>
      </c>
      <c r="R32" s="3480">
        <f>'[13]PTRM input'!V332/1000</f>
        <v>15.369431137549403</v>
      </c>
      <c r="S32" s="3482">
        <f>'[13]PTRM input'!W332/1000</f>
        <v>15.357174459339753</v>
      </c>
      <c r="AE32" s="1266"/>
      <c r="DP32" s="223"/>
    </row>
    <row r="33" spans="2:120">
      <c r="B33" s="4785"/>
      <c r="C33" s="890" t="s">
        <v>1648</v>
      </c>
      <c r="D33" s="851" t="s">
        <v>1648</v>
      </c>
      <c r="E33" s="3479">
        <f>'[22]27 - Gas extensions - demand YV'!D39/1000</f>
        <v>19.350000000000001</v>
      </c>
      <c r="F33" s="3480">
        <f>'[22]27 - Gas extensions - demand YV'!E39/1000</f>
        <v>19.759</v>
      </c>
      <c r="G33" s="3480">
        <f>'[22]27 - Gas extensions - demand YV'!F39/1000</f>
        <v>21.277999999999999</v>
      </c>
      <c r="H33" s="3480">
        <f>'[22]27 - Gas extensions - demand YV'!G39/1000</f>
        <v>24.061202764510085</v>
      </c>
      <c r="I33" s="3481">
        <f>'[22]27 - Gas extensions - demand YV'!H39/1000</f>
        <v>20.594495241782301</v>
      </c>
      <c r="J33" s="3479">
        <f>[23]Sheet1!BR168</f>
        <v>25.193835135909389</v>
      </c>
      <c r="K33" s="3480">
        <f>[23]Sheet1!BS168</f>
        <v>23.56479186271055</v>
      </c>
      <c r="L33" s="3480">
        <f>[23]Sheet1!BT168</f>
        <v>27.785017325810266</v>
      </c>
      <c r="M33" s="3480">
        <f>[23]Sheet1!BU168</f>
        <v>29.377169427073163</v>
      </c>
      <c r="N33" s="3481">
        <f>[23]Sheet1!BV168</f>
        <v>30.496183338015829</v>
      </c>
      <c r="O33" s="3479">
        <f>'[13]PTRM input'!Y328/1000</f>
        <v>31.229118712248521</v>
      </c>
      <c r="P33" s="3480">
        <f>'[13]PTRM input'!Z328/1000</f>
        <v>31.85900932196132</v>
      </c>
      <c r="Q33" s="3480">
        <f>'[13]PTRM input'!AA328/1000</f>
        <v>32.449633295167978</v>
      </c>
      <c r="R33" s="3480">
        <f>'[13]PTRM input'!AB328/1000</f>
        <v>32.886459756929</v>
      </c>
      <c r="S33" s="3482">
        <f>'[13]PTRM input'!AC328/1000</f>
        <v>33.279644467529295</v>
      </c>
      <c r="AE33" s="1266"/>
      <c r="DP33" s="223"/>
    </row>
    <row r="34" spans="2:120">
      <c r="B34" s="4785"/>
      <c r="C34" s="890" t="s">
        <v>1649</v>
      </c>
      <c r="D34" s="851" t="s">
        <v>1649</v>
      </c>
      <c r="E34" s="3479">
        <f>'[22]27 - Gas extensions - demand YV'!D40/1000</f>
        <v>9.1329999999999991</v>
      </c>
      <c r="F34" s="3480">
        <f>'[22]27 - Gas extensions - demand YV'!E40/1000</f>
        <v>8.6549999999999994</v>
      </c>
      <c r="G34" s="3480">
        <f>'[22]27 - Gas extensions - demand YV'!F40/1000</f>
        <v>8.4359999999999999</v>
      </c>
      <c r="H34" s="3480">
        <f>'[22]27 - Gas extensions - demand YV'!G40/1000</f>
        <v>10.837334537183091</v>
      </c>
      <c r="I34" s="3481">
        <f>'[22]27 - Gas extensions - demand YV'!H40/1000</f>
        <v>9.8567861599936801</v>
      </c>
      <c r="J34" s="3479">
        <f>[23]Sheet1!BR169</f>
        <v>11.383829482531354</v>
      </c>
      <c r="K34" s="3480">
        <f>[23]Sheet1!BS169</f>
        <v>10.054374346989924</v>
      </c>
      <c r="L34" s="3480">
        <f>[23]Sheet1!BT169</f>
        <v>11.822746169487457</v>
      </c>
      <c r="M34" s="3480">
        <f>[23]Sheet1!BU169</f>
        <v>12.838066739363747</v>
      </c>
      <c r="N34" s="3481">
        <f>[23]Sheet1!BV169</f>
        <v>13.327085101279826</v>
      </c>
      <c r="O34" s="3479">
        <f>'[13]PTRM input'!Y329/1000</f>
        <v>13.785099123100464</v>
      </c>
      <c r="P34" s="3480">
        <f>'[13]PTRM input'!Z329/1000</f>
        <v>14.198081728013074</v>
      </c>
      <c r="Q34" s="3480">
        <f>'[13]PTRM input'!AA329/1000</f>
        <v>14.593904487034212</v>
      </c>
      <c r="R34" s="3480">
        <f>'[13]PTRM input'!AB329/1000</f>
        <v>14.922516457718899</v>
      </c>
      <c r="S34" s="3482">
        <f>'[13]PTRM input'!AC329/1000</f>
        <v>15.232056621114086</v>
      </c>
      <c r="AE34" s="1266"/>
      <c r="DP34" s="223"/>
    </row>
    <row r="35" spans="2:120">
      <c r="B35" s="4785"/>
      <c r="C35" s="890" t="s">
        <v>1650</v>
      </c>
      <c r="D35" s="851" t="s">
        <v>1650</v>
      </c>
      <c r="E35" s="3479">
        <f>'[22]27 - Gas extensions - demand YV'!D41/1000</f>
        <v>4.7880000000000003</v>
      </c>
      <c r="F35" s="3480">
        <f>'[22]27 - Gas extensions - demand YV'!E41/1000</f>
        <v>4.798</v>
      </c>
      <c r="G35" s="3480">
        <f>'[22]27 - Gas extensions - demand YV'!F41/1000</f>
        <v>3.8450000000000002</v>
      </c>
      <c r="H35" s="3480">
        <f>'[22]27 - Gas extensions - demand YV'!G41/1000</f>
        <v>5.8466950924761472</v>
      </c>
      <c r="I35" s="3481">
        <f>'[22]27 - Gas extensions - demand YV'!H41/1000</f>
        <v>4.5357799699984804</v>
      </c>
      <c r="J35" s="3479">
        <f>[23]Sheet1!BR170</f>
        <v>5.7319281731240288</v>
      </c>
      <c r="K35" s="3480">
        <f>[23]Sheet1!BS170</f>
        <v>5.1054733753632968</v>
      </c>
      <c r="L35" s="3480">
        <f>[23]Sheet1!BT170</f>
        <v>6.51113032889391</v>
      </c>
      <c r="M35" s="3480">
        <f>[23]Sheet1!BU170</f>
        <v>6.7179210064264518</v>
      </c>
      <c r="N35" s="3481">
        <f>[23]Sheet1!BV170</f>
        <v>6.9738151992780368</v>
      </c>
      <c r="O35" s="3479">
        <f>'[13]PTRM input'!Y330/1000</f>
        <v>7.137373269900058</v>
      </c>
      <c r="P35" s="3480">
        <f>'[13]PTRM input'!Z330/1000</f>
        <v>7.2773672394983597</v>
      </c>
      <c r="Q35" s="3480">
        <f>'[13]PTRM input'!AA330/1000</f>
        <v>7.4083817816235307</v>
      </c>
      <c r="R35" s="3480">
        <f>'[13]PTRM input'!AB330/1000</f>
        <v>7.5042261711088551</v>
      </c>
      <c r="S35" s="3482">
        <f>'[13]PTRM input'!AC330/1000</f>
        <v>7.5900906393629102</v>
      </c>
      <c r="AE35" s="1266"/>
      <c r="DP35" s="223"/>
    </row>
    <row r="36" spans="2:120">
      <c r="B36" s="4785"/>
      <c r="C36" s="890" t="s">
        <v>1651</v>
      </c>
      <c r="D36" s="851" t="s">
        <v>1651</v>
      </c>
      <c r="E36" s="3479">
        <f>'[22]27 - Gas extensions - demand YV'!D42/1000</f>
        <v>4.0209999999999999</v>
      </c>
      <c r="F36" s="3480">
        <f>'[22]27 - Gas extensions - demand YV'!E42/1000</f>
        <v>4.2679999999999998</v>
      </c>
      <c r="G36" s="3480">
        <f>'[22]27 - Gas extensions - demand YV'!F42/1000</f>
        <v>2.8940000000000001</v>
      </c>
      <c r="H36" s="3480">
        <f>'[22]27 - Gas extensions - demand YV'!G42/1000</f>
        <v>5.3452173976318909</v>
      </c>
      <c r="I36" s="3481">
        <f>'[22]27 - Gas extensions - demand YV'!H42/1000</f>
        <v>4.0146142938641098</v>
      </c>
      <c r="J36" s="3479">
        <f>[23]Sheet1!BR171</f>
        <v>4.6369855534213817</v>
      </c>
      <c r="K36" s="3480">
        <f>[23]Sheet1!BS171</f>
        <v>4.1275352944612678</v>
      </c>
      <c r="L36" s="3480">
        <f>[23]Sheet1!BT171</f>
        <v>6.1853946564796098</v>
      </c>
      <c r="M36" s="3480">
        <f>[23]Sheet1!BU171</f>
        <v>5.7362574278756338</v>
      </c>
      <c r="N36" s="3481">
        <f>[23]Sheet1!BV171</f>
        <v>5.9547588010074346</v>
      </c>
      <c r="O36" s="3479">
        <f>'[13]PTRM input'!Y331/1000</f>
        <v>6.0944167690896833</v>
      </c>
      <c r="P36" s="3480">
        <f>'[13]PTRM input'!Z331/1000</f>
        <v>6.2139539662668835</v>
      </c>
      <c r="Q36" s="3480">
        <f>'[13]PTRM input'!AA331/1000</f>
        <v>6.3258238646634721</v>
      </c>
      <c r="R36" s="3480">
        <f>'[13]PTRM input'!AB331/1000</f>
        <v>6.4076628875664605</v>
      </c>
      <c r="S36" s="3482">
        <f>'[13]PTRM input'!AC331/1000</f>
        <v>6.4809803161789343</v>
      </c>
      <c r="AE36" s="1266"/>
      <c r="DP36" s="223"/>
    </row>
    <row r="37" spans="2:120">
      <c r="B37" s="4785"/>
      <c r="C37" s="890" t="s">
        <v>1652</v>
      </c>
      <c r="D37" s="851" t="s">
        <v>1652</v>
      </c>
      <c r="E37" s="3479">
        <f>'[22]27 - Gas extensions - demand YV'!D43/1000</f>
        <v>7.1139999999999999</v>
      </c>
      <c r="F37" s="3480">
        <f>'[22]27 - Gas extensions - demand YV'!E43/1000</f>
        <v>7.0019999999999998</v>
      </c>
      <c r="G37" s="3480">
        <f>'[22]27 - Gas extensions - demand YV'!F43/1000</f>
        <v>7.1559999999999997</v>
      </c>
      <c r="H37" s="3480">
        <f>'[22]27 - Gas extensions - demand YV'!G43/1000</f>
        <v>10.949675070367721</v>
      </c>
      <c r="I37" s="3481">
        <f>'[22]27 - Gas extensions - demand YV'!H43/1000</f>
        <v>4.7714910121102898</v>
      </c>
      <c r="J37" s="3479">
        <f>[23]Sheet1!BR172</f>
        <v>7.0139569699333872</v>
      </c>
      <c r="K37" s="3480">
        <f>[23]Sheet1!BS172</f>
        <v>7.097482661011453</v>
      </c>
      <c r="L37" s="3480">
        <f>[23]Sheet1!BT172</f>
        <v>13.120441729624389</v>
      </c>
      <c r="M37" s="3480">
        <f>[23]Sheet1!BU172</f>
        <v>10.110053775340401</v>
      </c>
      <c r="N37" s="3481">
        <f>[23]Sheet1!BV172</f>
        <v>10.495158638593779</v>
      </c>
      <c r="O37" s="3479">
        <f>'[13]PTRM input'!Y332/1000</f>
        <v>10.741303374115038</v>
      </c>
      <c r="P37" s="3480">
        <f>'[13]PTRM input'!Z332/1000</f>
        <v>10.951985601475</v>
      </c>
      <c r="Q37" s="3480">
        <f>'[13]PTRM input'!AA332/1000</f>
        <v>11.149154348319444</v>
      </c>
      <c r="R37" s="3480">
        <f>'[13]PTRM input'!AB332/1000</f>
        <v>11.293394200326391</v>
      </c>
      <c r="S37" s="3482">
        <f>'[13]PTRM input'!AC332/1000</f>
        <v>11.422614890865781</v>
      </c>
      <c r="AE37" s="1266"/>
      <c r="DP37" s="223"/>
    </row>
    <row r="38" spans="2:120" ht="13.5" thickBot="1">
      <c r="B38" s="4786"/>
      <c r="C38" s="3483" t="s">
        <v>396</v>
      </c>
      <c r="D38" s="3484"/>
      <c r="E38" s="1681">
        <f t="shared" ref="E38:S38" si="0">SUM(E23:E37)</f>
        <v>186.15800000000002</v>
      </c>
      <c r="F38" s="1682">
        <f t="shared" si="0"/>
        <v>196.60599999999999</v>
      </c>
      <c r="G38" s="1682">
        <f t="shared" si="0"/>
        <v>223.22400000000002</v>
      </c>
      <c r="H38" s="1682">
        <f t="shared" si="0"/>
        <v>235.05889718322561</v>
      </c>
      <c r="I38" s="1684">
        <f t="shared" si="0"/>
        <v>223.40519601590185</v>
      </c>
      <c r="J38" s="1681">
        <f t="shared" si="0"/>
        <v>228.84538010634179</v>
      </c>
      <c r="K38" s="1682">
        <f t="shared" si="0"/>
        <v>206.48652370102047</v>
      </c>
      <c r="L38" s="1682">
        <f t="shared" si="0"/>
        <v>285.45437111624267</v>
      </c>
      <c r="M38" s="1682">
        <f t="shared" si="0"/>
        <v>279.65942957217646</v>
      </c>
      <c r="N38" s="1684">
        <f t="shared" si="0"/>
        <v>288.03881013555122</v>
      </c>
      <c r="O38" s="1681">
        <f t="shared" si="0"/>
        <v>293.15193394735292</v>
      </c>
      <c r="P38" s="1682">
        <f t="shared" si="0"/>
        <v>297.2256994142349</v>
      </c>
      <c r="Q38" s="1682">
        <f t="shared" si="0"/>
        <v>300.87223666435477</v>
      </c>
      <c r="R38" s="1682">
        <f t="shared" si="0"/>
        <v>303.05261659549393</v>
      </c>
      <c r="S38" s="3485">
        <f t="shared" si="0"/>
        <v>304.80114123611781</v>
      </c>
      <c r="AE38" s="1266"/>
      <c r="DP38" s="223"/>
    </row>
    <row r="39" spans="2:120">
      <c r="B39" s="4784" t="s">
        <v>1675</v>
      </c>
      <c r="C39" s="4787" t="s">
        <v>48</v>
      </c>
      <c r="D39" s="4788"/>
      <c r="E39" s="1650">
        <f>'[18]27.3 Customer numbers YV'!D34</f>
        <v>25.5</v>
      </c>
      <c r="F39" s="1651">
        <f>'[18]27.3 Customer numbers YV'!E34</f>
        <v>30.5</v>
      </c>
      <c r="G39" s="1651">
        <f>'[18]27.3 Customer numbers YV'!F34</f>
        <v>35</v>
      </c>
      <c r="H39" s="1651">
        <f>'[18]27.3 Customer numbers YV'!G34</f>
        <v>37.5</v>
      </c>
      <c r="I39" s="1683">
        <f>'[18]27.3 Customer numbers YV'!H34</f>
        <v>38</v>
      </c>
      <c r="J39" s="1650">
        <f>'[18]27.3 Customer numbers YV'!I34</f>
        <v>44.5</v>
      </c>
      <c r="K39" s="1651">
        <f>'[18]27.3 Customer numbers YV'!J34</f>
        <v>41</v>
      </c>
      <c r="L39" s="1651">
        <f>'[18]27.3 Customer numbers YV'!K34</f>
        <v>45</v>
      </c>
      <c r="M39" s="1651">
        <f>'[18]27.3 Customer numbers YV'!L34</f>
        <v>47.5</v>
      </c>
      <c r="N39" s="1683">
        <f>'[18]27.3 Customer numbers YV'!M34</f>
        <v>49.98945791951661</v>
      </c>
      <c r="O39" s="1650">
        <f>'[18]27.3 Customer numbers YV'!N34</f>
        <v>51.047018563851474</v>
      </c>
      <c r="P39" s="1651">
        <f>'[18]27.3 Customer numbers YV'!O34</f>
        <v>51.153401206465816</v>
      </c>
      <c r="Q39" s="1651">
        <f>'[18]27.3 Customer numbers YV'!P34</f>
        <v>51.46254756552009</v>
      </c>
      <c r="R39" s="1651">
        <f>'[18]27.3 Customer numbers YV'!Q34</f>
        <v>51.747976052338963</v>
      </c>
      <c r="S39" s="1652">
        <f>'[18]27.3 Customer numbers YV'!R34</f>
        <v>52.014250153045026</v>
      </c>
      <c r="AE39" s="1266"/>
      <c r="DP39" s="223"/>
    </row>
    <row r="40" spans="2:120">
      <c r="B40" s="4785"/>
      <c r="C40" s="890" t="s">
        <v>1638</v>
      </c>
      <c r="D40" s="851" t="s">
        <v>1638</v>
      </c>
      <c r="E40" s="3479">
        <f>'[22]27 - Gas extensions - demand YV'!D58/1000</f>
        <v>0.621</v>
      </c>
      <c r="F40" s="3480">
        <f>'[22]27 - Gas extensions - demand YV'!E58/1000</f>
        <v>0.72</v>
      </c>
      <c r="G40" s="3480">
        <f>'[22]27 - Gas extensions - demand YV'!F58/1000</f>
        <v>0.77100000000000002</v>
      </c>
      <c r="H40" s="3480">
        <f>'[22]27 - Gas extensions - demand YV'!G58/1000</f>
        <v>0.82209924573344195</v>
      </c>
      <c r="I40" s="3481">
        <f>'[22]27 - Gas extensions - demand YV'!H58/1000</f>
        <v>0.49808387111554497</v>
      </c>
      <c r="J40" s="3479">
        <f>[23]Sheet1!BR181</f>
        <v>0.87298957845426417</v>
      </c>
      <c r="K40" s="3480">
        <f>[23]Sheet1!BS181</f>
        <v>0.90790298164414596</v>
      </c>
      <c r="L40" s="3480">
        <f>[23]Sheet1!BT181</f>
        <v>1.1600565665204829</v>
      </c>
      <c r="M40" s="3480">
        <f>[23]Sheet1!BU181</f>
        <v>0.90305225446393611</v>
      </c>
      <c r="N40" s="3481">
        <f>[23]Sheet1!BV181</f>
        <v>0.94543218415420505</v>
      </c>
      <c r="O40" s="3479">
        <f>[23]Sheet1!BW181</f>
        <v>0.96580636189004687</v>
      </c>
      <c r="P40" s="3480">
        <f>[23]Sheet1!BX181</f>
        <v>0.98017985571549648</v>
      </c>
      <c r="Q40" s="3480">
        <f>[23]Sheet1!BY181</f>
        <v>0.99797639121282722</v>
      </c>
      <c r="R40" s="3480">
        <f>[23]Sheet1!BZ181</f>
        <v>1.0023908049824057</v>
      </c>
      <c r="S40" s="3482">
        <f>[23]Sheet1!CA181</f>
        <v>1.0178999658748826</v>
      </c>
      <c r="AE40" s="1266"/>
      <c r="DP40" s="223"/>
    </row>
    <row r="41" spans="2:120">
      <c r="B41" s="4785"/>
      <c r="C41" s="890" t="s">
        <v>1639</v>
      </c>
      <c r="D41" s="851" t="s">
        <v>1639</v>
      </c>
      <c r="E41" s="3479">
        <f>'[22]27 - Gas extensions - demand YV'!D59/1000</f>
        <v>1.022</v>
      </c>
      <c r="F41" s="3480">
        <f>'[22]27 - Gas extensions - demand YV'!E59/1000</f>
        <v>1.1479999999999999</v>
      </c>
      <c r="G41" s="3480">
        <f>'[22]27 - Gas extensions - demand YV'!F59/1000</f>
        <v>1.2869999999999999</v>
      </c>
      <c r="H41" s="3480">
        <f>'[22]27 - Gas extensions - demand YV'!G59/1000</f>
        <v>1.4005017858145541</v>
      </c>
      <c r="I41" s="3481">
        <f>'[22]27 - Gas extensions - demand YV'!H59/1000</f>
        <v>0.79045970774067797</v>
      </c>
      <c r="J41" s="3479">
        <f>[23]Sheet1!BR182</f>
        <v>1.5665912964852517</v>
      </c>
      <c r="K41" s="3480">
        <f>[23]Sheet1!BS182</f>
        <v>1.4863423620985692</v>
      </c>
      <c r="L41" s="3480">
        <f>[23]Sheet1!BT182</f>
        <v>1.90838317665353</v>
      </c>
      <c r="M41" s="3480">
        <f>[23]Sheet1!BU182</f>
        <v>1.5388261133200354</v>
      </c>
      <c r="N41" s="3481">
        <f>[23]Sheet1!BV182</f>
        <v>1.6110426901190886</v>
      </c>
      <c r="O41" s="3479">
        <f>[23]Sheet1!BW182</f>
        <v>1.6457608546354356</v>
      </c>
      <c r="P41" s="3480">
        <f>[23]Sheet1!BX182</f>
        <v>1.670253687169668</v>
      </c>
      <c r="Q41" s="3480">
        <f>[23]Sheet1!BY182</f>
        <v>1.7005794777477292</v>
      </c>
      <c r="R41" s="3480">
        <f>[23]Sheet1!BZ182</f>
        <v>1.7081017613697989</v>
      </c>
      <c r="S41" s="3482">
        <f>[23]Sheet1!CA182</f>
        <v>1.7345298021161144</v>
      </c>
      <c r="AE41" s="1266"/>
      <c r="DP41" s="223"/>
    </row>
    <row r="42" spans="2:120">
      <c r="B42" s="4785"/>
      <c r="C42" s="890" t="s">
        <v>1640</v>
      </c>
      <c r="D42" s="851" t="s">
        <v>1640</v>
      </c>
      <c r="E42" s="3479">
        <f>'[22]27 - Gas extensions - demand YV'!D60/1000</f>
        <v>0.36499999999999999</v>
      </c>
      <c r="F42" s="3480">
        <f>'[22]27 - Gas extensions - demand YV'!E60/1000</f>
        <v>0.38800000000000001</v>
      </c>
      <c r="G42" s="3480">
        <f>'[22]27 - Gas extensions - demand YV'!F60/1000</f>
        <v>0.45600000000000002</v>
      </c>
      <c r="H42" s="3480">
        <f>'[22]27 - Gas extensions - demand YV'!G60/1000</f>
        <v>0.50035761288863689</v>
      </c>
      <c r="I42" s="3481">
        <f>'[22]27 - Gas extensions - demand YV'!H60/1000</f>
        <v>0.30944687269757898</v>
      </c>
      <c r="J42" s="3479">
        <f>[23]Sheet1!BR183</f>
        <v>0.62277974323726704</v>
      </c>
      <c r="K42" s="3480">
        <f>[23]Sheet1!BS183</f>
        <v>0.54301757824858699</v>
      </c>
      <c r="L42" s="3480">
        <f>[23]Sheet1!BT183</f>
        <v>0.58830593720477897</v>
      </c>
      <c r="M42" s="3480">
        <f>[23]Sheet1!BU183</f>
        <v>0.54830398760825827</v>
      </c>
      <c r="N42" s="3481">
        <f>[23]Sheet1!BV183</f>
        <v>0.57403570393903247</v>
      </c>
      <c r="O42" s="3479">
        <f>[23]Sheet1!BW183</f>
        <v>0.58640624267760499</v>
      </c>
      <c r="P42" s="3480">
        <f>[23]Sheet1!BX183</f>
        <v>0.59513336111554638</v>
      </c>
      <c r="Q42" s="3480">
        <f>[23]Sheet1!BY183</f>
        <v>0.60593883923772962</v>
      </c>
      <c r="R42" s="3480">
        <f>[23]Sheet1!BZ183</f>
        <v>0.60861912784876859</v>
      </c>
      <c r="S42" s="3482">
        <f>[23]Sheet1!CA183</f>
        <v>0.61803578643055901</v>
      </c>
      <c r="AE42" s="1266"/>
      <c r="DP42" s="223"/>
    </row>
    <row r="43" spans="2:120">
      <c r="B43" s="4785"/>
      <c r="C43" s="890" t="s">
        <v>1641</v>
      </c>
      <c r="D43" s="851" t="s">
        <v>1641</v>
      </c>
      <c r="E43" s="3479">
        <f>'[22]27 - Gas extensions - demand YV'!D61/1000</f>
        <v>0.86499999999999999</v>
      </c>
      <c r="F43" s="3480">
        <f>'[22]27 - Gas extensions - demand YV'!E61/1000</f>
        <v>1.0509999999999999</v>
      </c>
      <c r="G43" s="3480">
        <f>'[22]27 - Gas extensions - demand YV'!F61/1000</f>
        <v>1.212</v>
      </c>
      <c r="H43" s="3480">
        <f>'[22]27 - Gas extensions - demand YV'!G61/1000</f>
        <v>1.58364989705856</v>
      </c>
      <c r="I43" s="3481">
        <f>'[22]27 - Gas extensions - demand YV'!H61/1000</f>
        <v>1.0584040328547799</v>
      </c>
      <c r="J43" s="3479">
        <f>[23]Sheet1!BR184</f>
        <v>1.5646103829652551</v>
      </c>
      <c r="K43" s="3480">
        <f>[23]Sheet1!BS184</f>
        <v>1.5267557218220942</v>
      </c>
      <c r="L43" s="3480">
        <f>[23]Sheet1!BT184</f>
        <v>1.5085480649618239</v>
      </c>
      <c r="M43" s="3480">
        <f>[23]Sheet1!BU184</f>
        <v>1.5269138214408533</v>
      </c>
      <c r="N43" s="3481">
        <f>[23]Sheet1!BV184</f>
        <v>1.5985713585057226</v>
      </c>
      <c r="O43" s="3479">
        <f>[23]Sheet1!BW184</f>
        <v>1.633020764319804</v>
      </c>
      <c r="P43" s="3480">
        <f>[23]Sheet1!BX184</f>
        <v>1.657323994034348</v>
      </c>
      <c r="Q43" s="3480">
        <f>[23]Sheet1!BY184</f>
        <v>1.6874150279588109</v>
      </c>
      <c r="R43" s="3480">
        <f>[23]Sheet1!BZ184</f>
        <v>1.6948790804153651</v>
      </c>
      <c r="S43" s="3482">
        <f>[23]Sheet1!CA184</f>
        <v>1.7211025375947395</v>
      </c>
      <c r="AE43" s="1266"/>
      <c r="DP43" s="223"/>
    </row>
    <row r="44" spans="2:120">
      <c r="B44" s="4785"/>
      <c r="C44" s="890" t="s">
        <v>1642</v>
      </c>
      <c r="D44" s="851" t="s">
        <v>1642</v>
      </c>
      <c r="E44" s="3479">
        <f>'[22]27 - Gas extensions - demand YV'!D62/1000</f>
        <v>7.0999999999999994E-2</v>
      </c>
      <c r="F44" s="3480">
        <f>'[22]27 - Gas extensions - demand YV'!E62/1000</f>
        <v>3.5000000000000003E-2</v>
      </c>
      <c r="G44" s="3480">
        <f>'[22]27 - Gas extensions - demand YV'!F62/1000</f>
        <v>6.5000000000000002E-2</v>
      </c>
      <c r="H44" s="3480">
        <f>'[22]27 - Gas extensions - demand YV'!G62/1000</f>
        <v>1.054312401639345</v>
      </c>
      <c r="I44" s="3481">
        <f>'[22]27 - Gas extensions - demand YV'!H62/1000</f>
        <v>1.3224205331747401</v>
      </c>
      <c r="J44" s="3479">
        <f>[23]Sheet1!BR185</f>
        <v>1.092611830508474</v>
      </c>
      <c r="K44" s="3480">
        <f>[23]Sheet1!BS185</f>
        <v>1.2070844939185619</v>
      </c>
      <c r="L44" s="3480">
        <f>[23]Sheet1!BT185</f>
        <v>1.2839214624272879</v>
      </c>
      <c r="M44" s="3480">
        <f>[23]Sheet1!BU185</f>
        <v>1.1361503129385047</v>
      </c>
      <c r="N44" s="3481">
        <f>[23]Sheet1!BV185</f>
        <v>1.1894694538208819</v>
      </c>
      <c r="O44" s="3479">
        <f>[23]Sheet1!BW185</f>
        <v>1.2151026641871883</v>
      </c>
      <c r="P44" s="3480">
        <f>[23]Sheet1!BX185</f>
        <v>1.2331862794232724</v>
      </c>
      <c r="Q44" s="3480">
        <f>[23]Sheet1!BY185</f>
        <v>1.2555765002267365</v>
      </c>
      <c r="R44" s="3480">
        <f>[23]Sheet1!BZ185</f>
        <v>1.261130373284419</v>
      </c>
      <c r="S44" s="3482">
        <f>[23]Sheet1!CA185</f>
        <v>1.280642796750834</v>
      </c>
      <c r="AE44" s="1266"/>
      <c r="DP44" s="223"/>
    </row>
    <row r="45" spans="2:120">
      <c r="B45" s="4785"/>
      <c r="C45" s="890" t="s">
        <v>1643</v>
      </c>
      <c r="D45" s="851" t="s">
        <v>1643</v>
      </c>
      <c r="E45" s="3479">
        <f>'[22]27 - Gas extensions - demand YV'!D72/1000</f>
        <v>0.27700000000000002</v>
      </c>
      <c r="F45" s="3480">
        <f>'[22]27 - Gas extensions - demand YV'!E72/1000</f>
        <v>0.34200000000000003</v>
      </c>
      <c r="G45" s="3480">
        <f>'[22]27 - Gas extensions - demand YV'!F72/1000</f>
        <v>0.36299999999999999</v>
      </c>
      <c r="H45" s="3480">
        <f>'[22]27 - Gas extensions - demand YV'!G72/1000</f>
        <v>0.40307653914141101</v>
      </c>
      <c r="I45" s="3481">
        <f>'[22]27 - Gas extensions - demand YV'!H72/1000</f>
        <v>0.238263827627827</v>
      </c>
      <c r="J45" s="3479">
        <f>[23]Sheet1!BR193</f>
        <v>0.41944378270882898</v>
      </c>
      <c r="K45" s="3480">
        <f>[23]Sheet1!BS193</f>
        <v>0.43798408374354503</v>
      </c>
      <c r="L45" s="3480">
        <f>[23]Sheet1!BT193</f>
        <v>0.548911709801019</v>
      </c>
      <c r="M45" s="3480">
        <f>[23]Sheet1!BU193</f>
        <v>0.46980284628944818</v>
      </c>
      <c r="N45" s="3481">
        <f>[23]Sheet1!BV193</f>
        <v>0.49055215156799514</v>
      </c>
      <c r="O45" s="3479">
        <f>[23]Sheet1!BW193</f>
        <v>0.49980075107314526</v>
      </c>
      <c r="P45" s="3480">
        <f>[23]Sheet1!BX193</f>
        <v>0.50589997213934401</v>
      </c>
      <c r="Q45" s="3480">
        <f>[23]Sheet1!BY193</f>
        <v>0.51372557890112835</v>
      </c>
      <c r="R45" s="3480">
        <f>[23]Sheet1!BZ193</f>
        <v>0.51463585088594943</v>
      </c>
      <c r="S45" s="3482">
        <f>[23]Sheet1!CA193</f>
        <v>0.52121883684712611</v>
      </c>
      <c r="AE45" s="1266"/>
      <c r="DP45" s="223"/>
    </row>
    <row r="46" spans="2:120">
      <c r="B46" s="4785"/>
      <c r="C46" s="890" t="s">
        <v>1644</v>
      </c>
      <c r="D46" s="851" t="s">
        <v>1644</v>
      </c>
      <c r="E46" s="3479">
        <f>'[22]27 - Gas extensions - demand YV'!D73/1000</f>
        <v>0.45300000000000001</v>
      </c>
      <c r="F46" s="3480">
        <f>'[22]27 - Gas extensions - demand YV'!E73/1000</f>
        <v>0.52800000000000002</v>
      </c>
      <c r="G46" s="3480">
        <f>'[22]27 - Gas extensions - demand YV'!F73/1000</f>
        <v>0.54700000000000004</v>
      </c>
      <c r="H46" s="3480">
        <f>'[22]27 - Gas extensions - demand YV'!G73/1000</f>
        <v>0.62308197018367006</v>
      </c>
      <c r="I46" s="3481">
        <f>'[22]27 - Gas extensions - demand YV'!H73/1000</f>
        <v>0.35375523198350201</v>
      </c>
      <c r="J46" s="3479">
        <f>[23]Sheet1!BR194</f>
        <v>0.65736145595926099</v>
      </c>
      <c r="K46" s="3480">
        <f>[23]Sheet1!BS194</f>
        <v>0.62697853873378695</v>
      </c>
      <c r="L46" s="3480">
        <f>[23]Sheet1!BT194</f>
        <v>0.81013250503294099</v>
      </c>
      <c r="M46" s="3480">
        <f>[23]Sheet1!BU194</f>
        <v>0.71536325541056123</v>
      </c>
      <c r="N46" s="3481">
        <f>[23]Sheet1!BV194</f>
        <v>0.7469579779389639</v>
      </c>
      <c r="O46" s="3479">
        <f>[23]Sheet1!BW194</f>
        <v>0.76104071137118423</v>
      </c>
      <c r="P46" s="3480">
        <f>[23]Sheet1!BX194</f>
        <v>0.77032792338329792</v>
      </c>
      <c r="Q46" s="3480">
        <f>[23]Sheet1!BY194</f>
        <v>0.78224388254124622</v>
      </c>
      <c r="R46" s="3480">
        <f>[23]Sheet1!BZ194</f>
        <v>0.78362994296108768</v>
      </c>
      <c r="S46" s="3482">
        <f>[23]Sheet1!CA194</f>
        <v>0.79365377807554771</v>
      </c>
      <c r="AE46" s="1266"/>
      <c r="DP46" s="223"/>
    </row>
    <row r="47" spans="2:120">
      <c r="B47" s="4785"/>
      <c r="C47" s="890" t="s">
        <v>1645</v>
      </c>
      <c r="D47" s="851" t="s">
        <v>1645</v>
      </c>
      <c r="E47" s="3479">
        <f>'[22]27 - Gas extensions - demand YV'!D74/1000</f>
        <v>0.159</v>
      </c>
      <c r="F47" s="3480">
        <f>'[22]27 - Gas extensions - demand YV'!E74/1000</f>
        <v>0.16800000000000001</v>
      </c>
      <c r="G47" s="3480">
        <f>'[22]27 - Gas extensions - demand YV'!F74/1000</f>
        <v>0.18</v>
      </c>
      <c r="H47" s="3480">
        <f>'[22]27 - Gas extensions - demand YV'!G74/1000</f>
        <v>0.21108010995972298</v>
      </c>
      <c r="I47" s="3481">
        <f>'[22]27 - Gas extensions - demand YV'!H74/1000</f>
        <v>0.137236994805915</v>
      </c>
      <c r="J47" s="3479">
        <f>[23]Sheet1!BR195</f>
        <v>0.24183758828926302</v>
      </c>
      <c r="K47" s="3480">
        <f>[23]Sheet1!BS195</f>
        <v>0.218423148727973</v>
      </c>
      <c r="L47" s="3480">
        <f>[23]Sheet1!BT195</f>
        <v>0.23206164709731161</v>
      </c>
      <c r="M47" s="3480">
        <f>[23]Sheet1!BU195</f>
        <v>0.23284671818643154</v>
      </c>
      <c r="N47" s="3481">
        <f>[23]Sheet1!BV195</f>
        <v>0.24313062275814076</v>
      </c>
      <c r="O47" s="3479">
        <f>[23]Sheet1!BW195</f>
        <v>0.24771447332355023</v>
      </c>
      <c r="P47" s="3480">
        <f>[23]Sheet1!BX195</f>
        <v>0.2507374086249744</v>
      </c>
      <c r="Q47" s="3480">
        <f>[23]Sheet1!BY195</f>
        <v>0.25461598634473637</v>
      </c>
      <c r="R47" s="3480">
        <f>[23]Sheet1!BZ195</f>
        <v>0.25506714121958801</v>
      </c>
      <c r="S47" s="3482">
        <f>[23]Sheet1!CA195</f>
        <v>0.25832984319986285</v>
      </c>
      <c r="AE47" s="1266"/>
      <c r="DP47" s="223"/>
    </row>
    <row r="48" spans="2:120">
      <c r="B48" s="4785"/>
      <c r="C48" s="890" t="s">
        <v>1646</v>
      </c>
      <c r="D48" s="851" t="s">
        <v>1646</v>
      </c>
      <c r="E48" s="3479">
        <f>'[22]27 - Gas extensions - demand YV'!D75/1000</f>
        <v>0.32</v>
      </c>
      <c r="F48" s="3480">
        <f>'[22]27 - Gas extensions - demand YV'!E75/1000</f>
        <v>0.42499999999999999</v>
      </c>
      <c r="G48" s="3480">
        <f>'[22]27 - Gas extensions - demand YV'!F75/1000</f>
        <v>0.48799999999999999</v>
      </c>
      <c r="H48" s="3480">
        <f>'[22]27 - Gas extensions - demand YV'!G75/1000</f>
        <v>0.59506100214276303</v>
      </c>
      <c r="I48" s="3481">
        <f>'[22]27 - Gas extensions - demand YV'!H75/1000</f>
        <v>0.45920392383109898</v>
      </c>
      <c r="J48" s="3479">
        <f>[23]Sheet1!BR196</f>
        <v>0.58465734511781398</v>
      </c>
      <c r="K48" s="3480">
        <f>[23]Sheet1!BS196</f>
        <v>0.44864490387721695</v>
      </c>
      <c r="L48" s="3480">
        <f>[23]Sheet1!BT196</f>
        <v>0.51976658469444192</v>
      </c>
      <c r="M48" s="3480">
        <f>[23]Sheet1!BU196</f>
        <v>0.5473637282223528</v>
      </c>
      <c r="N48" s="3481">
        <f>[23]Sheet1!BV196</f>
        <v>0.57153858621861919</v>
      </c>
      <c r="O48" s="3479">
        <f>[23]Sheet1!BW196</f>
        <v>0.58231405926216784</v>
      </c>
      <c r="P48" s="3480">
        <f>[23]Sheet1!BX196</f>
        <v>0.58942021540492984</v>
      </c>
      <c r="Q48" s="3480">
        <f>[23]Sheet1!BY196</f>
        <v>0.59853777041031875</v>
      </c>
      <c r="R48" s="3480">
        <f>[23]Sheet1!BZ196</f>
        <v>0.59959832138663416</v>
      </c>
      <c r="S48" s="3482">
        <f>[23]Sheet1!CA196</f>
        <v>0.60726810833450873</v>
      </c>
      <c r="AE48" s="1266"/>
      <c r="DP48" s="223"/>
    </row>
    <row r="49" spans="1:120">
      <c r="B49" s="4785"/>
      <c r="C49" s="890" t="s">
        <v>1647</v>
      </c>
      <c r="D49" s="851" t="s">
        <v>1647</v>
      </c>
      <c r="E49" s="3479">
        <f>'[22]27 - Gas extensions - demand YV'!D76/1000</f>
        <v>2.1000000000000001E-2</v>
      </c>
      <c r="F49" s="3480">
        <f>'[22]27 - Gas extensions - demand YV'!E76/1000</f>
        <v>0.03</v>
      </c>
      <c r="G49" s="3480">
        <f>'[22]27 - Gas extensions - demand YV'!F76/1000</f>
        <v>0.16200000000000001</v>
      </c>
      <c r="H49" s="3480">
        <f>'[22]27 - Gas extensions - demand YV'!G76/1000</f>
        <v>0.36498813804319502</v>
      </c>
      <c r="I49" s="3481">
        <f>'[22]27 - Gas extensions - demand YV'!H76/1000</f>
        <v>0.49104190826112398</v>
      </c>
      <c r="J49" s="3479">
        <f>[23]Sheet1!BR197</f>
        <v>0.32661767960634303</v>
      </c>
      <c r="K49" s="3480">
        <f>[23]Sheet1!BS197</f>
        <v>0.36976939939395498</v>
      </c>
      <c r="L49" s="3480">
        <f>[23]Sheet1!BT197</f>
        <v>0.40450628426758301</v>
      </c>
      <c r="M49" s="3480">
        <f>[23]Sheet1!BU197</f>
        <v>0.39088478119767966</v>
      </c>
      <c r="N49" s="3481">
        <f>[23]Sheet1!BV197</f>
        <v>0.40814859242800094</v>
      </c>
      <c r="O49" s="3479">
        <f>[23]Sheet1!BW197</f>
        <v>0.41584360071181253</v>
      </c>
      <c r="P49" s="3480">
        <f>[23]Sheet1!BX197</f>
        <v>0.4209182670548694</v>
      </c>
      <c r="Q49" s="3480">
        <f>[23]Sheet1!BY197</f>
        <v>0.42742931868211842</v>
      </c>
      <c r="R49" s="3480">
        <f>[23]Sheet1!BZ197</f>
        <v>0.42818668204938493</v>
      </c>
      <c r="S49" s="3482">
        <f>[23]Sheet1!CA197</f>
        <v>0.43366384986006401</v>
      </c>
      <c r="AE49" s="1266"/>
      <c r="DP49" s="223"/>
    </row>
    <row r="50" spans="1:120">
      <c r="B50" s="4785"/>
      <c r="C50" s="890" t="s">
        <v>1648</v>
      </c>
      <c r="D50" s="851" t="s">
        <v>1648</v>
      </c>
      <c r="E50" s="3479">
        <f>'[22]27 - Gas extensions - demand YV'!D65/1000</f>
        <v>0.67400000000000004</v>
      </c>
      <c r="F50" s="3480">
        <f>'[22]27 - Gas extensions - demand YV'!E65/1000</f>
        <v>0.76100000000000001</v>
      </c>
      <c r="G50" s="3480">
        <f>'[22]27 - Gas extensions - demand YV'!F65/1000</f>
        <v>0.81299999999999994</v>
      </c>
      <c r="H50" s="3480">
        <f>'[22]27 - Gas extensions - demand YV'!G65/1000</f>
        <v>0.93687187345804201</v>
      </c>
      <c r="I50" s="3481">
        <f>'[22]27 - Gas extensions - demand YV'!H65/1000</f>
        <v>0.476931668106021</v>
      </c>
      <c r="J50" s="3479">
        <f>[23]Sheet1!BR187</f>
        <v>0.97470347740878605</v>
      </c>
      <c r="K50" s="3480">
        <f>[23]Sheet1!BS187</f>
        <v>1.0059084916043659</v>
      </c>
      <c r="L50" s="3480">
        <f>[23]Sheet1!BT187</f>
        <v>1.3466606452675309</v>
      </c>
      <c r="M50" s="3480">
        <f>[23]Sheet1!BU187</f>
        <v>1.0214697128924262</v>
      </c>
      <c r="N50" s="3481">
        <f>[23]Sheet1!BV187</f>
        <v>1.0796489288209081</v>
      </c>
      <c r="O50" s="3479">
        <f>[23]Sheet1!BW187</f>
        <v>1.1134784099571038</v>
      </c>
      <c r="P50" s="3480">
        <f>[23]Sheet1!BX187</f>
        <v>1.1408724018615068</v>
      </c>
      <c r="Q50" s="3480">
        <f>[23]Sheet1!BY187</f>
        <v>1.1727113597552556</v>
      </c>
      <c r="R50" s="3480">
        <f>[23]Sheet1!BZ187</f>
        <v>1.1891797405072939</v>
      </c>
      <c r="S50" s="3482">
        <f>[23]Sheet1!CA187</f>
        <v>1.2191442376082995</v>
      </c>
      <c r="AE50" s="1266"/>
      <c r="DP50" s="223"/>
    </row>
    <row r="51" spans="1:120">
      <c r="B51" s="4785"/>
      <c r="C51" s="890" t="s">
        <v>1649</v>
      </c>
      <c r="D51" s="851" t="s">
        <v>1649</v>
      </c>
      <c r="E51" s="3479">
        <f>'[22]27 - Gas extensions - demand YV'!D66/1000</f>
        <v>0.95099999999999996</v>
      </c>
      <c r="F51" s="3480">
        <f>'[22]27 - Gas extensions - demand YV'!E66/1000</f>
        <v>1.117</v>
      </c>
      <c r="G51" s="3480">
        <f>'[22]27 - Gas extensions - demand YV'!F66/1000</f>
        <v>1.17</v>
      </c>
      <c r="H51" s="3480">
        <f>'[22]27 - Gas extensions - demand YV'!G66/1000</f>
        <v>1.3940677425955488</v>
      </c>
      <c r="I51" s="3481">
        <f>'[22]27 - Gas extensions - demand YV'!H66/1000</f>
        <v>0.67913869258757897</v>
      </c>
      <c r="J51" s="3479">
        <f>[23]Sheet1!BR188</f>
        <v>1.4365793639232149</v>
      </c>
      <c r="K51" s="3480">
        <f>[23]Sheet1!BS188</f>
        <v>1.4870990125202179</v>
      </c>
      <c r="L51" s="3480">
        <f>[23]Sheet1!BT188</f>
        <v>1.8549297548485211</v>
      </c>
      <c r="M51" s="3480">
        <f>[23]Sheet1!BU188</f>
        <v>1.4833577544384355</v>
      </c>
      <c r="N51" s="3481">
        <f>[23]Sheet1!BV188</f>
        <v>1.5678444406371781</v>
      </c>
      <c r="O51" s="3479">
        <f>[23]Sheet1!BW188</f>
        <v>1.6169709321411794</v>
      </c>
      <c r="P51" s="3480">
        <f>[23]Sheet1!BX188</f>
        <v>1.6567519357319334</v>
      </c>
      <c r="Q51" s="3480">
        <f>[23]Sheet1!BY188</f>
        <v>1.7029878294533412</v>
      </c>
      <c r="R51" s="3480">
        <f>[23]Sheet1!BZ188</f>
        <v>1.7269028804658748</v>
      </c>
      <c r="S51" s="3482">
        <f>[23]Sheet1!CA188</f>
        <v>1.7704167199577616</v>
      </c>
      <c r="AE51" s="1266"/>
      <c r="DP51" s="223"/>
    </row>
    <row r="52" spans="1:120">
      <c r="B52" s="4785"/>
      <c r="C52" s="890" t="s">
        <v>1650</v>
      </c>
      <c r="D52" s="851" t="s">
        <v>1650</v>
      </c>
      <c r="E52" s="3479">
        <f>'[22]27 - Gas extensions - demand YV'!D67/1000</f>
        <v>0.29399999999999998</v>
      </c>
      <c r="F52" s="3480">
        <f>'[22]27 - Gas extensions - demand YV'!E67/1000</f>
        <v>0.29799999999999999</v>
      </c>
      <c r="G52" s="3480">
        <f>'[22]27 - Gas extensions - demand YV'!F67/1000</f>
        <v>0.33700000000000002</v>
      </c>
      <c r="H52" s="3480">
        <f>'[22]27 - Gas extensions - demand YV'!G67/1000</f>
        <v>0.46737621365957582</v>
      </c>
      <c r="I52" s="3481">
        <f>'[22]27 - Gas extensions - demand YV'!H67/1000</f>
        <v>0.25792801593731202</v>
      </c>
      <c r="J52" s="3479">
        <f>[23]Sheet1!BR189</f>
        <v>0.43767645976645209</v>
      </c>
      <c r="K52" s="3480">
        <f>[23]Sheet1!BS189</f>
        <v>0.40732032130419121</v>
      </c>
      <c r="L52" s="3480">
        <f>[23]Sheet1!BT189</f>
        <v>0.36866812998362369</v>
      </c>
      <c r="M52" s="3480">
        <f>[23]Sheet1!BU189</f>
        <v>0.39397505704332864</v>
      </c>
      <c r="N52" s="3481">
        <f>[23]Sheet1!BV189</f>
        <v>0.41641444964093743</v>
      </c>
      <c r="O52" s="3479">
        <f>[23]Sheet1!BW189</f>
        <v>0.42946228805666387</v>
      </c>
      <c r="P52" s="3480">
        <f>[23]Sheet1!BX189</f>
        <v>0.44002799488767813</v>
      </c>
      <c r="Q52" s="3480">
        <f>[23]Sheet1!BY189</f>
        <v>0.45230809981303172</v>
      </c>
      <c r="R52" s="3480">
        <f>[23]Sheet1!BZ189</f>
        <v>0.45865986057921593</v>
      </c>
      <c r="S52" s="3482">
        <f>[23]Sheet1!CA189</f>
        <v>0.47021699664075917</v>
      </c>
      <c r="AE52" s="1266"/>
      <c r="DP52" s="223"/>
    </row>
    <row r="53" spans="1:120">
      <c r="B53" s="4785"/>
      <c r="C53" s="890" t="s">
        <v>1651</v>
      </c>
      <c r="D53" s="851" t="s">
        <v>1651</v>
      </c>
      <c r="E53" s="3479">
        <f>'[22]27 - Gas extensions - demand YV'!D68/1000</f>
        <v>0.44500000000000001</v>
      </c>
      <c r="F53" s="3480">
        <f>'[22]27 - Gas extensions - demand YV'!E68/1000</f>
        <v>0.48199999999999998</v>
      </c>
      <c r="G53" s="3480">
        <f>'[22]27 - Gas extensions - demand YV'!F68/1000</f>
        <v>0.56200000000000006</v>
      </c>
      <c r="H53" s="3480">
        <f>'[22]27 - Gas extensions - demand YV'!G68/1000</f>
        <v>1.0946502010288368</v>
      </c>
      <c r="I53" s="3481">
        <f>'[22]27 - Gas extensions - demand YV'!H68/1000</f>
        <v>0.78094011770592897</v>
      </c>
      <c r="J53" s="3479">
        <f>[23]Sheet1!BR190</f>
        <v>0.94810757226244691</v>
      </c>
      <c r="K53" s="3480">
        <f>[23]Sheet1!BS190</f>
        <v>0.88197461175758995</v>
      </c>
      <c r="L53" s="3480">
        <f>[23]Sheet1!BT190</f>
        <v>0.79776502221873402</v>
      </c>
      <c r="M53" s="3480">
        <f>[23]Sheet1!BU190</f>
        <v>0.88936167589543003</v>
      </c>
      <c r="N53" s="3481">
        <f>[23]Sheet1!BV190</f>
        <v>0.94001649642253271</v>
      </c>
      <c r="O53" s="3479">
        <f>[23]Sheet1!BW190</f>
        <v>0.96947076575447932</v>
      </c>
      <c r="P53" s="3480">
        <f>[23]Sheet1!BX190</f>
        <v>0.99332185623916758</v>
      </c>
      <c r="Q53" s="3480">
        <f>[23]Sheet1!BY190</f>
        <v>1.0210430393479324</v>
      </c>
      <c r="R53" s="3480">
        <f>[23]Sheet1!BZ190</f>
        <v>1.035381542506723</v>
      </c>
      <c r="S53" s="3482">
        <f>[23]Sheet1!CA190</f>
        <v>1.0614706913309724</v>
      </c>
      <c r="AE53" s="1266"/>
      <c r="DP53" s="223"/>
    </row>
    <row r="54" spans="1:120">
      <c r="B54" s="4785"/>
      <c r="C54" s="890" t="s">
        <v>1652</v>
      </c>
      <c r="D54" s="851" t="s">
        <v>1652</v>
      </c>
      <c r="E54" s="3479">
        <f>'[22]27 - Gas extensions - demand YV'!D69/1000</f>
        <v>0</v>
      </c>
      <c r="F54" s="3480">
        <f>'[22]27 - Gas extensions - demand YV'!E69/1000</f>
        <v>0.01</v>
      </c>
      <c r="G54" s="3480">
        <f>'[22]27 - Gas extensions - demand YV'!F69/1000</f>
        <v>0.125</v>
      </c>
      <c r="H54" s="3480">
        <f>'[22]27 - Gas extensions - demand YV'!G69/1000</f>
        <v>0.41876174603174648</v>
      </c>
      <c r="I54" s="3481">
        <f>'[22]27 - Gas extensions - demand YV'!H69/1000</f>
        <v>0.67725982801019302</v>
      </c>
      <c r="J54" s="3479">
        <f>[23]Sheet1!BR191</f>
        <v>0.49488277303930472</v>
      </c>
      <c r="K54" s="3480">
        <f>[23]Sheet1!BS191</f>
        <v>0.57021379557637242</v>
      </c>
      <c r="L54" s="3480">
        <f>[23]Sheet1!BT191</f>
        <v>0.54906737394005045</v>
      </c>
      <c r="M54" s="3480">
        <f>[23]Sheet1!BU191</f>
        <v>0.49321216854591188</v>
      </c>
      <c r="N54" s="3481">
        <f>[23]Sheet1!BV191</f>
        <v>0.52130374766002452</v>
      </c>
      <c r="O54" s="3479">
        <f>[23]Sheet1!BW191</f>
        <v>0.53763816417906152</v>
      </c>
      <c r="P54" s="3480">
        <f>[23]Sheet1!BX191</f>
        <v>0.55086523296217937</v>
      </c>
      <c r="Q54" s="3480">
        <f>[23]Sheet1!BY191</f>
        <v>0.56623853406824121</v>
      </c>
      <c r="R54" s="3480">
        <f>[23]Sheet1!BZ191</f>
        <v>0.57419021944925264</v>
      </c>
      <c r="S54" s="3482">
        <f>[23]Sheet1!CA191</f>
        <v>0.5886584453868835</v>
      </c>
      <c r="AE54" s="1266"/>
      <c r="DP54" s="223"/>
    </row>
    <row r="55" spans="1:120" ht="13.5" thickBot="1">
      <c r="B55" s="4786"/>
      <c r="C55" s="3483" t="s">
        <v>396</v>
      </c>
      <c r="D55" s="3486"/>
      <c r="E55" s="1681">
        <f t="shared" ref="E55:S55" si="1">SUM(E40:E54)</f>
        <v>6.5380000000000003</v>
      </c>
      <c r="F55" s="1682">
        <f t="shared" si="1"/>
        <v>7.5030000000000001</v>
      </c>
      <c r="G55" s="1682">
        <f t="shared" si="1"/>
        <v>8.5379999999999985</v>
      </c>
      <c r="H55" s="1682">
        <f t="shared" si="1"/>
        <v>11.869936479379051</v>
      </c>
      <c r="I55" s="1684">
        <f t="shared" si="1"/>
        <v>8.5305152264398227</v>
      </c>
      <c r="J55" s="1681">
        <f t="shared" si="1"/>
        <v>12.241450329732228</v>
      </c>
      <c r="K55" s="1682">
        <f t="shared" si="1"/>
        <v>12.125419444971172</v>
      </c>
      <c r="L55" s="1682">
        <f t="shared" si="1"/>
        <v>13.881684864919659</v>
      </c>
      <c r="M55" s="1682">
        <f t="shared" si="1"/>
        <v>12.290884187893591</v>
      </c>
      <c r="N55" s="1684">
        <f t="shared" si="1"/>
        <v>12.904107384632232</v>
      </c>
      <c r="O55" s="1681">
        <f t="shared" si="1"/>
        <v>13.219831043540429</v>
      </c>
      <c r="P55" s="1682">
        <f t="shared" si="1"/>
        <v>13.455220385748213</v>
      </c>
      <c r="Q55" s="1682">
        <f t="shared" si="1"/>
        <v>13.739327635701185</v>
      </c>
      <c r="R55" s="1682">
        <f t="shared" si="1"/>
        <v>13.840553329911762</v>
      </c>
      <c r="S55" s="3485">
        <f t="shared" si="1"/>
        <v>14.096252396008916</v>
      </c>
      <c r="AE55" s="1266"/>
      <c r="DP55" s="223"/>
    </row>
    <row r="56" spans="1:120" s="1428" customFormat="1" ht="24" customHeight="1" thickBot="1">
      <c r="B56" s="3487" t="s">
        <v>1676</v>
      </c>
      <c r="C56" s="3488"/>
      <c r="D56" s="3488"/>
      <c r="E56" s="3489">
        <f>E38+E55</f>
        <v>192.69600000000003</v>
      </c>
      <c r="F56" s="3490">
        <f t="shared" ref="F56:S56" si="2">F38+F55</f>
        <v>204.10899999999998</v>
      </c>
      <c r="G56" s="3490">
        <f t="shared" si="2"/>
        <v>231.76200000000003</v>
      </c>
      <c r="H56" s="3490">
        <f t="shared" si="2"/>
        <v>246.92883366260466</v>
      </c>
      <c r="I56" s="3491">
        <f t="shared" si="2"/>
        <v>231.93571124234168</v>
      </c>
      <c r="J56" s="3489">
        <f t="shared" si="2"/>
        <v>241.08683043607402</v>
      </c>
      <c r="K56" s="3490">
        <f t="shared" si="2"/>
        <v>218.61194314599163</v>
      </c>
      <c r="L56" s="3490">
        <f t="shared" si="2"/>
        <v>299.3360559811623</v>
      </c>
      <c r="M56" s="3490">
        <f t="shared" si="2"/>
        <v>291.95031376007006</v>
      </c>
      <c r="N56" s="3491">
        <f t="shared" si="2"/>
        <v>300.94291752018347</v>
      </c>
      <c r="O56" s="3489">
        <f t="shared" si="2"/>
        <v>306.37176499089333</v>
      </c>
      <c r="P56" s="3490">
        <f t="shared" si="2"/>
        <v>310.68091979998309</v>
      </c>
      <c r="Q56" s="3490">
        <f t="shared" si="2"/>
        <v>314.61156430005593</v>
      </c>
      <c r="R56" s="3490">
        <f t="shared" si="2"/>
        <v>316.89316992540569</v>
      </c>
      <c r="S56" s="3492">
        <f t="shared" si="2"/>
        <v>318.89739363212675</v>
      </c>
      <c r="T56" s="1429"/>
      <c r="U56" s="1429"/>
      <c r="V56" s="1429"/>
      <c r="W56" s="1429"/>
      <c r="X56" s="1429"/>
      <c r="Y56" s="1429"/>
      <c r="Z56" s="1429"/>
      <c r="AA56" s="1429"/>
      <c r="AB56" s="1429"/>
      <c r="AC56" s="1429"/>
      <c r="AD56" s="1429"/>
      <c r="AE56" s="1429"/>
      <c r="AF56" s="1430"/>
      <c r="AG56" s="1430"/>
      <c r="AH56" s="1430"/>
      <c r="AI56" s="1430"/>
      <c r="AJ56" s="1430"/>
      <c r="AK56" s="1430"/>
      <c r="AL56" s="1430"/>
      <c r="AM56" s="1430"/>
      <c r="AN56" s="1430"/>
      <c r="AO56" s="1430"/>
      <c r="AP56" s="1430"/>
      <c r="AQ56" s="1430"/>
      <c r="AR56" s="1430"/>
      <c r="AS56" s="1430"/>
      <c r="AT56" s="1430"/>
      <c r="AU56" s="1430"/>
      <c r="AV56" s="1430"/>
      <c r="AW56" s="1430"/>
      <c r="AX56" s="1430"/>
      <c r="AY56" s="1430"/>
      <c r="AZ56" s="1430"/>
      <c r="BA56" s="1430"/>
      <c r="BB56" s="1430"/>
      <c r="BC56" s="1430"/>
      <c r="BD56" s="1430"/>
      <c r="BE56" s="1430"/>
      <c r="BF56" s="1430"/>
      <c r="BG56" s="1430"/>
      <c r="BH56" s="1430"/>
      <c r="BI56" s="1430"/>
      <c r="BJ56" s="1430"/>
      <c r="BK56" s="1430"/>
      <c r="BL56" s="1430"/>
      <c r="BM56" s="1430"/>
      <c r="BN56" s="1430"/>
      <c r="BO56" s="1430"/>
      <c r="BP56" s="1430"/>
      <c r="BQ56" s="1430"/>
      <c r="BR56" s="1430"/>
      <c r="BS56" s="1430"/>
      <c r="BT56" s="1430"/>
      <c r="BU56" s="1430"/>
      <c r="BV56" s="1430"/>
      <c r="BW56" s="1430"/>
      <c r="BX56" s="1430"/>
      <c r="BY56" s="1430"/>
      <c r="BZ56" s="1430"/>
      <c r="CA56" s="1430"/>
      <c r="CB56" s="1430"/>
      <c r="CC56" s="1430"/>
      <c r="CD56" s="1430"/>
      <c r="CE56" s="1430"/>
      <c r="CF56" s="1430"/>
      <c r="CG56" s="1430"/>
      <c r="CH56" s="1430"/>
      <c r="CI56" s="1430"/>
      <c r="CJ56" s="1430"/>
      <c r="CK56" s="1430"/>
      <c r="CL56" s="1430"/>
      <c r="CM56" s="1430"/>
      <c r="CN56" s="1430"/>
      <c r="CO56" s="1430"/>
      <c r="CP56" s="1430"/>
      <c r="CQ56" s="1430"/>
      <c r="CR56" s="1430"/>
      <c r="CS56" s="1430"/>
      <c r="CT56" s="1430"/>
      <c r="CU56" s="1430"/>
      <c r="CV56" s="1430"/>
      <c r="CW56" s="1430"/>
      <c r="CX56" s="1430"/>
      <c r="CY56" s="1430"/>
      <c r="CZ56" s="1430"/>
      <c r="DA56" s="1430"/>
      <c r="DB56" s="1430"/>
      <c r="DC56" s="1430"/>
      <c r="DD56" s="1430"/>
      <c r="DE56" s="1430"/>
      <c r="DF56" s="1430"/>
      <c r="DG56" s="1430"/>
      <c r="DH56" s="1430"/>
      <c r="DI56" s="1430"/>
      <c r="DJ56" s="1430"/>
      <c r="DK56" s="1430"/>
      <c r="DL56" s="1430"/>
      <c r="DM56" s="1430"/>
      <c r="DN56" s="1430"/>
      <c r="DO56" s="1430"/>
      <c r="DP56" s="1430"/>
    </row>
    <row r="57" spans="1:120" s="1266" customFormat="1" ht="25.5" customHeight="1" thickBot="1">
      <c r="A57" s="1268"/>
      <c r="B57" s="2269" t="s">
        <v>1655</v>
      </c>
      <c r="C57" s="2271"/>
      <c r="D57" s="2271"/>
      <c r="E57" s="814"/>
      <c r="F57" s="814"/>
      <c r="G57" s="814"/>
      <c r="H57" s="814"/>
      <c r="I57" s="814"/>
      <c r="J57" s="814"/>
      <c r="K57" s="814"/>
      <c r="L57" s="814"/>
      <c r="M57" s="814"/>
      <c r="N57" s="814"/>
      <c r="O57" s="814"/>
      <c r="P57" s="814"/>
      <c r="Q57" s="814"/>
      <c r="R57" s="814"/>
      <c r="S57" s="815"/>
    </row>
    <row r="58" spans="1:120">
      <c r="B58" s="4784" t="s">
        <v>1655</v>
      </c>
      <c r="C58" s="4787" t="s">
        <v>48</v>
      </c>
      <c r="D58" s="4790"/>
      <c r="E58" s="1650">
        <v>0</v>
      </c>
      <c r="F58" s="1651">
        <v>0</v>
      </c>
      <c r="G58" s="1651">
        <v>0</v>
      </c>
      <c r="H58" s="1651">
        <v>0</v>
      </c>
      <c r="I58" s="1683">
        <v>0</v>
      </c>
      <c r="J58" s="1650">
        <v>0</v>
      </c>
      <c r="K58" s="1651">
        <v>0</v>
      </c>
      <c r="L58" s="1651">
        <v>0</v>
      </c>
      <c r="M58" s="1651">
        <v>0</v>
      </c>
      <c r="N58" s="1683">
        <v>0</v>
      </c>
      <c r="O58" s="1650">
        <v>0</v>
      </c>
      <c r="P58" s="1651">
        <v>0</v>
      </c>
      <c r="Q58" s="1651">
        <v>0</v>
      </c>
      <c r="R58" s="1651">
        <v>0</v>
      </c>
      <c r="S58" s="1652">
        <v>0</v>
      </c>
      <c r="AE58" s="1266"/>
      <c r="DP58" s="223"/>
    </row>
    <row r="59" spans="1:120">
      <c r="B59" s="4785"/>
      <c r="C59" s="890" t="s">
        <v>1656</v>
      </c>
      <c r="D59" s="851" t="s">
        <v>1656</v>
      </c>
      <c r="E59" s="3479">
        <f>[23]Sheet1!BM218</f>
        <v>0</v>
      </c>
      <c r="F59" s="3480">
        <f>[23]Sheet1!BN218</f>
        <v>0</v>
      </c>
      <c r="G59" s="3480">
        <f>[23]Sheet1!BO218</f>
        <v>0</v>
      </c>
      <c r="H59" s="3480">
        <f>[23]Sheet1!BP218</f>
        <v>0</v>
      </c>
      <c r="I59" s="3481">
        <f>[23]Sheet1!BQ218</f>
        <v>0</v>
      </c>
      <c r="J59" s="3479">
        <f>[23]Sheet1!BR218</f>
        <v>0</v>
      </c>
      <c r="K59" s="3480">
        <f>[23]Sheet1!BS218</f>
        <v>0</v>
      </c>
      <c r="L59" s="3480">
        <f>[23]Sheet1!BT218</f>
        <v>0</v>
      </c>
      <c r="M59" s="3480">
        <f>[23]Sheet1!BU218</f>
        <v>0</v>
      </c>
      <c r="N59" s="3481">
        <f>[23]Sheet1!BV218</f>
        <v>0</v>
      </c>
      <c r="O59" s="3479">
        <f>[23]Sheet1!BW218</f>
        <v>0</v>
      </c>
      <c r="P59" s="3480">
        <f>[23]Sheet1!BX218</f>
        <v>0</v>
      </c>
      <c r="Q59" s="3480">
        <f>[23]Sheet1!BY218</f>
        <v>0</v>
      </c>
      <c r="R59" s="3480">
        <f>[23]Sheet1!BZ218</f>
        <v>0</v>
      </c>
      <c r="S59" s="3482">
        <f>[23]Sheet1!CA218</f>
        <v>0</v>
      </c>
      <c r="AE59" s="1266"/>
      <c r="DP59" s="223"/>
    </row>
    <row r="60" spans="1:120">
      <c r="B60" s="4785"/>
      <c r="C60" s="890" t="s">
        <v>1657</v>
      </c>
      <c r="D60" s="851" t="s">
        <v>1657</v>
      </c>
      <c r="E60" s="3479">
        <f>[23]Sheet1!BM219</f>
        <v>0</v>
      </c>
      <c r="F60" s="3480">
        <f>[23]Sheet1!BN219</f>
        <v>0</v>
      </c>
      <c r="G60" s="3480">
        <f>[23]Sheet1!BO219</f>
        <v>0</v>
      </c>
      <c r="H60" s="3480">
        <f>[23]Sheet1!BP219</f>
        <v>0</v>
      </c>
      <c r="I60" s="3481">
        <f>[23]Sheet1!BQ219</f>
        <v>0</v>
      </c>
      <c r="J60" s="3479">
        <f>[23]Sheet1!BR219</f>
        <v>0</v>
      </c>
      <c r="K60" s="3480">
        <f>[23]Sheet1!BS219</f>
        <v>0</v>
      </c>
      <c r="L60" s="3480">
        <f>[23]Sheet1!BT219</f>
        <v>0</v>
      </c>
      <c r="M60" s="3480">
        <f>[23]Sheet1!BU219</f>
        <v>0</v>
      </c>
      <c r="N60" s="3481">
        <f>[23]Sheet1!BV219</f>
        <v>0</v>
      </c>
      <c r="O60" s="3479">
        <f>[23]Sheet1!BW219</f>
        <v>0</v>
      </c>
      <c r="P60" s="3480">
        <f>[23]Sheet1!BX219</f>
        <v>0</v>
      </c>
      <c r="Q60" s="3480">
        <f>[23]Sheet1!BY219</f>
        <v>0</v>
      </c>
      <c r="R60" s="3480">
        <f>[23]Sheet1!BZ219</f>
        <v>0</v>
      </c>
      <c r="S60" s="3482">
        <f>[23]Sheet1!CA219</f>
        <v>0</v>
      </c>
      <c r="AE60" s="1266"/>
      <c r="DP60" s="223"/>
    </row>
    <row r="61" spans="1:120">
      <c r="B61" s="4785"/>
      <c r="C61" s="890" t="s">
        <v>1658</v>
      </c>
      <c r="D61" s="851" t="s">
        <v>1658</v>
      </c>
      <c r="E61" s="3479">
        <f>[23]Sheet1!BM220</f>
        <v>0</v>
      </c>
      <c r="F61" s="3480">
        <f>[23]Sheet1!BN220</f>
        <v>0</v>
      </c>
      <c r="G61" s="3480">
        <f>[23]Sheet1!BO220</f>
        <v>0</v>
      </c>
      <c r="H61" s="3480">
        <f>[23]Sheet1!BP220</f>
        <v>0</v>
      </c>
      <c r="I61" s="3481">
        <f>[23]Sheet1!BQ220</f>
        <v>0</v>
      </c>
      <c r="J61" s="3479">
        <f>[23]Sheet1!BR220</f>
        <v>0</v>
      </c>
      <c r="K61" s="3480">
        <f>[23]Sheet1!BS220</f>
        <v>0</v>
      </c>
      <c r="L61" s="3480">
        <f>[23]Sheet1!BT220</f>
        <v>0</v>
      </c>
      <c r="M61" s="3480">
        <f>[23]Sheet1!BU220</f>
        <v>0</v>
      </c>
      <c r="N61" s="3481">
        <f>[23]Sheet1!BV220</f>
        <v>0</v>
      </c>
      <c r="O61" s="3479">
        <f>[23]Sheet1!BW220</f>
        <v>0</v>
      </c>
      <c r="P61" s="3480">
        <f>[23]Sheet1!BX220</f>
        <v>0</v>
      </c>
      <c r="Q61" s="3480">
        <f>[23]Sheet1!BY220</f>
        <v>0</v>
      </c>
      <c r="R61" s="3480">
        <f>[23]Sheet1!BZ220</f>
        <v>0</v>
      </c>
      <c r="S61" s="3482">
        <f>[23]Sheet1!CA220</f>
        <v>0</v>
      </c>
      <c r="AE61" s="1266"/>
      <c r="DP61" s="223"/>
    </row>
    <row r="62" spans="1:120">
      <c r="B62" s="4785"/>
      <c r="C62" s="890" t="s">
        <v>1659</v>
      </c>
      <c r="D62" s="851" t="s">
        <v>1659</v>
      </c>
      <c r="E62" s="3479">
        <f>[23]Sheet1!BM221</f>
        <v>0</v>
      </c>
      <c r="F62" s="3480">
        <f>[23]Sheet1!BN221</f>
        <v>0</v>
      </c>
      <c r="G62" s="3480">
        <f>[23]Sheet1!BO221</f>
        <v>0</v>
      </c>
      <c r="H62" s="3480">
        <f>[23]Sheet1!BP221</f>
        <v>0</v>
      </c>
      <c r="I62" s="3481">
        <f>[23]Sheet1!BQ221</f>
        <v>0</v>
      </c>
      <c r="J62" s="3479">
        <f>[23]Sheet1!BR221</f>
        <v>0</v>
      </c>
      <c r="K62" s="3480">
        <f>[23]Sheet1!BS221</f>
        <v>0</v>
      </c>
      <c r="L62" s="3480">
        <f>[23]Sheet1!BT221</f>
        <v>0</v>
      </c>
      <c r="M62" s="3480">
        <f>[23]Sheet1!BU221</f>
        <v>0</v>
      </c>
      <c r="N62" s="3481">
        <f>[23]Sheet1!BV221</f>
        <v>0</v>
      </c>
      <c r="O62" s="3479">
        <f>[23]Sheet1!BW221</f>
        <v>0</v>
      </c>
      <c r="P62" s="3480">
        <f>[23]Sheet1!BX221</f>
        <v>0</v>
      </c>
      <c r="Q62" s="3480">
        <f>[23]Sheet1!BY221</f>
        <v>0</v>
      </c>
      <c r="R62" s="3480">
        <f>[23]Sheet1!BZ221</f>
        <v>0</v>
      </c>
      <c r="S62" s="3482">
        <f>[23]Sheet1!CA221</f>
        <v>0</v>
      </c>
      <c r="AE62" s="1266"/>
      <c r="DP62" s="223"/>
    </row>
    <row r="63" spans="1:120">
      <c r="B63" s="4785"/>
      <c r="C63" s="890" t="s">
        <v>1660</v>
      </c>
      <c r="D63" s="851" t="s">
        <v>1660</v>
      </c>
      <c r="E63" s="3479">
        <f>[23]Sheet1!BM222</f>
        <v>0</v>
      </c>
      <c r="F63" s="3480">
        <f>[23]Sheet1!BN222</f>
        <v>0</v>
      </c>
      <c r="G63" s="3480">
        <f>[23]Sheet1!BO222</f>
        <v>0</v>
      </c>
      <c r="H63" s="3480">
        <f>[23]Sheet1!BP222</f>
        <v>0</v>
      </c>
      <c r="I63" s="3481">
        <f>[23]Sheet1!BQ222</f>
        <v>0</v>
      </c>
      <c r="J63" s="3479">
        <f>[23]Sheet1!BR222</f>
        <v>0</v>
      </c>
      <c r="K63" s="3480">
        <f>[23]Sheet1!BS222</f>
        <v>0</v>
      </c>
      <c r="L63" s="3480">
        <f>[23]Sheet1!BT222</f>
        <v>0</v>
      </c>
      <c r="M63" s="3480">
        <f>[23]Sheet1!BU222</f>
        <v>0</v>
      </c>
      <c r="N63" s="3481">
        <f>[23]Sheet1!BV222</f>
        <v>0</v>
      </c>
      <c r="O63" s="3479">
        <f>[23]Sheet1!BW222</f>
        <v>0</v>
      </c>
      <c r="P63" s="3480">
        <f>[23]Sheet1!BX222</f>
        <v>0</v>
      </c>
      <c r="Q63" s="3480">
        <f>[23]Sheet1!BY222</f>
        <v>0</v>
      </c>
      <c r="R63" s="3480">
        <f>[23]Sheet1!BZ222</f>
        <v>0</v>
      </c>
      <c r="S63" s="3482">
        <f>[23]Sheet1!CA222</f>
        <v>0</v>
      </c>
      <c r="AE63" s="1266"/>
      <c r="DP63" s="223"/>
    </row>
    <row r="64" spans="1:120">
      <c r="B64" s="4785"/>
      <c r="C64" s="890" t="s">
        <v>1661</v>
      </c>
      <c r="D64" s="851" t="s">
        <v>1661</v>
      </c>
      <c r="E64" s="3479">
        <f>[23]Sheet1!BM223</f>
        <v>0</v>
      </c>
      <c r="F64" s="3480">
        <f>[23]Sheet1!BN223</f>
        <v>0</v>
      </c>
      <c r="G64" s="3480">
        <f>[23]Sheet1!BO223</f>
        <v>0</v>
      </c>
      <c r="H64" s="3480">
        <f>[23]Sheet1!BP223</f>
        <v>0</v>
      </c>
      <c r="I64" s="3481">
        <f>[23]Sheet1!BQ223</f>
        <v>0</v>
      </c>
      <c r="J64" s="3479">
        <f>[23]Sheet1!BR223</f>
        <v>0</v>
      </c>
      <c r="K64" s="3480">
        <f>[23]Sheet1!BS223</f>
        <v>0</v>
      </c>
      <c r="L64" s="3480">
        <f>[23]Sheet1!BT223</f>
        <v>0</v>
      </c>
      <c r="M64" s="3480">
        <f>[23]Sheet1!BU223</f>
        <v>0</v>
      </c>
      <c r="N64" s="3481">
        <f>[23]Sheet1!BV223</f>
        <v>0</v>
      </c>
      <c r="O64" s="3479">
        <f>[23]Sheet1!BW223</f>
        <v>0</v>
      </c>
      <c r="P64" s="3480">
        <f>[23]Sheet1!BX223</f>
        <v>0</v>
      </c>
      <c r="Q64" s="3480">
        <f>[23]Sheet1!BY223</f>
        <v>0</v>
      </c>
      <c r="R64" s="3480">
        <f>[23]Sheet1!BZ223</f>
        <v>0</v>
      </c>
      <c r="S64" s="3482">
        <f>[23]Sheet1!CA223</f>
        <v>0</v>
      </c>
      <c r="AE64" s="1266"/>
      <c r="DP64" s="223"/>
    </row>
    <row r="65" spans="2:120">
      <c r="B65" s="4785"/>
      <c r="C65" s="890"/>
      <c r="D65" s="851"/>
      <c r="E65" s="3479"/>
      <c r="F65" s="3480"/>
      <c r="G65" s="3480"/>
      <c r="H65" s="3480"/>
      <c r="I65" s="3481"/>
      <c r="J65" s="3479"/>
      <c r="K65" s="3480"/>
      <c r="L65" s="3480"/>
      <c r="M65" s="3480"/>
      <c r="N65" s="3481"/>
      <c r="O65" s="3479"/>
      <c r="P65" s="3480"/>
      <c r="Q65" s="3480"/>
      <c r="R65" s="3480"/>
      <c r="S65" s="3482"/>
      <c r="AE65" s="1266"/>
      <c r="DP65" s="223"/>
    </row>
    <row r="66" spans="2:120">
      <c r="B66" s="4785"/>
      <c r="C66" s="890" t="s">
        <v>1662</v>
      </c>
      <c r="D66" s="851" t="s">
        <v>1662</v>
      </c>
      <c r="E66" s="3479">
        <f>[23]Sheet1!BM208</f>
        <v>0</v>
      </c>
      <c r="F66" s="3480">
        <f>[23]Sheet1!BN208</f>
        <v>0</v>
      </c>
      <c r="G66" s="3480">
        <f>[23]Sheet1!BO208</f>
        <v>0</v>
      </c>
      <c r="H66" s="3480">
        <f>[23]Sheet1!BP208</f>
        <v>0</v>
      </c>
      <c r="I66" s="3481">
        <f>[23]Sheet1!BQ208</f>
        <v>0</v>
      </c>
      <c r="J66" s="3479">
        <f>[23]Sheet1!BR208</f>
        <v>0</v>
      </c>
      <c r="K66" s="3480">
        <f>[23]Sheet1!BS208</f>
        <v>0</v>
      </c>
      <c r="L66" s="3480">
        <f>[23]Sheet1!BT208</f>
        <v>0</v>
      </c>
      <c r="M66" s="3480">
        <f>[23]Sheet1!BU208</f>
        <v>0</v>
      </c>
      <c r="N66" s="3481">
        <f>[23]Sheet1!BV208</f>
        <v>0</v>
      </c>
      <c r="O66" s="3479">
        <f>[23]Sheet1!BW208</f>
        <v>0</v>
      </c>
      <c r="P66" s="3480">
        <f>[23]Sheet1!BX208</f>
        <v>0</v>
      </c>
      <c r="Q66" s="3480">
        <f>[23]Sheet1!BY208</f>
        <v>0</v>
      </c>
      <c r="R66" s="3480">
        <f>[23]Sheet1!BZ208</f>
        <v>0</v>
      </c>
      <c r="S66" s="3482">
        <f>[23]Sheet1!CA208</f>
        <v>0</v>
      </c>
      <c r="AE66" s="1266"/>
      <c r="DP66" s="223"/>
    </row>
    <row r="67" spans="2:120">
      <c r="B67" s="4785"/>
      <c r="C67" s="890" t="s">
        <v>1663</v>
      </c>
      <c r="D67" s="851" t="s">
        <v>1663</v>
      </c>
      <c r="E67" s="3479">
        <f>[23]Sheet1!BM209</f>
        <v>0</v>
      </c>
      <c r="F67" s="3480">
        <f>[23]Sheet1!BN209</f>
        <v>0</v>
      </c>
      <c r="G67" s="3480">
        <f>[23]Sheet1!BO209</f>
        <v>0</v>
      </c>
      <c r="H67" s="3480">
        <f>[23]Sheet1!BP209</f>
        <v>0</v>
      </c>
      <c r="I67" s="3481">
        <f>[23]Sheet1!BQ209</f>
        <v>0</v>
      </c>
      <c r="J67" s="3479">
        <f>[23]Sheet1!BR209</f>
        <v>0</v>
      </c>
      <c r="K67" s="3480">
        <f>[23]Sheet1!BS209</f>
        <v>0</v>
      </c>
      <c r="L67" s="3480">
        <f>[23]Sheet1!BT209</f>
        <v>0</v>
      </c>
      <c r="M67" s="3480">
        <f>[23]Sheet1!BU209</f>
        <v>0</v>
      </c>
      <c r="N67" s="3481">
        <f>[23]Sheet1!BV209</f>
        <v>0</v>
      </c>
      <c r="O67" s="3479">
        <f>[23]Sheet1!BW209</f>
        <v>0</v>
      </c>
      <c r="P67" s="3480">
        <f>[23]Sheet1!BX209</f>
        <v>0</v>
      </c>
      <c r="Q67" s="3480">
        <f>[23]Sheet1!BY209</f>
        <v>0</v>
      </c>
      <c r="R67" s="3480">
        <f>[23]Sheet1!BZ209</f>
        <v>0</v>
      </c>
      <c r="S67" s="3482">
        <f>[23]Sheet1!CA209</f>
        <v>0</v>
      </c>
      <c r="AE67" s="1266"/>
      <c r="DP67" s="223"/>
    </row>
    <row r="68" spans="2:120" ht="13.5" thickBot="1">
      <c r="B68" s="4786"/>
      <c r="C68" s="4802" t="s">
        <v>396</v>
      </c>
      <c r="D68" s="4803"/>
      <c r="E68" s="1681">
        <f t="shared" ref="E68:S68" si="3">SUM(E59:E64)</f>
        <v>0</v>
      </c>
      <c r="F68" s="1682">
        <f t="shared" si="3"/>
        <v>0</v>
      </c>
      <c r="G68" s="1682">
        <f t="shared" si="3"/>
        <v>0</v>
      </c>
      <c r="H68" s="1682">
        <f t="shared" si="3"/>
        <v>0</v>
      </c>
      <c r="I68" s="1684">
        <f t="shared" si="3"/>
        <v>0</v>
      </c>
      <c r="J68" s="1681">
        <f t="shared" si="3"/>
        <v>0</v>
      </c>
      <c r="K68" s="1682">
        <f t="shared" si="3"/>
        <v>0</v>
      </c>
      <c r="L68" s="1682">
        <f t="shared" si="3"/>
        <v>0</v>
      </c>
      <c r="M68" s="1682">
        <f t="shared" si="3"/>
        <v>0</v>
      </c>
      <c r="N68" s="1684">
        <f t="shared" si="3"/>
        <v>0</v>
      </c>
      <c r="O68" s="1681">
        <f t="shared" si="3"/>
        <v>0</v>
      </c>
      <c r="P68" s="1682">
        <f t="shared" si="3"/>
        <v>0</v>
      </c>
      <c r="Q68" s="1682">
        <f t="shared" si="3"/>
        <v>0</v>
      </c>
      <c r="R68" s="1682">
        <f t="shared" si="3"/>
        <v>0</v>
      </c>
      <c r="S68" s="3485">
        <f t="shared" si="3"/>
        <v>0</v>
      </c>
      <c r="AE68" s="1266"/>
      <c r="DP68" s="223"/>
    </row>
    <row r="69" spans="2:120" s="1428" customFormat="1" ht="24" customHeight="1" thickBot="1">
      <c r="B69" s="3487" t="s">
        <v>1664</v>
      </c>
      <c r="C69" s="3488"/>
      <c r="D69" s="3488"/>
      <c r="E69" s="3489">
        <f>SUM(E59:E64)</f>
        <v>0</v>
      </c>
      <c r="F69" s="3490">
        <f t="shared" ref="F69:S69" si="4">SUM(F59:F64)</f>
        <v>0</v>
      </c>
      <c r="G69" s="3490">
        <f t="shared" si="4"/>
        <v>0</v>
      </c>
      <c r="H69" s="3490">
        <f t="shared" si="4"/>
        <v>0</v>
      </c>
      <c r="I69" s="3491">
        <f t="shared" si="4"/>
        <v>0</v>
      </c>
      <c r="J69" s="3489">
        <f t="shared" si="4"/>
        <v>0</v>
      </c>
      <c r="K69" s="3490">
        <f t="shared" si="4"/>
        <v>0</v>
      </c>
      <c r="L69" s="3490">
        <f t="shared" si="4"/>
        <v>0</v>
      </c>
      <c r="M69" s="3490">
        <f t="shared" si="4"/>
        <v>0</v>
      </c>
      <c r="N69" s="3491">
        <f t="shared" si="4"/>
        <v>0</v>
      </c>
      <c r="O69" s="3489">
        <f t="shared" si="4"/>
        <v>0</v>
      </c>
      <c r="P69" s="3490">
        <f t="shared" si="4"/>
        <v>0</v>
      </c>
      <c r="Q69" s="3490">
        <f t="shared" si="4"/>
        <v>0</v>
      </c>
      <c r="R69" s="3490">
        <f t="shared" si="4"/>
        <v>0</v>
      </c>
      <c r="S69" s="3492">
        <f t="shared" si="4"/>
        <v>0</v>
      </c>
      <c r="T69" s="1429"/>
      <c r="U69" s="1429"/>
      <c r="V69" s="1429"/>
      <c r="W69" s="1429"/>
      <c r="X69" s="1429"/>
      <c r="Y69" s="1429"/>
      <c r="Z69" s="1429"/>
      <c r="AA69" s="1429"/>
      <c r="AB69" s="1429"/>
      <c r="AC69" s="1429"/>
      <c r="AD69" s="1429"/>
      <c r="AE69" s="1429"/>
      <c r="AF69" s="1430"/>
      <c r="AG69" s="1430"/>
      <c r="AH69" s="1430"/>
      <c r="AI69" s="1430"/>
      <c r="AJ69" s="1430"/>
      <c r="AK69" s="1430"/>
      <c r="AL69" s="1430"/>
      <c r="AM69" s="1430"/>
      <c r="AN69" s="1430"/>
      <c r="AO69" s="1430"/>
      <c r="AP69" s="1430"/>
      <c r="AQ69" s="1430"/>
      <c r="AR69" s="1430"/>
      <c r="AS69" s="1430"/>
      <c r="AT69" s="1430"/>
      <c r="AU69" s="1430"/>
      <c r="AV69" s="1430"/>
      <c r="AW69" s="1430"/>
      <c r="AX69" s="1430"/>
      <c r="AY69" s="1430"/>
      <c r="AZ69" s="1430"/>
      <c r="BA69" s="1430"/>
      <c r="BB69" s="1430"/>
      <c r="BC69" s="1430"/>
      <c r="BD69" s="1430"/>
      <c r="BE69" s="1430"/>
      <c r="BF69" s="1430"/>
      <c r="BG69" s="1430"/>
      <c r="BH69" s="1430"/>
      <c r="BI69" s="1430"/>
      <c r="BJ69" s="1430"/>
      <c r="BK69" s="1430"/>
      <c r="BL69" s="1430"/>
      <c r="BM69" s="1430"/>
      <c r="BN69" s="1430"/>
      <c r="BO69" s="1430"/>
      <c r="BP69" s="1430"/>
      <c r="BQ69" s="1430"/>
      <c r="BR69" s="1430"/>
      <c r="BS69" s="1430"/>
      <c r="BT69" s="1430"/>
      <c r="BU69" s="1430"/>
      <c r="BV69" s="1430"/>
      <c r="BW69" s="1430"/>
      <c r="BX69" s="1430"/>
      <c r="BY69" s="1430"/>
      <c r="BZ69" s="1430"/>
      <c r="CA69" s="1430"/>
      <c r="CB69" s="1430"/>
      <c r="CC69" s="1430"/>
      <c r="CD69" s="1430"/>
      <c r="CE69" s="1430"/>
      <c r="CF69" s="1430"/>
      <c r="CG69" s="1430"/>
      <c r="CH69" s="1430"/>
      <c r="CI69" s="1430"/>
      <c r="CJ69" s="1430"/>
      <c r="CK69" s="1430"/>
      <c r="CL69" s="1430"/>
      <c r="CM69" s="1430"/>
      <c r="CN69" s="1430"/>
      <c r="CO69" s="1430"/>
      <c r="CP69" s="1430"/>
      <c r="CQ69" s="1430"/>
      <c r="CR69" s="1430"/>
      <c r="CS69" s="1430"/>
      <c r="CT69" s="1430"/>
      <c r="CU69" s="1430"/>
      <c r="CV69" s="1430"/>
      <c r="CW69" s="1430"/>
      <c r="CX69" s="1430"/>
      <c r="CY69" s="1430"/>
      <c r="CZ69" s="1430"/>
      <c r="DA69" s="1430"/>
      <c r="DB69" s="1430"/>
      <c r="DC69" s="1430"/>
      <c r="DD69" s="1430"/>
      <c r="DE69" s="1430"/>
      <c r="DF69" s="1430"/>
      <c r="DG69" s="1430"/>
      <c r="DH69" s="1430"/>
      <c r="DI69" s="1430"/>
      <c r="DJ69" s="1430"/>
      <c r="DK69" s="1430"/>
      <c r="DL69" s="1430"/>
      <c r="DM69" s="1430"/>
      <c r="DN69" s="1430"/>
      <c r="DO69" s="1430"/>
      <c r="DP69" s="1430"/>
    </row>
    <row r="70" spans="2:120" s="1266" customFormat="1" ht="24" customHeight="1" thickBot="1">
      <c r="B70" s="2269" t="s">
        <v>1622</v>
      </c>
      <c r="C70" s="2271"/>
      <c r="D70" s="2271"/>
      <c r="E70" s="814"/>
      <c r="F70" s="814"/>
      <c r="G70" s="814"/>
      <c r="H70" s="814"/>
      <c r="I70" s="814"/>
      <c r="J70" s="814"/>
      <c r="K70" s="814"/>
      <c r="L70" s="814"/>
      <c r="M70" s="814"/>
      <c r="N70" s="814"/>
      <c r="O70" s="814"/>
      <c r="P70" s="814"/>
      <c r="Q70" s="814"/>
      <c r="R70" s="814"/>
      <c r="S70" s="815"/>
    </row>
    <row r="71" spans="2:120" s="1266" customFormat="1" ht="32.25" customHeight="1">
      <c r="B71" s="4784" t="s">
        <v>1622</v>
      </c>
      <c r="C71" s="4787" t="s">
        <v>48</v>
      </c>
      <c r="D71" s="4790"/>
      <c r="E71" s="1650">
        <f>'[18]27.1 Customer numbers Total'!D48</f>
        <v>0</v>
      </c>
      <c r="F71" s="1651">
        <f>'[18]27.1 Customer numbers Total'!E48</f>
        <v>0</v>
      </c>
      <c r="G71" s="1651">
        <f>'[18]27.1 Customer numbers Total'!F48</f>
        <v>0</v>
      </c>
      <c r="H71" s="1651">
        <f>'[18]27.1 Customer numbers Total'!G48</f>
        <v>0</v>
      </c>
      <c r="I71" s="1683">
        <f>'[18]27.1 Customer numbers Total'!H48</f>
        <v>0</v>
      </c>
      <c r="J71" s="1650">
        <f>'[18]27.1 Customer numbers Total'!I48</f>
        <v>0</v>
      </c>
      <c r="K71" s="1651">
        <f>'[18]27.1 Customer numbers Total'!J48</f>
        <v>0</v>
      </c>
      <c r="L71" s="1651">
        <f>'[18]27.1 Customer numbers Total'!K48</f>
        <v>0</v>
      </c>
      <c r="M71" s="1651">
        <f>'[18]27.1 Customer numbers Total'!L48</f>
        <v>0</v>
      </c>
      <c r="N71" s="1683">
        <f>'[18]27.1 Customer numbers Total'!M48</f>
        <v>0</v>
      </c>
      <c r="O71" s="1650">
        <f>'[18]27.1 Customer numbers Total'!N48</f>
        <v>0</v>
      </c>
      <c r="P71" s="1651">
        <f>'[18]27.1 Customer numbers Total'!O48</f>
        <v>0</v>
      </c>
      <c r="Q71" s="1651">
        <f>'[18]27.1 Customer numbers Total'!P48</f>
        <v>0</v>
      </c>
      <c r="R71" s="1651">
        <f>'[18]27.1 Customer numbers Total'!Q48</f>
        <v>0</v>
      </c>
      <c r="S71" s="1652">
        <f>'[18]27.1 Customer numbers Total'!R48</f>
        <v>0</v>
      </c>
    </row>
    <row r="72" spans="2:120">
      <c r="B72" s="4785"/>
      <c r="C72" s="890" t="s">
        <v>1665</v>
      </c>
      <c r="D72" s="851" t="s">
        <v>1665</v>
      </c>
      <c r="E72" s="3479"/>
      <c r="F72" s="3480"/>
      <c r="G72" s="3480"/>
      <c r="H72" s="3480"/>
      <c r="I72" s="3493"/>
      <c r="J72" s="3479"/>
      <c r="K72" s="3480"/>
      <c r="L72" s="3480"/>
      <c r="M72" s="3480"/>
      <c r="N72" s="3493"/>
      <c r="O72" s="3479"/>
      <c r="P72" s="3480"/>
      <c r="Q72" s="3480"/>
      <c r="R72" s="3480"/>
      <c r="S72" s="3494"/>
    </row>
    <row r="73" spans="2:120">
      <c r="B73" s="4785"/>
      <c r="C73" s="890" t="s">
        <v>1666</v>
      </c>
      <c r="D73" s="851" t="s">
        <v>1666</v>
      </c>
      <c r="E73" s="3479"/>
      <c r="F73" s="3480"/>
      <c r="G73" s="3480"/>
      <c r="H73" s="3480"/>
      <c r="I73" s="3493"/>
      <c r="J73" s="3479"/>
      <c r="K73" s="3480"/>
      <c r="L73" s="3480"/>
      <c r="M73" s="3480"/>
      <c r="N73" s="3493"/>
      <c r="O73" s="3479"/>
      <c r="P73" s="3480"/>
      <c r="Q73" s="3480"/>
      <c r="R73" s="3480"/>
      <c r="S73" s="3494"/>
    </row>
    <row r="74" spans="2:120" ht="13.5" thickBot="1">
      <c r="B74" s="4786"/>
      <c r="C74" s="4802" t="s">
        <v>396</v>
      </c>
      <c r="D74" s="4803"/>
      <c r="E74" s="1681">
        <f t="shared" ref="E74:S74" si="5">SUM(E72:E73)</f>
        <v>0</v>
      </c>
      <c r="F74" s="1682">
        <f t="shared" si="5"/>
        <v>0</v>
      </c>
      <c r="G74" s="1682">
        <f t="shared" si="5"/>
        <v>0</v>
      </c>
      <c r="H74" s="1682">
        <f t="shared" si="5"/>
        <v>0</v>
      </c>
      <c r="I74" s="1684">
        <f t="shared" si="5"/>
        <v>0</v>
      </c>
      <c r="J74" s="1681">
        <f t="shared" si="5"/>
        <v>0</v>
      </c>
      <c r="K74" s="1682">
        <f t="shared" si="5"/>
        <v>0</v>
      </c>
      <c r="L74" s="1682">
        <f t="shared" si="5"/>
        <v>0</v>
      </c>
      <c r="M74" s="1682">
        <f t="shared" si="5"/>
        <v>0</v>
      </c>
      <c r="N74" s="1684">
        <f t="shared" si="5"/>
        <v>0</v>
      </c>
      <c r="O74" s="1681">
        <f t="shared" si="5"/>
        <v>0</v>
      </c>
      <c r="P74" s="1682">
        <f t="shared" si="5"/>
        <v>0</v>
      </c>
      <c r="Q74" s="1682">
        <f t="shared" si="5"/>
        <v>0</v>
      </c>
      <c r="R74" s="1682">
        <f t="shared" si="5"/>
        <v>0</v>
      </c>
      <c r="S74" s="3485">
        <f t="shared" si="5"/>
        <v>0</v>
      </c>
    </row>
    <row r="75" spans="2:120" ht="13.5" thickBot="1">
      <c r="B75" s="3487" t="s">
        <v>65</v>
      </c>
      <c r="C75" s="3488"/>
      <c r="D75" s="3488"/>
      <c r="E75" s="1686">
        <f t="shared" ref="E75:S75" ca="1" si="6">SUMIF(C71:D74,"total",E71:E74)</f>
        <v>0</v>
      </c>
      <c r="F75" s="1687">
        <f t="shared" ca="1" si="6"/>
        <v>0</v>
      </c>
      <c r="G75" s="1687">
        <f t="shared" ca="1" si="6"/>
        <v>0</v>
      </c>
      <c r="H75" s="1687">
        <f t="shared" ca="1" si="6"/>
        <v>0</v>
      </c>
      <c r="I75" s="1688">
        <f t="shared" ca="1" si="6"/>
        <v>0</v>
      </c>
      <c r="J75" s="1686">
        <f t="shared" ca="1" si="6"/>
        <v>0</v>
      </c>
      <c r="K75" s="1687">
        <f t="shared" ca="1" si="6"/>
        <v>0</v>
      </c>
      <c r="L75" s="1687">
        <f t="shared" ca="1" si="6"/>
        <v>0</v>
      </c>
      <c r="M75" s="1687">
        <f t="shared" ca="1" si="6"/>
        <v>0</v>
      </c>
      <c r="N75" s="1688">
        <f t="shared" ca="1" si="6"/>
        <v>0</v>
      </c>
      <c r="O75" s="1686">
        <f t="shared" ca="1" si="6"/>
        <v>0</v>
      </c>
      <c r="P75" s="1687">
        <f t="shared" ca="1" si="6"/>
        <v>0</v>
      </c>
      <c r="Q75" s="1687">
        <f t="shared" ca="1" si="6"/>
        <v>0</v>
      </c>
      <c r="R75" s="1687">
        <f t="shared" ca="1" si="6"/>
        <v>0</v>
      </c>
      <c r="S75" s="1689">
        <f t="shared" ca="1" si="6"/>
        <v>0</v>
      </c>
    </row>
    <row r="76" spans="2:120" ht="13.5" thickBot="1"/>
    <row r="77" spans="2:120" s="1428" customFormat="1" ht="24" customHeight="1" thickBot="1">
      <c r="B77" s="3495" t="s">
        <v>1667</v>
      </c>
      <c r="C77" s="3496"/>
      <c r="D77" s="3497"/>
      <c r="E77" s="3489">
        <f>E56+E69</f>
        <v>192.69600000000003</v>
      </c>
      <c r="F77" s="3490">
        <f t="shared" ref="F77:S77" si="7">F56+F69</f>
        <v>204.10899999999998</v>
      </c>
      <c r="G77" s="3490">
        <f t="shared" si="7"/>
        <v>231.76200000000003</v>
      </c>
      <c r="H77" s="3490">
        <f t="shared" si="7"/>
        <v>246.92883366260466</v>
      </c>
      <c r="I77" s="3491">
        <f t="shared" si="7"/>
        <v>231.93571124234168</v>
      </c>
      <c r="J77" s="3489">
        <f t="shared" si="7"/>
        <v>241.08683043607402</v>
      </c>
      <c r="K77" s="3490">
        <f t="shared" si="7"/>
        <v>218.61194314599163</v>
      </c>
      <c r="L77" s="3490">
        <f t="shared" si="7"/>
        <v>299.3360559811623</v>
      </c>
      <c r="M77" s="3490">
        <f t="shared" si="7"/>
        <v>291.95031376007006</v>
      </c>
      <c r="N77" s="3491">
        <f t="shared" si="7"/>
        <v>300.94291752018347</v>
      </c>
      <c r="O77" s="3489">
        <f t="shared" si="7"/>
        <v>306.37176499089333</v>
      </c>
      <c r="P77" s="3490">
        <f t="shared" si="7"/>
        <v>310.68091979998309</v>
      </c>
      <c r="Q77" s="3490">
        <f t="shared" si="7"/>
        <v>314.61156430005593</v>
      </c>
      <c r="R77" s="3490">
        <f t="shared" si="7"/>
        <v>316.89316992540569</v>
      </c>
      <c r="S77" s="3492">
        <f t="shared" si="7"/>
        <v>318.89739363212675</v>
      </c>
      <c r="T77" s="1429"/>
      <c r="U77" s="1429"/>
      <c r="V77" s="1429"/>
      <c r="W77" s="1429"/>
      <c r="X77" s="1429"/>
      <c r="Y77" s="1429"/>
      <c r="Z77" s="1429"/>
      <c r="AA77" s="1429"/>
      <c r="AB77" s="1429"/>
      <c r="AC77" s="1429"/>
      <c r="AD77" s="1429"/>
      <c r="AE77" s="1429"/>
      <c r="AF77" s="1430"/>
      <c r="AG77" s="1430"/>
      <c r="AH77" s="1430"/>
      <c r="AI77" s="1430"/>
      <c r="AJ77" s="1430"/>
      <c r="AK77" s="1430"/>
      <c r="AL77" s="1430"/>
      <c r="AM77" s="1430"/>
      <c r="AN77" s="1430"/>
      <c r="AO77" s="1430"/>
      <c r="AP77" s="1430"/>
      <c r="AQ77" s="1430"/>
      <c r="AR77" s="1430"/>
      <c r="AS77" s="1430"/>
      <c r="AT77" s="1430"/>
      <c r="AU77" s="1430"/>
      <c r="AV77" s="1430"/>
      <c r="AW77" s="1430"/>
      <c r="AX77" s="1430"/>
      <c r="AY77" s="1430"/>
      <c r="AZ77" s="1430"/>
      <c r="BA77" s="1430"/>
      <c r="BB77" s="1430"/>
      <c r="BC77" s="1430"/>
      <c r="BD77" s="1430"/>
      <c r="BE77" s="1430"/>
      <c r="BF77" s="1430"/>
      <c r="BG77" s="1430"/>
      <c r="BH77" s="1430"/>
      <c r="BI77" s="1430"/>
      <c r="BJ77" s="1430"/>
      <c r="BK77" s="1430"/>
      <c r="BL77" s="1430"/>
      <c r="BM77" s="1430"/>
      <c r="BN77" s="1430"/>
      <c r="BO77" s="1430"/>
      <c r="BP77" s="1430"/>
      <c r="BQ77" s="1430"/>
      <c r="BR77" s="1430"/>
      <c r="BS77" s="1430"/>
      <c r="BT77" s="1430"/>
      <c r="BU77" s="1430"/>
      <c r="BV77" s="1430"/>
      <c r="BW77" s="1430"/>
      <c r="BX77" s="1430"/>
      <c r="BY77" s="1430"/>
      <c r="BZ77" s="1430"/>
      <c r="CA77" s="1430"/>
      <c r="CB77" s="1430"/>
      <c r="CC77" s="1430"/>
      <c r="CD77" s="1430"/>
      <c r="CE77" s="1430"/>
      <c r="CF77" s="1430"/>
      <c r="CG77" s="1430"/>
      <c r="CH77" s="1430"/>
      <c r="CI77" s="1430"/>
      <c r="CJ77" s="1430"/>
      <c r="CK77" s="1430"/>
      <c r="CL77" s="1430"/>
      <c r="CM77" s="1430"/>
      <c r="CN77" s="1430"/>
      <c r="CO77" s="1430"/>
      <c r="CP77" s="1430"/>
      <c r="CQ77" s="1430"/>
      <c r="CR77" s="1430"/>
      <c r="CS77" s="1430"/>
      <c r="CT77" s="1430"/>
      <c r="CU77" s="1430"/>
      <c r="CV77" s="1430"/>
      <c r="CW77" s="1430"/>
      <c r="CX77" s="1430"/>
      <c r="CY77" s="1430"/>
      <c r="CZ77" s="1430"/>
      <c r="DA77" s="1430"/>
      <c r="DB77" s="1430"/>
      <c r="DC77" s="1430"/>
      <c r="DD77" s="1430"/>
      <c r="DE77" s="1430"/>
      <c r="DF77" s="1430"/>
      <c r="DG77" s="1430"/>
      <c r="DH77" s="1430"/>
      <c r="DI77" s="1430"/>
      <c r="DJ77" s="1430"/>
      <c r="DK77" s="1430"/>
      <c r="DL77" s="1430"/>
      <c r="DM77" s="1430"/>
      <c r="DN77" s="1430"/>
      <c r="DO77" s="1430"/>
      <c r="DP77" s="1430"/>
    </row>
    <row r="78" spans="2:120" s="1428" customFormat="1" ht="24" customHeight="1" thickBot="1">
      <c r="B78" s="3487" t="s">
        <v>1668</v>
      </c>
      <c r="C78" s="3488"/>
      <c r="D78" s="3498"/>
      <c r="E78" s="3499">
        <f t="shared" ref="E78:S78" si="8">E71+E58+E39+E22</f>
        <v>3374</v>
      </c>
      <c r="F78" s="3500">
        <f t="shared" si="8"/>
        <v>3767</v>
      </c>
      <c r="G78" s="3500">
        <f t="shared" si="8"/>
        <v>3998.5</v>
      </c>
      <c r="H78" s="3500">
        <f t="shared" si="8"/>
        <v>4221</v>
      </c>
      <c r="I78" s="3501">
        <f t="shared" si="8"/>
        <v>4376.5</v>
      </c>
      <c r="J78" s="3499">
        <f t="shared" si="8"/>
        <v>4352.5</v>
      </c>
      <c r="K78" s="3500">
        <f t="shared" si="8"/>
        <v>4343</v>
      </c>
      <c r="L78" s="3500">
        <f t="shared" si="8"/>
        <v>4581.5</v>
      </c>
      <c r="M78" s="3500">
        <f t="shared" si="8"/>
        <v>4825</v>
      </c>
      <c r="N78" s="3501">
        <f t="shared" si="8"/>
        <v>4984.7203932513667</v>
      </c>
      <c r="O78" s="3499">
        <f t="shared" si="8"/>
        <v>5139.756032032632</v>
      </c>
      <c r="P78" s="3500">
        <f t="shared" si="8"/>
        <v>5283.0495062809587</v>
      </c>
      <c r="Q78" s="3500">
        <f t="shared" si="8"/>
        <v>5426.8148089138767</v>
      </c>
      <c r="R78" s="3500">
        <f t="shared" si="8"/>
        <v>5567.5563936745575</v>
      </c>
      <c r="S78" s="3502">
        <f t="shared" si="8"/>
        <v>5703.2788240491273</v>
      </c>
      <c r="T78" s="1429"/>
      <c r="U78" s="1429"/>
      <c r="V78" s="1429"/>
      <c r="W78" s="1429"/>
      <c r="X78" s="1429"/>
      <c r="Y78" s="1429"/>
      <c r="Z78" s="1429"/>
      <c r="AA78" s="1429"/>
      <c r="AB78" s="1429"/>
      <c r="AC78" s="1429"/>
      <c r="AD78" s="1429"/>
      <c r="AE78" s="1429"/>
      <c r="AF78" s="1430"/>
      <c r="AG78" s="1430"/>
      <c r="AH78" s="1430"/>
      <c r="AI78" s="1430"/>
      <c r="AJ78" s="1430"/>
      <c r="AK78" s="1430"/>
      <c r="AL78" s="1430"/>
      <c r="AM78" s="1430"/>
      <c r="AN78" s="1430"/>
      <c r="AO78" s="1430"/>
      <c r="AP78" s="1430"/>
      <c r="AQ78" s="1430"/>
      <c r="AR78" s="1430"/>
      <c r="AS78" s="1430"/>
      <c r="AT78" s="1430"/>
      <c r="AU78" s="1430"/>
      <c r="AV78" s="1430"/>
      <c r="AW78" s="1430"/>
      <c r="AX78" s="1430"/>
      <c r="AY78" s="1430"/>
      <c r="AZ78" s="1430"/>
      <c r="BA78" s="1430"/>
      <c r="BB78" s="1430"/>
      <c r="BC78" s="1430"/>
      <c r="BD78" s="1430"/>
      <c r="BE78" s="1430"/>
      <c r="BF78" s="1430"/>
      <c r="BG78" s="1430"/>
      <c r="BH78" s="1430"/>
      <c r="BI78" s="1430"/>
      <c r="BJ78" s="1430"/>
      <c r="BK78" s="1430"/>
      <c r="BL78" s="1430"/>
      <c r="BM78" s="1430"/>
      <c r="BN78" s="1430"/>
      <c r="BO78" s="1430"/>
      <c r="BP78" s="1430"/>
      <c r="BQ78" s="1430"/>
      <c r="BR78" s="1430"/>
      <c r="BS78" s="1430"/>
      <c r="BT78" s="1430"/>
      <c r="BU78" s="1430"/>
      <c r="BV78" s="1430"/>
      <c r="BW78" s="1430"/>
      <c r="BX78" s="1430"/>
      <c r="BY78" s="1430"/>
      <c r="BZ78" s="1430"/>
      <c r="CA78" s="1430"/>
      <c r="CB78" s="1430"/>
      <c r="CC78" s="1430"/>
      <c r="CD78" s="1430"/>
      <c r="CE78" s="1430"/>
      <c r="CF78" s="1430"/>
      <c r="CG78" s="1430"/>
      <c r="CH78" s="1430"/>
      <c r="CI78" s="1430"/>
      <c r="CJ78" s="1430"/>
      <c r="CK78" s="1430"/>
      <c r="CL78" s="1430"/>
      <c r="CM78" s="1430"/>
      <c r="CN78" s="1430"/>
      <c r="CO78" s="1430"/>
      <c r="CP78" s="1430"/>
      <c r="CQ78" s="1430"/>
      <c r="CR78" s="1430"/>
      <c r="CS78" s="1430"/>
      <c r="CT78" s="1430"/>
      <c r="CU78" s="1430"/>
      <c r="CV78" s="1430"/>
      <c r="CW78" s="1430"/>
      <c r="CX78" s="1430"/>
      <c r="CY78" s="1430"/>
      <c r="CZ78" s="1430"/>
      <c r="DA78" s="1430"/>
      <c r="DB78" s="1430"/>
      <c r="DC78" s="1430"/>
      <c r="DD78" s="1430"/>
      <c r="DE78" s="1430"/>
      <c r="DF78" s="1430"/>
      <c r="DG78" s="1430"/>
      <c r="DH78" s="1430"/>
      <c r="DI78" s="1430"/>
      <c r="DJ78" s="1430"/>
      <c r="DK78" s="1430"/>
      <c r="DL78" s="1430"/>
      <c r="DM78" s="1430"/>
      <c r="DN78" s="1430"/>
      <c r="DO78" s="1430"/>
      <c r="DP78" s="1430"/>
    </row>
    <row r="82" spans="13:17">
      <c r="M82" s="3479"/>
      <c r="N82" s="3480"/>
      <c r="O82" s="3480"/>
      <c r="P82" s="3480"/>
      <c r="Q82" s="3493"/>
    </row>
    <row r="83" spans="13:17">
      <c r="M83" s="3479"/>
      <c r="N83" s="3480"/>
      <c r="O83" s="3480"/>
      <c r="P83" s="3480"/>
      <c r="Q83" s="3493"/>
    </row>
  </sheetData>
  <mergeCells count="24">
    <mergeCell ref="B58:B68"/>
    <mergeCell ref="C58:D58"/>
    <mergeCell ref="C68:D68"/>
    <mergeCell ref="B71:B74"/>
    <mergeCell ref="C71:D71"/>
    <mergeCell ref="C74:D74"/>
    <mergeCell ref="J14:N14"/>
    <mergeCell ref="O14:S14"/>
    <mergeCell ref="E15:S15"/>
    <mergeCell ref="E16:L16"/>
    <mergeCell ref="M16:S16"/>
    <mergeCell ref="E14:I14"/>
    <mergeCell ref="B39:B55"/>
    <mergeCell ref="C39:D39"/>
    <mergeCell ref="B7:G7"/>
    <mergeCell ref="B8:G8"/>
    <mergeCell ref="B9:G9"/>
    <mergeCell ref="B10:G10"/>
    <mergeCell ref="B11:G11"/>
    <mergeCell ref="B22:B38"/>
    <mergeCell ref="C22:D22"/>
    <mergeCell ref="B14:B17"/>
    <mergeCell ref="C14:C17"/>
    <mergeCell ref="D14:D17"/>
  </mergeCells>
  <pageMargins left="0.7" right="0.7" top="0.75" bottom="0.75" header="0.3" footer="0.3"/>
  <customProperties>
    <customPr name="layoutContexts" r:id="rId1"/>
  </customProperties>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DP83"/>
  <sheetViews>
    <sheetView topLeftCell="A14" zoomScale="90" zoomScaleNormal="90" workbookViewId="0">
      <selection activeCell="C26" sqref="C26"/>
    </sheetView>
  </sheetViews>
  <sheetFormatPr defaultColWidth="9.140625" defaultRowHeight="12.75"/>
  <cols>
    <col min="1" max="1" width="16.28515625" style="501" bestFit="1" customWidth="1"/>
    <col min="2" max="2" width="35.5703125" style="965" customWidth="1"/>
    <col min="3" max="4" width="38.140625" style="501" customWidth="1"/>
    <col min="5" max="18" width="15.7109375" style="501" customWidth="1"/>
    <col min="19" max="19" width="14.7109375" style="1266" customWidth="1"/>
    <col min="20" max="30" width="9.140625" style="1266"/>
    <col min="31" max="119" width="9.140625" style="223"/>
    <col min="120" max="16384" width="9.140625" style="501"/>
  </cols>
  <sheetData>
    <row r="1" spans="1:119" s="1274" customFormat="1" ht="24.95" customHeight="1">
      <c r="B1" s="2272" t="str">
        <f>IF(dms_DataQuality="backcast",INDEX(dms_Worksheet_List,MATCH(dms_Model,dms_Model_List))&amp;" BACKCAST",INDEX(dms_Worksheet_List,MATCH(dms_Model,dms_Model_List)))</f>
        <v>REGULATORY REPORTING STATEMENT</v>
      </c>
      <c r="C1" s="518"/>
      <c r="D1" s="518"/>
      <c r="E1" s="518"/>
      <c r="F1" s="518"/>
      <c r="G1" s="518"/>
      <c r="H1" s="518"/>
      <c r="I1" s="518"/>
      <c r="J1" s="518"/>
      <c r="K1" s="518"/>
      <c r="L1" s="518"/>
      <c r="M1" s="518"/>
      <c r="N1" s="518"/>
      <c r="O1" s="518"/>
      <c r="P1" s="518"/>
      <c r="Q1" s="518"/>
      <c r="R1" s="518"/>
      <c r="S1" s="1266"/>
      <c r="T1" s="1266"/>
      <c r="U1" s="1266"/>
      <c r="V1" s="1266"/>
      <c r="W1" s="1266"/>
      <c r="X1" s="1266"/>
      <c r="Y1" s="1266"/>
      <c r="Z1" s="1266"/>
      <c r="AA1" s="1266"/>
      <c r="AB1" s="1266"/>
      <c r="AC1" s="1266"/>
      <c r="AD1" s="1266"/>
    </row>
    <row r="2" spans="1:119" s="1274" customFormat="1" ht="24.95" customHeight="1">
      <c r="B2" s="2277" t="str">
        <f>INDEX(dms_TradingNameFull_List,MATCH(dms_TradingName,dms_TradingName_List))</f>
        <v>Multinet Gas (DB No.1) Pty Ltd (ACN 086 026 986), Multinet Gas (DB No.2) Pty Ltd (ACN 086 230 122)</v>
      </c>
      <c r="C2" s="1267"/>
      <c r="D2" s="1267"/>
      <c r="E2" s="1267"/>
      <c r="F2" s="1267"/>
      <c r="G2" s="1267"/>
      <c r="H2" s="1267"/>
      <c r="I2" s="1267"/>
      <c r="J2" s="1267"/>
      <c r="K2" s="1267"/>
      <c r="L2" s="1267"/>
      <c r="M2" s="1267"/>
      <c r="N2" s="1267"/>
      <c r="O2" s="1267"/>
      <c r="P2" s="1267"/>
      <c r="Q2" s="1267"/>
      <c r="R2" s="1267"/>
      <c r="S2" s="1266"/>
      <c r="T2" s="1266"/>
      <c r="U2" s="1266"/>
      <c r="V2" s="1266"/>
      <c r="W2" s="1266"/>
      <c r="X2" s="1266"/>
      <c r="Y2" s="1266"/>
      <c r="Z2" s="1266"/>
      <c r="AA2" s="1266"/>
      <c r="AB2" s="1266"/>
      <c r="AC2" s="1266"/>
      <c r="AD2" s="1266"/>
    </row>
    <row r="3" spans="1:119" s="1274" customFormat="1" ht="24.95" customHeight="1">
      <c r="B3" s="2277" t="str">
        <f ca="1">IF(SUM(dms_SingleYear_Model)&gt;0,CRY,CONCATENATE(FRCP_y1," to ",dms_MultiYear_FinalYear_Result))</f>
        <v>2018 to 2022</v>
      </c>
      <c r="C3" s="1265"/>
      <c r="D3" s="1265"/>
      <c r="E3" s="1265"/>
      <c r="F3" s="1265"/>
      <c r="G3" s="1265"/>
      <c r="H3" s="1265"/>
      <c r="I3" s="1265"/>
      <c r="J3" s="1265"/>
      <c r="K3" s="1265"/>
      <c r="L3" s="1265"/>
      <c r="M3" s="1265"/>
      <c r="N3" s="1265"/>
      <c r="O3" s="1265"/>
      <c r="P3" s="1265"/>
      <c r="Q3" s="1265"/>
      <c r="R3" s="1265"/>
      <c r="S3" s="1266"/>
      <c r="T3" s="1266"/>
      <c r="U3" s="1266"/>
      <c r="V3" s="1266"/>
      <c r="W3" s="1266"/>
      <c r="X3" s="1266"/>
      <c r="Y3" s="1266"/>
      <c r="Z3" s="1266"/>
      <c r="AA3" s="1266"/>
      <c r="AB3" s="1266"/>
      <c r="AC3" s="1266"/>
      <c r="AD3" s="1266"/>
    </row>
    <row r="4" spans="1:119" s="1274" customFormat="1" ht="24" customHeight="1">
      <c r="B4" s="10" t="s">
        <v>387</v>
      </c>
      <c r="C4" s="12"/>
      <c r="D4" s="12"/>
      <c r="E4" s="12"/>
      <c r="F4" s="12"/>
      <c r="G4" s="12"/>
      <c r="H4" s="12"/>
      <c r="I4" s="12"/>
      <c r="J4" s="12"/>
      <c r="K4" s="12"/>
      <c r="L4" s="12"/>
      <c r="M4" s="12"/>
      <c r="N4" s="12"/>
      <c r="O4" s="12"/>
      <c r="P4" s="12"/>
      <c r="Q4" s="12"/>
      <c r="R4" s="12"/>
      <c r="S4" s="1266"/>
      <c r="T4" s="1266"/>
      <c r="U4" s="1266"/>
      <c r="V4" s="1266"/>
      <c r="W4" s="1266"/>
      <c r="X4" s="1266"/>
      <c r="Y4" s="1266"/>
      <c r="Z4" s="1266"/>
      <c r="AA4" s="1266"/>
      <c r="AB4" s="1266"/>
      <c r="AC4" s="1266"/>
      <c r="AD4" s="1266"/>
    </row>
    <row r="5" spans="1:119" s="1266" customFormat="1"/>
    <row r="7" spans="1:119" s="888" customFormat="1">
      <c r="B7" s="4789" t="s">
        <v>61</v>
      </c>
      <c r="C7" s="4789"/>
      <c r="D7" s="4789"/>
      <c r="E7" s="4789"/>
      <c r="F7" s="4789"/>
      <c r="G7" s="4789"/>
      <c r="S7" s="1266"/>
      <c r="T7" s="1266"/>
      <c r="U7" s="1266"/>
      <c r="V7" s="1266"/>
      <c r="W7" s="1266"/>
      <c r="X7" s="1266"/>
      <c r="Y7" s="1266"/>
      <c r="Z7" s="1266"/>
      <c r="AA7" s="1266"/>
      <c r="AB7" s="1266"/>
      <c r="AC7" s="1266"/>
      <c r="AD7" s="1266"/>
      <c r="AE7" s="386"/>
      <c r="AF7" s="386"/>
      <c r="AG7" s="386"/>
      <c r="AH7" s="386"/>
      <c r="AI7" s="386"/>
      <c r="AJ7" s="386"/>
      <c r="AK7" s="386"/>
      <c r="AL7" s="386"/>
      <c r="AM7" s="386"/>
      <c r="AN7" s="386"/>
      <c r="AO7" s="386"/>
      <c r="AP7" s="386"/>
      <c r="AQ7" s="386"/>
      <c r="AR7" s="386"/>
      <c r="AS7" s="386"/>
      <c r="AT7" s="386"/>
      <c r="AU7" s="386"/>
      <c r="AV7" s="386"/>
      <c r="AW7" s="386"/>
      <c r="AX7" s="386"/>
      <c r="AY7" s="386"/>
      <c r="AZ7" s="386"/>
      <c r="BA7" s="386"/>
      <c r="BB7" s="386"/>
      <c r="BC7" s="386"/>
      <c r="BD7" s="386"/>
      <c r="BE7" s="386"/>
      <c r="BF7" s="386"/>
      <c r="BG7" s="386"/>
      <c r="BH7" s="386"/>
      <c r="BI7" s="386"/>
      <c r="BJ7" s="386"/>
      <c r="BK7" s="386"/>
      <c r="BL7" s="386"/>
      <c r="BM7" s="386"/>
      <c r="BN7" s="386"/>
      <c r="BO7" s="386"/>
      <c r="BP7" s="386"/>
      <c r="BQ7" s="386"/>
      <c r="BR7" s="386"/>
      <c r="BS7" s="386"/>
      <c r="BT7" s="386"/>
      <c r="BU7" s="386"/>
      <c r="BV7" s="386"/>
      <c r="BW7" s="386"/>
      <c r="BX7" s="386"/>
      <c r="BY7" s="386"/>
      <c r="BZ7" s="386"/>
      <c r="CA7" s="386"/>
      <c r="CB7" s="386"/>
      <c r="CC7" s="386"/>
      <c r="CD7" s="386"/>
      <c r="CE7" s="386"/>
      <c r="CF7" s="386"/>
      <c r="CG7" s="386"/>
      <c r="CH7" s="386"/>
      <c r="CI7" s="386"/>
      <c r="CJ7" s="386"/>
      <c r="CK7" s="386"/>
      <c r="CL7" s="386"/>
      <c r="CM7" s="386"/>
      <c r="CN7" s="386"/>
      <c r="CO7" s="386"/>
      <c r="CP7" s="386"/>
      <c r="CQ7" s="386"/>
      <c r="CR7" s="386"/>
      <c r="CS7" s="386"/>
      <c r="CT7" s="386"/>
      <c r="CU7" s="386"/>
      <c r="CV7" s="386"/>
      <c r="CW7" s="386"/>
      <c r="CX7" s="386"/>
      <c r="CY7" s="386"/>
      <c r="CZ7" s="386"/>
      <c r="DA7" s="386"/>
      <c r="DB7" s="386"/>
      <c r="DC7" s="386"/>
      <c r="DD7" s="386"/>
      <c r="DE7" s="386"/>
      <c r="DF7" s="386"/>
      <c r="DG7" s="386"/>
      <c r="DH7" s="386"/>
      <c r="DI7" s="386"/>
      <c r="DJ7" s="386"/>
      <c r="DK7" s="386"/>
      <c r="DL7" s="386"/>
      <c r="DM7" s="386"/>
      <c r="DN7" s="386"/>
      <c r="DO7" s="386"/>
    </row>
    <row r="8" spans="1:119" s="888" customFormat="1" ht="30.75" customHeight="1">
      <c r="B8" s="4163" t="s">
        <v>1468</v>
      </c>
      <c r="C8" s="4163"/>
      <c r="D8" s="4163"/>
      <c r="E8" s="4163"/>
      <c r="F8" s="4163"/>
      <c r="G8" s="4163"/>
      <c r="S8" s="1266"/>
      <c r="T8" s="1266"/>
      <c r="U8" s="1266"/>
      <c r="V8" s="1266"/>
      <c r="W8" s="1266"/>
      <c r="X8" s="1266"/>
      <c r="Y8" s="1266"/>
      <c r="Z8" s="1266"/>
      <c r="AA8" s="1266"/>
      <c r="AB8" s="1266"/>
      <c r="AC8" s="1266"/>
      <c r="AD8" s="1266"/>
      <c r="AE8" s="386"/>
      <c r="AF8" s="386"/>
      <c r="AG8" s="386"/>
      <c r="AH8" s="386"/>
      <c r="AI8" s="386"/>
      <c r="AJ8" s="386"/>
      <c r="AK8" s="386"/>
      <c r="AL8" s="386"/>
      <c r="AM8" s="386"/>
      <c r="AN8" s="386"/>
      <c r="AO8" s="386"/>
      <c r="AP8" s="386"/>
      <c r="AQ8" s="386"/>
      <c r="AR8" s="386"/>
      <c r="AS8" s="386"/>
      <c r="AT8" s="386"/>
      <c r="AU8" s="386"/>
      <c r="AV8" s="386"/>
      <c r="AW8" s="386"/>
      <c r="AX8" s="386"/>
      <c r="AY8" s="386"/>
      <c r="AZ8" s="386"/>
      <c r="BA8" s="386"/>
      <c r="BB8" s="386"/>
      <c r="BC8" s="386"/>
      <c r="BD8" s="386"/>
      <c r="BE8" s="386"/>
      <c r="BF8" s="386"/>
      <c r="BG8" s="386"/>
      <c r="BH8" s="386"/>
      <c r="BI8" s="386"/>
      <c r="BJ8" s="386"/>
      <c r="BK8" s="386"/>
      <c r="BL8" s="386"/>
      <c r="BM8" s="386"/>
      <c r="BN8" s="386"/>
      <c r="BO8" s="386"/>
      <c r="BP8" s="386"/>
      <c r="BQ8" s="386"/>
      <c r="BR8" s="386"/>
      <c r="BS8" s="386"/>
      <c r="BT8" s="386"/>
      <c r="BU8" s="386"/>
      <c r="BV8" s="386"/>
      <c r="BW8" s="386"/>
      <c r="BX8" s="386"/>
      <c r="BY8" s="386"/>
      <c r="BZ8" s="386"/>
      <c r="CA8" s="386"/>
      <c r="CB8" s="386"/>
      <c r="CC8" s="386"/>
      <c r="CD8" s="386"/>
      <c r="CE8" s="386"/>
      <c r="CF8" s="386"/>
      <c r="CG8" s="386"/>
      <c r="CH8" s="386"/>
      <c r="CI8" s="386"/>
      <c r="CJ8" s="386"/>
      <c r="CK8" s="386"/>
      <c r="CL8" s="386"/>
      <c r="CM8" s="386"/>
      <c r="CN8" s="386"/>
      <c r="CO8" s="386"/>
      <c r="CP8" s="386"/>
      <c r="CQ8" s="386"/>
      <c r="CR8" s="386"/>
      <c r="CS8" s="386"/>
      <c r="CT8" s="386"/>
      <c r="CU8" s="386"/>
      <c r="CV8" s="386"/>
      <c r="CW8" s="386"/>
      <c r="CX8" s="386"/>
      <c r="CY8" s="386"/>
      <c r="CZ8" s="386"/>
      <c r="DA8" s="386"/>
      <c r="DB8" s="386"/>
      <c r="DC8" s="386"/>
      <c r="DD8" s="386"/>
      <c r="DE8" s="386"/>
      <c r="DF8" s="386"/>
      <c r="DG8" s="386"/>
      <c r="DH8" s="386"/>
      <c r="DI8" s="386"/>
      <c r="DJ8" s="386"/>
      <c r="DK8" s="386"/>
      <c r="DL8" s="386"/>
      <c r="DM8" s="386"/>
      <c r="DN8" s="386"/>
      <c r="DO8" s="386"/>
    </row>
    <row r="9" spans="1:119" s="888" customFormat="1" ht="17.25" customHeight="1">
      <c r="B9" s="4163" t="s">
        <v>752</v>
      </c>
      <c r="C9" s="4212"/>
      <c r="D9" s="4212"/>
      <c r="E9" s="4212"/>
      <c r="F9" s="4212"/>
      <c r="G9" s="4212"/>
      <c r="S9" s="1266"/>
      <c r="T9" s="1266"/>
      <c r="U9" s="1266"/>
      <c r="V9" s="1266"/>
      <c r="W9" s="1266"/>
      <c r="X9" s="1266"/>
      <c r="Y9" s="1266"/>
      <c r="Z9" s="1266"/>
      <c r="AA9" s="1266"/>
      <c r="AB9" s="1266"/>
      <c r="AC9" s="1266"/>
      <c r="AD9" s="1266"/>
      <c r="AE9" s="386"/>
      <c r="AF9" s="386"/>
      <c r="AG9" s="386"/>
      <c r="AH9" s="386"/>
      <c r="AI9" s="386"/>
      <c r="AJ9" s="386"/>
      <c r="AK9" s="386"/>
      <c r="AL9" s="386"/>
      <c r="AM9" s="386"/>
      <c r="AN9" s="386"/>
      <c r="AO9" s="386"/>
      <c r="AP9" s="386"/>
      <c r="AQ9" s="386"/>
      <c r="AR9" s="386"/>
      <c r="AS9" s="386"/>
      <c r="AT9" s="386"/>
      <c r="AU9" s="386"/>
      <c r="AV9" s="386"/>
      <c r="AW9" s="386"/>
      <c r="AX9" s="386"/>
      <c r="AY9" s="386"/>
      <c r="AZ9" s="386"/>
      <c r="BA9" s="386"/>
      <c r="BB9" s="386"/>
      <c r="BC9" s="386"/>
      <c r="BD9" s="386"/>
      <c r="BE9" s="386"/>
      <c r="BF9" s="386"/>
      <c r="BG9" s="386"/>
      <c r="BH9" s="386"/>
      <c r="BI9" s="386"/>
      <c r="BJ9" s="386"/>
      <c r="BK9" s="386"/>
      <c r="BL9" s="386"/>
      <c r="BM9" s="386"/>
      <c r="BN9" s="386"/>
      <c r="BO9" s="386"/>
      <c r="BP9" s="386"/>
      <c r="BQ9" s="386"/>
      <c r="BR9" s="386"/>
      <c r="BS9" s="386"/>
      <c r="BT9" s="386"/>
      <c r="BU9" s="386"/>
      <c r="BV9" s="386"/>
      <c r="BW9" s="386"/>
      <c r="BX9" s="386"/>
      <c r="BY9" s="386"/>
      <c r="BZ9" s="386"/>
      <c r="CA9" s="386"/>
      <c r="CB9" s="386"/>
      <c r="CC9" s="386"/>
      <c r="CD9" s="386"/>
      <c r="CE9" s="386"/>
      <c r="CF9" s="386"/>
      <c r="CG9" s="386"/>
      <c r="CH9" s="386"/>
      <c r="CI9" s="386"/>
      <c r="CJ9" s="386"/>
      <c r="CK9" s="386"/>
      <c r="CL9" s="386"/>
      <c r="CM9" s="386"/>
      <c r="CN9" s="386"/>
      <c r="CO9" s="386"/>
      <c r="CP9" s="386"/>
      <c r="CQ9" s="386"/>
      <c r="CR9" s="386"/>
      <c r="CS9" s="386"/>
      <c r="CT9" s="386"/>
      <c r="CU9" s="386"/>
      <c r="CV9" s="386"/>
      <c r="CW9" s="386"/>
      <c r="CX9" s="386"/>
      <c r="CY9" s="386"/>
      <c r="CZ9" s="386"/>
      <c r="DA9" s="386"/>
      <c r="DB9" s="386"/>
      <c r="DC9" s="386"/>
      <c r="DD9" s="386"/>
      <c r="DE9" s="386"/>
      <c r="DF9" s="386"/>
      <c r="DG9" s="386"/>
      <c r="DH9" s="386"/>
      <c r="DI9" s="386"/>
      <c r="DJ9" s="386"/>
      <c r="DK9" s="386"/>
      <c r="DL9" s="386"/>
      <c r="DM9" s="386"/>
      <c r="DN9" s="386"/>
      <c r="DO9" s="386"/>
    </row>
    <row r="10" spans="1:119" s="888" customFormat="1" ht="18.75" customHeight="1">
      <c r="B10" s="4163" t="s">
        <v>244</v>
      </c>
      <c r="C10" s="4163"/>
      <c r="D10" s="4163"/>
      <c r="E10" s="4163"/>
      <c r="F10" s="4163"/>
      <c r="G10" s="4163"/>
      <c r="S10" s="1266"/>
      <c r="T10" s="1266"/>
      <c r="U10" s="1266"/>
      <c r="V10" s="1266"/>
      <c r="W10" s="1266"/>
      <c r="X10" s="1266"/>
      <c r="Y10" s="1266"/>
      <c r="Z10" s="1266"/>
      <c r="AA10" s="1266"/>
      <c r="AB10" s="1266"/>
      <c r="AC10" s="1266"/>
      <c r="AD10" s="1266"/>
      <c r="AE10" s="386"/>
      <c r="AF10" s="386"/>
      <c r="AG10" s="386"/>
      <c r="AH10" s="386"/>
      <c r="AI10" s="386"/>
      <c r="AJ10" s="386"/>
      <c r="AK10" s="386"/>
      <c r="AL10" s="386"/>
      <c r="AM10" s="386"/>
      <c r="AN10" s="386"/>
      <c r="AO10" s="386"/>
      <c r="AP10" s="386"/>
      <c r="AQ10" s="386"/>
      <c r="AR10" s="386"/>
      <c r="AS10" s="386"/>
      <c r="AT10" s="386"/>
      <c r="AU10" s="386"/>
      <c r="AV10" s="386"/>
      <c r="AW10" s="386"/>
      <c r="AX10" s="386"/>
      <c r="AY10" s="386"/>
      <c r="AZ10" s="386"/>
      <c r="BA10" s="386"/>
      <c r="BB10" s="386"/>
      <c r="BC10" s="386"/>
      <c r="BD10" s="386"/>
      <c r="BE10" s="386"/>
      <c r="BF10" s="386"/>
      <c r="BG10" s="386"/>
      <c r="BH10" s="386"/>
      <c r="BI10" s="386"/>
      <c r="BJ10" s="386"/>
      <c r="BK10" s="386"/>
      <c r="BL10" s="386"/>
      <c r="BM10" s="386"/>
      <c r="BN10" s="386"/>
      <c r="BO10" s="386"/>
      <c r="BP10" s="386"/>
      <c r="BQ10" s="386"/>
      <c r="BR10" s="386"/>
      <c r="BS10" s="386"/>
      <c r="BT10" s="386"/>
      <c r="BU10" s="386"/>
      <c r="BV10" s="386"/>
      <c r="BW10" s="386"/>
      <c r="BX10" s="386"/>
      <c r="BY10" s="386"/>
      <c r="BZ10" s="386"/>
      <c r="CA10" s="386"/>
      <c r="CB10" s="386"/>
      <c r="CC10" s="386"/>
      <c r="CD10" s="386"/>
      <c r="CE10" s="386"/>
      <c r="CF10" s="386"/>
      <c r="CG10" s="386"/>
      <c r="CH10" s="386"/>
      <c r="CI10" s="386"/>
      <c r="CJ10" s="386"/>
      <c r="CK10" s="386"/>
      <c r="CL10" s="386"/>
      <c r="CM10" s="386"/>
      <c r="CN10" s="386"/>
      <c r="CO10" s="386"/>
      <c r="CP10" s="386"/>
      <c r="CQ10" s="386"/>
      <c r="CR10" s="386"/>
      <c r="CS10" s="386"/>
      <c r="CT10" s="386"/>
      <c r="CU10" s="386"/>
      <c r="CV10" s="386"/>
      <c r="CW10" s="386"/>
      <c r="CX10" s="386"/>
      <c r="CY10" s="386"/>
      <c r="CZ10" s="386"/>
      <c r="DA10" s="386"/>
      <c r="DB10" s="386"/>
      <c r="DC10" s="386"/>
      <c r="DD10" s="386"/>
      <c r="DE10" s="386"/>
      <c r="DF10" s="386"/>
      <c r="DG10" s="386"/>
      <c r="DH10" s="386"/>
      <c r="DI10" s="386"/>
      <c r="DJ10" s="386"/>
      <c r="DK10" s="386"/>
      <c r="DL10" s="386"/>
      <c r="DM10" s="386"/>
      <c r="DN10" s="386"/>
      <c r="DO10" s="386"/>
    </row>
    <row r="11" spans="1:119" s="888" customFormat="1" ht="30" customHeight="1">
      <c r="B11" s="4163" t="s">
        <v>1395</v>
      </c>
      <c r="C11" s="4163"/>
      <c r="D11" s="4212"/>
      <c r="E11" s="4212"/>
      <c r="F11" s="4212"/>
      <c r="G11" s="4212"/>
      <c r="S11" s="1266"/>
      <c r="T11" s="1266"/>
      <c r="U11" s="1266"/>
      <c r="V11" s="1266"/>
      <c r="W11" s="1266"/>
      <c r="X11" s="1266"/>
      <c r="Y11" s="1266"/>
      <c r="Z11" s="1266"/>
      <c r="AA11" s="1266"/>
      <c r="AB11" s="1266"/>
      <c r="AC11" s="1266"/>
      <c r="AD11" s="1266"/>
      <c r="AE11" s="386"/>
      <c r="AF11" s="386"/>
      <c r="AG11" s="386"/>
      <c r="AH11" s="386"/>
      <c r="AI11" s="386"/>
      <c r="AJ11" s="386"/>
      <c r="AK11" s="386"/>
      <c r="AL11" s="386"/>
      <c r="AM11" s="386"/>
      <c r="AN11" s="386"/>
      <c r="AO11" s="386"/>
      <c r="AP11" s="386"/>
      <c r="AQ11" s="386"/>
      <c r="AR11" s="386"/>
      <c r="AS11" s="386"/>
      <c r="AT11" s="386"/>
      <c r="AU11" s="386"/>
      <c r="AV11" s="386"/>
      <c r="AW11" s="386"/>
      <c r="AX11" s="386"/>
      <c r="AY11" s="386"/>
      <c r="AZ11" s="386"/>
      <c r="BA11" s="386"/>
      <c r="BB11" s="386"/>
      <c r="BC11" s="386"/>
      <c r="BD11" s="386"/>
      <c r="BE11" s="386"/>
      <c r="BF11" s="386"/>
      <c r="BG11" s="386"/>
      <c r="BH11" s="386"/>
      <c r="BI11" s="386"/>
      <c r="BJ11" s="386"/>
      <c r="BK11" s="386"/>
      <c r="BL11" s="386"/>
      <c r="BM11" s="386"/>
      <c r="BN11" s="386"/>
      <c r="BO11" s="386"/>
      <c r="BP11" s="386"/>
      <c r="BQ11" s="386"/>
      <c r="BR11" s="386"/>
      <c r="BS11" s="386"/>
      <c r="BT11" s="386"/>
      <c r="BU11" s="386"/>
      <c r="BV11" s="386"/>
      <c r="BW11" s="386"/>
      <c r="BX11" s="386"/>
      <c r="BY11" s="386"/>
      <c r="BZ11" s="386"/>
      <c r="CA11" s="386"/>
      <c r="CB11" s="386"/>
      <c r="CC11" s="386"/>
      <c r="CD11" s="386"/>
      <c r="CE11" s="386"/>
      <c r="CF11" s="386"/>
      <c r="CG11" s="386"/>
      <c r="CH11" s="386"/>
      <c r="CI11" s="386"/>
      <c r="CJ11" s="386"/>
      <c r="CK11" s="386"/>
      <c r="CL11" s="386"/>
      <c r="CM11" s="386"/>
      <c r="CN11" s="386"/>
      <c r="CO11" s="386"/>
      <c r="CP11" s="386"/>
      <c r="CQ11" s="386"/>
      <c r="CR11" s="386"/>
      <c r="CS11" s="386"/>
      <c r="CT11" s="386"/>
      <c r="CU11" s="386"/>
      <c r="CV11" s="386"/>
      <c r="CW11" s="386"/>
      <c r="CX11" s="386"/>
      <c r="CY11" s="386"/>
      <c r="CZ11" s="386"/>
      <c r="DA11" s="386"/>
      <c r="DB11" s="386"/>
      <c r="DC11" s="386"/>
      <c r="DD11" s="386"/>
      <c r="DE11" s="386"/>
      <c r="DF11" s="386"/>
      <c r="DG11" s="386"/>
      <c r="DH11" s="386"/>
      <c r="DI11" s="386"/>
      <c r="DJ11" s="386"/>
      <c r="DK11" s="386"/>
      <c r="DL11" s="386"/>
      <c r="DM11" s="386"/>
      <c r="DN11" s="386"/>
      <c r="DO11" s="386"/>
    </row>
    <row r="12" spans="1:119" s="1266" customFormat="1" ht="33.75" customHeight="1" thickBot="1">
      <c r="N12" s="92"/>
      <c r="O12" s="92"/>
      <c r="P12" s="92"/>
      <c r="Q12" s="92"/>
    </row>
    <row r="13" spans="1:119" s="1266" customFormat="1" ht="32.25" customHeight="1" thickBot="1">
      <c r="A13" s="1268"/>
      <c r="B13" s="833" t="s">
        <v>555</v>
      </c>
      <c r="C13" s="863"/>
      <c r="D13" s="863"/>
      <c r="E13" s="863"/>
      <c r="F13" s="863"/>
      <c r="G13" s="863"/>
      <c r="H13" s="863"/>
      <c r="I13" s="863"/>
      <c r="J13" s="863"/>
      <c r="K13" s="864"/>
      <c r="L13" s="864"/>
      <c r="M13" s="864"/>
      <c r="N13" s="864"/>
      <c r="O13" s="864"/>
      <c r="P13" s="864"/>
      <c r="Q13" s="864"/>
      <c r="R13" s="864"/>
      <c r="S13" s="864"/>
    </row>
    <row r="14" spans="1:119" ht="20.25" customHeight="1">
      <c r="A14" s="223"/>
      <c r="B14" s="4791"/>
      <c r="C14" s="4794" t="s">
        <v>751</v>
      </c>
      <c r="D14" s="4797" t="s">
        <v>72</v>
      </c>
      <c r="E14" s="4801" t="s">
        <v>36</v>
      </c>
      <c r="F14" s="4747"/>
      <c r="G14" s="4747"/>
      <c r="H14" s="4747"/>
      <c r="I14" s="4747"/>
      <c r="J14" s="4751" t="s">
        <v>37</v>
      </c>
      <c r="K14" s="4752"/>
      <c r="L14" s="4752"/>
      <c r="M14" s="4752"/>
      <c r="N14" s="4752"/>
      <c r="O14" s="4732" t="s">
        <v>75</v>
      </c>
      <c r="P14" s="4732"/>
      <c r="Q14" s="4732"/>
      <c r="R14" s="4732"/>
      <c r="S14" s="4733"/>
      <c r="AE14" s="1266"/>
      <c r="AF14" s="501"/>
      <c r="AG14" s="501"/>
      <c r="AH14" s="501"/>
      <c r="AI14" s="501"/>
      <c r="AJ14" s="501"/>
      <c r="AK14" s="501"/>
      <c r="AL14" s="501"/>
      <c r="AM14" s="501"/>
      <c r="AN14" s="501"/>
      <c r="AO14" s="501"/>
      <c r="AP14" s="501"/>
      <c r="AQ14" s="501"/>
      <c r="AR14" s="501"/>
      <c r="AS14" s="501"/>
      <c r="AT14" s="501"/>
      <c r="AU14" s="501"/>
      <c r="AV14" s="501"/>
      <c r="AW14" s="501"/>
      <c r="AX14" s="501"/>
      <c r="AY14" s="501"/>
      <c r="AZ14" s="501"/>
      <c r="BA14" s="501"/>
      <c r="BB14" s="501"/>
      <c r="BC14" s="501"/>
      <c r="BD14" s="501"/>
      <c r="BE14" s="501"/>
      <c r="BF14" s="501"/>
      <c r="BG14" s="501"/>
      <c r="BH14" s="501"/>
      <c r="BI14" s="501"/>
      <c r="BJ14" s="501"/>
      <c r="BK14" s="501"/>
      <c r="BL14" s="501"/>
      <c r="BM14" s="501"/>
      <c r="BN14" s="501"/>
      <c r="BO14" s="501"/>
      <c r="BP14" s="501"/>
      <c r="BQ14" s="501"/>
      <c r="BR14" s="501"/>
      <c r="BS14" s="501"/>
      <c r="BT14" s="501"/>
      <c r="BU14" s="501"/>
      <c r="BV14" s="501"/>
      <c r="BW14" s="501"/>
      <c r="BX14" s="501"/>
      <c r="BY14" s="501"/>
      <c r="BZ14" s="501"/>
      <c r="CA14" s="501"/>
      <c r="CB14" s="501"/>
      <c r="CC14" s="501"/>
      <c r="CD14" s="501"/>
      <c r="CE14" s="501"/>
      <c r="CF14" s="501"/>
      <c r="CG14" s="501"/>
      <c r="CH14" s="501"/>
      <c r="CI14" s="501"/>
      <c r="CJ14" s="501"/>
      <c r="CK14" s="501"/>
      <c r="CL14" s="501"/>
      <c r="CM14" s="501"/>
      <c r="CN14" s="501"/>
      <c r="CO14" s="501"/>
      <c r="CP14" s="501"/>
      <c r="CQ14" s="501"/>
      <c r="CR14" s="501"/>
      <c r="CS14" s="501"/>
      <c r="CT14" s="501"/>
      <c r="CU14" s="501"/>
      <c r="CV14" s="501"/>
      <c r="CW14" s="501"/>
      <c r="CX14" s="501"/>
      <c r="CY14" s="501"/>
      <c r="CZ14" s="501"/>
      <c r="DA14" s="501"/>
      <c r="DB14" s="501"/>
      <c r="DC14" s="501"/>
      <c r="DD14" s="501"/>
      <c r="DE14" s="501"/>
      <c r="DF14" s="501"/>
      <c r="DG14" s="501"/>
      <c r="DH14" s="501"/>
      <c r="DI14" s="501"/>
      <c r="DJ14" s="501"/>
      <c r="DK14" s="501"/>
      <c r="DL14" s="501"/>
      <c r="DM14" s="501"/>
      <c r="DN14" s="501"/>
      <c r="DO14" s="501"/>
    </row>
    <row r="15" spans="1:119">
      <c r="A15" s="223"/>
      <c r="B15" s="4792"/>
      <c r="C15" s="4795"/>
      <c r="D15" s="4798"/>
      <c r="E15" s="4735" t="s">
        <v>357</v>
      </c>
      <c r="F15" s="4735"/>
      <c r="G15" s="4735"/>
      <c r="H15" s="4735"/>
      <c r="I15" s="4735"/>
      <c r="J15" s="4735"/>
      <c r="K15" s="4735"/>
      <c r="L15" s="4735"/>
      <c r="M15" s="4735"/>
      <c r="N15" s="4735"/>
      <c r="O15" s="4735"/>
      <c r="P15" s="4735"/>
      <c r="Q15" s="4735"/>
      <c r="R15" s="4735"/>
      <c r="S15" s="4736"/>
      <c r="AE15" s="1266"/>
      <c r="AF15" s="501"/>
      <c r="AG15" s="501"/>
      <c r="AH15" s="501"/>
      <c r="AI15" s="501"/>
      <c r="AJ15" s="501"/>
      <c r="AK15" s="501"/>
      <c r="AL15" s="501"/>
      <c r="AM15" s="501"/>
      <c r="AN15" s="501"/>
      <c r="AO15" s="501"/>
      <c r="AP15" s="501"/>
      <c r="AQ15" s="501"/>
      <c r="AR15" s="501"/>
      <c r="AS15" s="501"/>
      <c r="AT15" s="501"/>
      <c r="AU15" s="501"/>
      <c r="AV15" s="501"/>
      <c r="AW15" s="501"/>
      <c r="AX15" s="501"/>
      <c r="AY15" s="501"/>
      <c r="AZ15" s="501"/>
      <c r="BA15" s="501"/>
      <c r="BB15" s="501"/>
      <c r="BC15" s="501"/>
      <c r="BD15" s="501"/>
      <c r="BE15" s="501"/>
      <c r="BF15" s="501"/>
      <c r="BG15" s="501"/>
      <c r="BH15" s="501"/>
      <c r="BI15" s="501"/>
      <c r="BJ15" s="501"/>
      <c r="BK15" s="501"/>
      <c r="BL15" s="501"/>
      <c r="BM15" s="501"/>
      <c r="BN15" s="501"/>
      <c r="BO15" s="501"/>
      <c r="BP15" s="501"/>
      <c r="BQ15" s="501"/>
      <c r="BR15" s="501"/>
      <c r="BS15" s="501"/>
      <c r="BT15" s="501"/>
      <c r="BU15" s="501"/>
      <c r="BV15" s="501"/>
      <c r="BW15" s="501"/>
      <c r="BX15" s="501"/>
      <c r="BY15" s="501"/>
      <c r="BZ15" s="501"/>
      <c r="CA15" s="501"/>
      <c r="CB15" s="501"/>
      <c r="CC15" s="501"/>
      <c r="CD15" s="501"/>
      <c r="CE15" s="501"/>
      <c r="CF15" s="501"/>
      <c r="CG15" s="501"/>
      <c r="CH15" s="501"/>
      <c r="CI15" s="501"/>
      <c r="CJ15" s="501"/>
      <c r="CK15" s="501"/>
      <c r="CL15" s="501"/>
      <c r="CM15" s="501"/>
      <c r="CN15" s="501"/>
      <c r="CO15" s="501"/>
      <c r="CP15" s="501"/>
      <c r="CQ15" s="501"/>
      <c r="CR15" s="501"/>
      <c r="CS15" s="501"/>
      <c r="CT15" s="501"/>
      <c r="CU15" s="501"/>
      <c r="CV15" s="501"/>
      <c r="CW15" s="501"/>
      <c r="CX15" s="501"/>
      <c r="CY15" s="501"/>
      <c r="CZ15" s="501"/>
      <c r="DA15" s="501"/>
      <c r="DB15" s="501"/>
      <c r="DC15" s="501"/>
      <c r="DD15" s="501"/>
      <c r="DE15" s="501"/>
      <c r="DF15" s="501"/>
      <c r="DG15" s="501"/>
      <c r="DH15" s="501"/>
      <c r="DI15" s="501"/>
      <c r="DJ15" s="501"/>
      <c r="DK15" s="501"/>
      <c r="DL15" s="501"/>
      <c r="DM15" s="501"/>
      <c r="DN15" s="501"/>
      <c r="DO15" s="501"/>
    </row>
    <row r="16" spans="1:119">
      <c r="A16" s="223"/>
      <c r="B16" s="4792"/>
      <c r="C16" s="4795"/>
      <c r="D16" s="4798"/>
      <c r="E16" s="4735" t="s">
        <v>56</v>
      </c>
      <c r="F16" s="4735"/>
      <c r="G16" s="4735"/>
      <c r="H16" s="4735"/>
      <c r="I16" s="4735"/>
      <c r="J16" s="4735"/>
      <c r="K16" s="4735"/>
      <c r="L16" s="4800"/>
      <c r="M16" s="4104" t="s">
        <v>57</v>
      </c>
      <c r="N16" s="4737"/>
      <c r="O16" s="4737"/>
      <c r="P16" s="4737"/>
      <c r="Q16" s="4737"/>
      <c r="R16" s="4737"/>
      <c r="S16" s="4738"/>
      <c r="AE16" s="1266"/>
      <c r="AF16" s="501"/>
      <c r="AG16" s="501"/>
      <c r="AH16" s="501"/>
      <c r="AI16" s="501"/>
      <c r="AJ16" s="501"/>
      <c r="AK16" s="501"/>
      <c r="AL16" s="501"/>
      <c r="AM16" s="501"/>
      <c r="AN16" s="501"/>
      <c r="AO16" s="501"/>
      <c r="AP16" s="501"/>
      <c r="AQ16" s="501"/>
      <c r="AR16" s="501"/>
      <c r="AS16" s="501"/>
      <c r="AT16" s="501"/>
      <c r="AU16" s="501"/>
      <c r="AV16" s="501"/>
      <c r="AW16" s="501"/>
      <c r="AX16" s="501"/>
      <c r="AY16" s="501"/>
      <c r="AZ16" s="501"/>
      <c r="BA16" s="501"/>
      <c r="BB16" s="501"/>
      <c r="BC16" s="501"/>
      <c r="BD16" s="501"/>
      <c r="BE16" s="501"/>
      <c r="BF16" s="501"/>
      <c r="BG16" s="501"/>
      <c r="BH16" s="501"/>
      <c r="BI16" s="501"/>
      <c r="BJ16" s="501"/>
      <c r="BK16" s="501"/>
      <c r="BL16" s="501"/>
      <c r="BM16" s="501"/>
      <c r="BN16" s="501"/>
      <c r="BO16" s="501"/>
      <c r="BP16" s="501"/>
      <c r="BQ16" s="501"/>
      <c r="BR16" s="501"/>
      <c r="BS16" s="501"/>
      <c r="BT16" s="501"/>
      <c r="BU16" s="501"/>
      <c r="BV16" s="501"/>
      <c r="BW16" s="501"/>
      <c r="BX16" s="501"/>
      <c r="BY16" s="501"/>
      <c r="BZ16" s="501"/>
      <c r="CA16" s="501"/>
      <c r="CB16" s="501"/>
      <c r="CC16" s="501"/>
      <c r="CD16" s="501"/>
      <c r="CE16" s="501"/>
      <c r="CF16" s="501"/>
      <c r="CG16" s="501"/>
      <c r="CH16" s="501"/>
      <c r="CI16" s="501"/>
      <c r="CJ16" s="501"/>
      <c r="CK16" s="501"/>
      <c r="CL16" s="501"/>
      <c r="CM16" s="501"/>
      <c r="CN16" s="501"/>
      <c r="CO16" s="501"/>
      <c r="CP16" s="501"/>
      <c r="CQ16" s="501"/>
      <c r="CR16" s="501"/>
      <c r="CS16" s="501"/>
      <c r="CT16" s="501"/>
      <c r="CU16" s="501"/>
      <c r="CV16" s="501"/>
      <c r="CW16" s="501"/>
      <c r="CX16" s="501"/>
      <c r="CY16" s="501"/>
      <c r="CZ16" s="501"/>
      <c r="DA16" s="501"/>
      <c r="DB16" s="501"/>
      <c r="DC16" s="501"/>
      <c r="DD16" s="501"/>
      <c r="DE16" s="501"/>
      <c r="DF16" s="501"/>
      <c r="DG16" s="501"/>
      <c r="DH16" s="501"/>
      <c r="DI16" s="501"/>
      <c r="DJ16" s="501"/>
      <c r="DK16" s="501"/>
      <c r="DL16" s="501"/>
      <c r="DM16" s="501"/>
      <c r="DN16" s="501"/>
      <c r="DO16" s="501"/>
    </row>
    <row r="17" spans="1:120" ht="13.5" thickBot="1">
      <c r="B17" s="4793"/>
      <c r="C17" s="4796"/>
      <c r="D17" s="4799"/>
      <c r="E17" s="1610">
        <f t="array" ref="E17:I17">PRCP</f>
        <v>2008</v>
      </c>
      <c r="F17" s="891">
        <v>2009</v>
      </c>
      <c r="G17" s="891">
        <v>2010</v>
      </c>
      <c r="H17" s="891">
        <v>2011</v>
      </c>
      <c r="I17" s="891">
        <v>2012</v>
      </c>
      <c r="J17" s="892">
        <f>CRCP_y1</f>
        <v>2013</v>
      </c>
      <c r="K17" s="892">
        <f>CRCP_y2</f>
        <v>2014</v>
      </c>
      <c r="L17" s="892">
        <f>CRCP_y3</f>
        <v>2015</v>
      </c>
      <c r="M17" s="892">
        <f>CRCP_y4</f>
        <v>2016</v>
      </c>
      <c r="N17" s="892">
        <f>CRCP_y5</f>
        <v>2017</v>
      </c>
      <c r="O17" s="891" t="str">
        <f t="array" ref="O17:S17">FRCP</f>
        <v>2018</v>
      </c>
      <c r="P17" s="891">
        <v>2019</v>
      </c>
      <c r="Q17" s="891">
        <v>2020</v>
      </c>
      <c r="R17" s="891">
        <v>2021</v>
      </c>
      <c r="S17" s="893">
        <v>2022</v>
      </c>
      <c r="AE17" s="1266"/>
      <c r="AF17" s="501"/>
      <c r="AG17" s="501"/>
      <c r="AH17" s="501"/>
      <c r="AI17" s="501"/>
      <c r="AJ17" s="501"/>
      <c r="AK17" s="501"/>
      <c r="AL17" s="501"/>
      <c r="AM17" s="501"/>
      <c r="AN17" s="501"/>
      <c r="AO17" s="501"/>
      <c r="AP17" s="501"/>
      <c r="AQ17" s="501"/>
      <c r="AR17" s="501"/>
      <c r="AS17" s="501"/>
      <c r="AT17" s="501"/>
      <c r="AU17" s="501"/>
      <c r="AV17" s="501"/>
      <c r="AW17" s="501"/>
      <c r="AX17" s="501"/>
      <c r="AY17" s="501"/>
      <c r="AZ17" s="501"/>
      <c r="BA17" s="501"/>
      <c r="BB17" s="501"/>
      <c r="BC17" s="501"/>
      <c r="BD17" s="501"/>
      <c r="BE17" s="501"/>
      <c r="BF17" s="501"/>
      <c r="BG17" s="501"/>
      <c r="BH17" s="501"/>
      <c r="BI17" s="501"/>
      <c r="BJ17" s="501"/>
      <c r="BK17" s="501"/>
      <c r="BL17" s="501"/>
      <c r="BM17" s="501"/>
      <c r="BN17" s="501"/>
      <c r="BO17" s="501"/>
      <c r="BP17" s="501"/>
      <c r="BQ17" s="501"/>
      <c r="BR17" s="501"/>
      <c r="BS17" s="501"/>
      <c r="BT17" s="501"/>
      <c r="BU17" s="501"/>
      <c r="BV17" s="501"/>
      <c r="BW17" s="501"/>
      <c r="BX17" s="501"/>
      <c r="BY17" s="501"/>
      <c r="BZ17" s="501"/>
      <c r="CA17" s="501"/>
      <c r="CB17" s="501"/>
      <c r="CC17" s="501"/>
      <c r="CD17" s="501"/>
      <c r="CE17" s="501"/>
      <c r="CF17" s="501"/>
      <c r="CG17" s="501"/>
      <c r="CH17" s="501"/>
      <c r="CI17" s="501"/>
      <c r="CJ17" s="501"/>
      <c r="CK17" s="501"/>
      <c r="CL17" s="501"/>
      <c r="CM17" s="501"/>
      <c r="CN17" s="501"/>
      <c r="CO17" s="501"/>
      <c r="CP17" s="501"/>
      <c r="CQ17" s="501"/>
      <c r="CR17" s="501"/>
      <c r="CS17" s="501"/>
      <c r="CT17" s="501"/>
      <c r="CU17" s="501"/>
      <c r="CV17" s="501"/>
      <c r="CW17" s="501"/>
      <c r="CX17" s="501"/>
      <c r="CY17" s="501"/>
      <c r="CZ17" s="501"/>
      <c r="DA17" s="501"/>
      <c r="DB17" s="501"/>
      <c r="DC17" s="501"/>
      <c r="DD17" s="501"/>
      <c r="DE17" s="501"/>
      <c r="DF17" s="501"/>
      <c r="DG17" s="501"/>
      <c r="DH17" s="501"/>
      <c r="DI17" s="501"/>
      <c r="DJ17" s="501"/>
      <c r="DK17" s="501"/>
      <c r="DL17" s="501"/>
      <c r="DM17" s="501"/>
      <c r="DN17" s="501"/>
      <c r="DO17" s="501"/>
    </row>
    <row r="18" spans="1:120" s="1266" customFormat="1" ht="25.5" customHeight="1" thickBot="1">
      <c r="A18" s="1268"/>
      <c r="B18" s="771" t="s">
        <v>715</v>
      </c>
      <c r="C18" s="3478"/>
      <c r="D18" s="3478"/>
      <c r="E18" s="772"/>
      <c r="F18" s="772"/>
      <c r="G18" s="772"/>
      <c r="H18" s="772"/>
      <c r="I18" s="772"/>
      <c r="J18" s="772"/>
      <c r="K18" s="772"/>
      <c r="L18" s="772"/>
      <c r="M18" s="772"/>
      <c r="N18" s="772"/>
      <c r="O18" s="772"/>
      <c r="P18" s="772"/>
      <c r="Q18" s="772"/>
      <c r="R18" s="772"/>
      <c r="S18" s="773"/>
    </row>
    <row r="19" spans="1:120" s="1266" customFormat="1" ht="25.5" customHeight="1" thickBot="1">
      <c r="A19" s="1268"/>
      <c r="B19" s="2265" t="s">
        <v>1677</v>
      </c>
      <c r="C19" s="2271"/>
      <c r="D19" s="2271"/>
      <c r="E19" s="814"/>
      <c r="F19" s="814"/>
      <c r="G19" s="814"/>
      <c r="H19" s="814"/>
      <c r="I19" s="814"/>
      <c r="J19" s="814"/>
      <c r="K19" s="814"/>
      <c r="L19" s="814"/>
      <c r="M19" s="814"/>
      <c r="N19" s="814"/>
      <c r="O19" s="814"/>
      <c r="P19" s="814"/>
      <c r="Q19" s="814"/>
      <c r="R19" s="814"/>
      <c r="S19" s="815"/>
    </row>
    <row r="20" spans="1:120" s="1266" customFormat="1" ht="25.5" customHeight="1" thickBot="1">
      <c r="A20" s="1268"/>
      <c r="B20" s="2269" t="s">
        <v>1636</v>
      </c>
      <c r="C20" s="2271"/>
      <c r="D20" s="2271"/>
      <c r="E20" s="814"/>
      <c r="F20" s="814"/>
      <c r="G20" s="814"/>
      <c r="H20" s="814"/>
      <c r="I20" s="814"/>
      <c r="J20" s="814"/>
      <c r="K20" s="814"/>
      <c r="L20" s="814"/>
      <c r="M20" s="814"/>
      <c r="N20" s="814"/>
      <c r="O20" s="814"/>
      <c r="P20" s="814"/>
      <c r="Q20" s="814"/>
      <c r="R20" s="814"/>
      <c r="S20" s="815"/>
    </row>
    <row r="21" spans="1:120" s="1266" customFormat="1" ht="20.25" customHeight="1" thickBot="1">
      <c r="A21" s="1268"/>
      <c r="B21" s="1387" t="s">
        <v>1673</v>
      </c>
      <c r="C21" s="1431"/>
      <c r="D21" s="1431"/>
      <c r="E21" s="1678"/>
      <c r="F21" s="1678"/>
      <c r="G21" s="1678"/>
      <c r="H21" s="1678"/>
      <c r="I21" s="1678"/>
      <c r="J21" s="1678"/>
      <c r="K21" s="1678"/>
      <c r="L21" s="1678"/>
      <c r="M21" s="1678"/>
      <c r="N21" s="1678"/>
      <c r="O21" s="1678"/>
      <c r="P21" s="1678"/>
      <c r="Q21" s="1678"/>
      <c r="R21" s="1678"/>
      <c r="S21" s="1685"/>
    </row>
    <row r="22" spans="1:120">
      <c r="B22" s="4784" t="s">
        <v>1678</v>
      </c>
      <c r="C22" s="4787" t="s">
        <v>48</v>
      </c>
      <c r="D22" s="4790"/>
      <c r="E22" s="1650">
        <f>'[18]27.4 Customer numbers SG'!D28</f>
        <v>0</v>
      </c>
      <c r="F22" s="1651">
        <f>'[18]27.4 Customer numbers SG'!E28</f>
        <v>510.5</v>
      </c>
      <c r="G22" s="1651">
        <f>'[18]27.4 Customer numbers SG'!F28</f>
        <v>1500.5</v>
      </c>
      <c r="H22" s="1651">
        <f>'[18]27.4 Customer numbers SG'!G28</f>
        <v>2285</v>
      </c>
      <c r="I22" s="1683">
        <f>'[18]27.4 Customer numbers SG'!H28</f>
        <v>2761</v>
      </c>
      <c r="J22" s="1650">
        <f>'[18]27.4 Customer numbers SG'!I28</f>
        <v>2917.5</v>
      </c>
      <c r="K22" s="1651">
        <f>'[18]27.4 Customer numbers SG'!J28</f>
        <v>3053.5</v>
      </c>
      <c r="L22" s="1651">
        <f>'[18]27.4 Customer numbers SG'!K28</f>
        <v>3406</v>
      </c>
      <c r="M22" s="1651">
        <f>'[18]27.4 Customer numbers SG'!L28</f>
        <v>3772.2533342386669</v>
      </c>
      <c r="N22" s="1683">
        <f>'[18]27.4 Customer numbers SG'!M28</f>
        <v>4032.0985630718801</v>
      </c>
      <c r="O22" s="1650">
        <f>'[18]27.4 Customer numbers SG'!N28</f>
        <v>4272.2761729238255</v>
      </c>
      <c r="P22" s="1651">
        <f>'[18]27.4 Customer numbers SG'!O28</f>
        <v>4569.8842933758415</v>
      </c>
      <c r="Q22" s="1651">
        <f>'[18]27.4 Customer numbers SG'!P28</f>
        <v>4870.5481884322217</v>
      </c>
      <c r="R22" s="1651">
        <f>'[18]27.4 Customer numbers SG'!Q28</f>
        <v>5171.6120834886024</v>
      </c>
      <c r="S22" s="1652">
        <f>'[18]27.4 Customer numbers SG'!R28</f>
        <v>5488.2759785449834</v>
      </c>
      <c r="AE22" s="1266"/>
      <c r="DP22" s="223"/>
    </row>
    <row r="23" spans="1:120">
      <c r="B23" s="4785"/>
      <c r="C23" s="890" t="s">
        <v>1638</v>
      </c>
      <c r="D23" s="851" t="s">
        <v>1638</v>
      </c>
      <c r="E23" s="3479">
        <f>'[22]27 - Gas extensions - demand SG'!D31/1000</f>
        <v>0</v>
      </c>
      <c r="F23" s="3480">
        <f>'[22]27 - Gas extensions - demand SG'!E31/1000</f>
        <v>3.0409999999999999</v>
      </c>
      <c r="G23" s="3480">
        <f>'[22]27 - Gas extensions - demand SG'!F31/1000</f>
        <v>7.7220000000000004</v>
      </c>
      <c r="H23" s="3480">
        <f>'[22]27 - Gas extensions - demand SG'!G31/1000</f>
        <v>11.030460231408801</v>
      </c>
      <c r="I23" s="3481">
        <f>'[22]27 - Gas extensions - demand SG'!H31/1000</f>
        <v>9.7567077579414505</v>
      </c>
      <c r="J23" s="3479">
        <f>[23]Sheet1!CV162</f>
        <v>13.84683238244569</v>
      </c>
      <c r="K23" s="3480">
        <f>[23]Sheet1!CW162</f>
        <v>14.35549861523344</v>
      </c>
      <c r="L23" s="3480">
        <f>[23]Sheet1!CX162</f>
        <v>19.870384425380941</v>
      </c>
      <c r="M23" s="3480">
        <f>[23]Sheet1!CY162</f>
        <v>22.72364640591535</v>
      </c>
      <c r="N23" s="3481">
        <f>[23]Sheet1!CZ162</f>
        <v>24.110475949678101</v>
      </c>
      <c r="O23" s="3479">
        <f>'[13]PTRM input'!M342/1000</f>
        <v>25.368255154473466</v>
      </c>
      <c r="P23" s="3480">
        <f>'[13]PTRM input'!N342/1000</f>
        <v>26.336524289619916</v>
      </c>
      <c r="Q23" s="3480">
        <f>'[13]PTRM input'!O342/1000</f>
        <v>27.26818660389511</v>
      </c>
      <c r="R23" s="3480">
        <f>'[13]PTRM input'!P342/1000</f>
        <v>28.699021828262008</v>
      </c>
      <c r="S23" s="3482">
        <f>'[13]PTRM input'!Q342/1000</f>
        <v>29.876720089547071</v>
      </c>
      <c r="AE23" s="1266"/>
      <c r="DP23" s="223"/>
    </row>
    <row r="24" spans="1:120">
      <c r="B24" s="4785"/>
      <c r="C24" s="890" t="s">
        <v>1639</v>
      </c>
      <c r="D24" s="851" t="s">
        <v>1639</v>
      </c>
      <c r="E24" s="3479">
        <f>'[22]27 - Gas extensions - demand SG'!D32/1000</f>
        <v>0</v>
      </c>
      <c r="F24" s="3480">
        <f>'[22]27 - Gas extensions - demand SG'!E32/1000</f>
        <v>2.2850000000000001</v>
      </c>
      <c r="G24" s="3480">
        <f>'[22]27 - Gas extensions - demand SG'!F32/1000</f>
        <v>6.0209999999999999</v>
      </c>
      <c r="H24" s="3480">
        <f>'[22]27 - Gas extensions - demand SG'!G32/1000</f>
        <v>8.2588506742467604</v>
      </c>
      <c r="I24" s="3481">
        <f>'[22]27 - Gas extensions - demand SG'!H32/1000</f>
        <v>7.6079481907931799</v>
      </c>
      <c r="J24" s="3479">
        <f>[23]Sheet1!CV163</f>
        <v>10.225055602559088</v>
      </c>
      <c r="K24" s="3480">
        <f>[23]Sheet1!CW163</f>
        <v>10.631488075669138</v>
      </c>
      <c r="L24" s="3480">
        <f>[23]Sheet1!CX163</f>
        <v>14.812061318306631</v>
      </c>
      <c r="M24" s="3480">
        <f>[23]Sheet1!CY163</f>
        <v>16.971341685233124</v>
      </c>
      <c r="N24" s="3481">
        <f>[23]Sheet1!CZ163</f>
        <v>17.888108644693016</v>
      </c>
      <c r="O24" s="3479">
        <f>'[13]PTRM input'!M343/1000</f>
        <v>18.839806439284732</v>
      </c>
      <c r="P24" s="3480">
        <f>'[13]PTRM input'!N343/1000</f>
        <v>19.58397916953605</v>
      </c>
      <c r="Q24" s="3480">
        <f>'[13]PTRM input'!O343/1000</f>
        <v>20.295027897306522</v>
      </c>
      <c r="R24" s="3480">
        <f>'[13]PTRM input'!P343/1000</f>
        <v>21.354313950976948</v>
      </c>
      <c r="S24" s="3482">
        <f>'[13]PTRM input'!Q343/1000</f>
        <v>22.213933718504485</v>
      </c>
      <c r="AE24" s="1266"/>
      <c r="DP24" s="223"/>
    </row>
    <row r="25" spans="1:120">
      <c r="B25" s="4785"/>
      <c r="C25" s="890" t="s">
        <v>1640</v>
      </c>
      <c r="D25" s="851" t="s">
        <v>1640</v>
      </c>
      <c r="E25" s="3479">
        <f>'[22]27 - Gas extensions - demand SG'!D33/1000</f>
        <v>0</v>
      </c>
      <c r="F25" s="3480">
        <f>'[22]27 - Gas extensions - demand SG'!E33/1000</f>
        <v>1.772</v>
      </c>
      <c r="G25" s="3480">
        <f>'[22]27 - Gas extensions - demand SG'!F33/1000</f>
        <v>4.7750000000000004</v>
      </c>
      <c r="H25" s="3480">
        <f>'[22]27 - Gas extensions - demand SG'!G33/1000</f>
        <v>6.2943987719114798</v>
      </c>
      <c r="I25" s="3481">
        <f>'[22]27 - Gas extensions - demand SG'!H33/1000</f>
        <v>6.0335526702927904</v>
      </c>
      <c r="J25" s="3479">
        <f>[23]Sheet1!CV164</f>
        <v>7.8014799535481494</v>
      </c>
      <c r="K25" s="3480">
        <f>[23]Sheet1!CW164</f>
        <v>8.0507032190711101</v>
      </c>
      <c r="L25" s="3480">
        <f>[23]Sheet1!CX164</f>
        <v>11.59924683936319</v>
      </c>
      <c r="M25" s="3480">
        <f>[23]Sheet1!CY164</f>
        <v>13.074110624953949</v>
      </c>
      <c r="N25" s="3481">
        <f>[23]Sheet1!CZ164</f>
        <v>13.809840924253217</v>
      </c>
      <c r="O25" s="3479">
        <f>'[13]PTRM input'!M344/1000</f>
        <v>14.487247229759058</v>
      </c>
      <c r="P25" s="3480">
        <f>'[13]PTRM input'!N344/1000</f>
        <v>15.085585438397633</v>
      </c>
      <c r="Q25" s="3480">
        <f>'[13]PTRM input'!O344/1000</f>
        <v>15.689137864358774</v>
      </c>
      <c r="R25" s="3480">
        <f>'[13]PTRM input'!P344/1000</f>
        <v>16.468338659494123</v>
      </c>
      <c r="S25" s="3482">
        <f>'[13]PTRM input'!Q344/1000</f>
        <v>17.134995571210464</v>
      </c>
      <c r="AE25" s="1266"/>
      <c r="DP25" s="223"/>
    </row>
    <row r="26" spans="1:120">
      <c r="B26" s="4785"/>
      <c r="C26" s="890" t="s">
        <v>1641</v>
      </c>
      <c r="D26" s="851" t="s">
        <v>1641</v>
      </c>
      <c r="E26" s="3479">
        <f>'[22]27 - Gas extensions - demand SG'!D34/1000</f>
        <v>0</v>
      </c>
      <c r="F26" s="3480">
        <f>'[22]27 - Gas extensions - demand SG'!E34/1000</f>
        <v>2.3260000000000001</v>
      </c>
      <c r="G26" s="3480">
        <f>'[22]27 - Gas extensions - demand SG'!F34/1000</f>
        <v>6.4059999999999997</v>
      </c>
      <c r="H26" s="3480">
        <f>'[22]27 - Gas extensions - demand SG'!G34/1000</f>
        <v>7.7480852532087301</v>
      </c>
      <c r="I26" s="3481">
        <f>'[22]27 - Gas extensions - demand SG'!H34/1000</f>
        <v>8.0942711864133603</v>
      </c>
      <c r="J26" s="3479">
        <f>[23]Sheet1!CV165</f>
        <v>9.7954512317582587</v>
      </c>
      <c r="K26" s="3480">
        <f>[23]Sheet1!CW165</f>
        <v>10.109408246542571</v>
      </c>
      <c r="L26" s="3480">
        <f>[23]Sheet1!CX165</f>
        <v>15.57164946075901</v>
      </c>
      <c r="M26" s="3480">
        <f>[23]Sheet1!CY165</f>
        <v>16.731821114151835</v>
      </c>
      <c r="N26" s="3481">
        <f>[23]Sheet1!CZ165</f>
        <v>17.808535242909961</v>
      </c>
      <c r="O26" s="3479">
        <f>'[13]PTRM input'!M345/1000</f>
        <v>18.840276116141293</v>
      </c>
      <c r="P26" s="3480">
        <f>'[13]PTRM input'!N345/1000</f>
        <v>19.937598311902804</v>
      </c>
      <c r="Q26" s="3480">
        <f>'[13]PTRM input'!O345/1000</f>
        <v>21.064853614607319</v>
      </c>
      <c r="R26" s="3480">
        <f>'[13]PTRM input'!P345/1000</f>
        <v>22.172123241274484</v>
      </c>
      <c r="S26" s="3482">
        <f>'[13]PTRM input'!Q345/1000</f>
        <v>23.299420002532109</v>
      </c>
      <c r="AE26" s="1266"/>
      <c r="DP26" s="223"/>
    </row>
    <row r="27" spans="1:120">
      <c r="B27" s="4785"/>
      <c r="C27" s="890" t="s">
        <v>1642</v>
      </c>
      <c r="D27" s="851" t="s">
        <v>1642</v>
      </c>
      <c r="E27" s="3479">
        <f>'[22]27 - Gas extensions - demand SG'!D35/1000</f>
        <v>0</v>
      </c>
      <c r="F27" s="3480">
        <f>'[22]27 - Gas extensions - demand SG'!E35/1000</f>
        <v>2.97</v>
      </c>
      <c r="G27" s="3480">
        <f>'[22]27 - Gas extensions - demand SG'!F35/1000</f>
        <v>7.5839999999999996</v>
      </c>
      <c r="H27" s="3480">
        <f>'[22]27 - Gas extensions - demand SG'!G35/1000</f>
        <v>7.8922103782289597</v>
      </c>
      <c r="I27" s="3481">
        <f>'[22]27 - Gas extensions - demand SG'!H35/1000</f>
        <v>9.5822390788105594</v>
      </c>
      <c r="J27" s="3479">
        <f>[23]Sheet1!CV166</f>
        <v>9.3796720677596515</v>
      </c>
      <c r="K27" s="3480">
        <f>[23]Sheet1!CW166</f>
        <v>10.825524201249271</v>
      </c>
      <c r="L27" s="3480">
        <f>[23]Sheet1!CX166</f>
        <v>20.273428431252611</v>
      </c>
      <c r="M27" s="3480">
        <f>[23]Sheet1!CY166</f>
        <v>18.071267360865924</v>
      </c>
      <c r="N27" s="3481">
        <f>[23]Sheet1!CZ166</f>
        <v>19.448542824771447</v>
      </c>
      <c r="O27" s="3479">
        <f>'[13]PTRM input'!M346/1000</f>
        <v>20.45010053306537</v>
      </c>
      <c r="P27" s="3480">
        <f>'[13]PTRM input'!N346/1000</f>
        <v>21.939687571467893</v>
      </c>
      <c r="Q27" s="3480">
        <f>'[13]PTRM input'!O346/1000</f>
        <v>23.159749401572409</v>
      </c>
      <c r="R27" s="3480">
        <f>'[13]PTRM input'!P346/1000</f>
        <v>23.455108018673581</v>
      </c>
      <c r="S27" s="3482">
        <f>'[13]PTRM input'!Q346/1000</f>
        <v>24.54970417168991</v>
      </c>
      <c r="AE27" s="1266"/>
      <c r="DP27" s="223"/>
    </row>
    <row r="28" spans="1:120">
      <c r="B28" s="4785"/>
      <c r="C28" s="890" t="s">
        <v>1643</v>
      </c>
      <c r="D28" s="851" t="s">
        <v>1643</v>
      </c>
      <c r="E28" s="3479">
        <f>'[22]27 - Gas extensions - demand SG'!D46/1000</f>
        <v>0</v>
      </c>
      <c r="F28" s="3480">
        <f>'[22]27 - Gas extensions - demand SG'!E46/1000</f>
        <v>1.671</v>
      </c>
      <c r="G28" s="3480">
        <f>'[22]27 - Gas extensions - demand SG'!F46/1000</f>
        <v>3.36</v>
      </c>
      <c r="H28" s="3480">
        <f>'[22]27 - Gas extensions - demand SG'!G46/1000</f>
        <v>4.9531955948001993</v>
      </c>
      <c r="I28" s="3481">
        <f>'[22]27 - Gas extensions - demand SG'!H46/1000</f>
        <v>4.24710728899713</v>
      </c>
      <c r="J28" s="3479">
        <f>[23]Sheet1!CV174</f>
        <v>6.4447733762115806</v>
      </c>
      <c r="K28" s="3480">
        <f>[23]Sheet1!CW174</f>
        <v>6.3582557960742294</v>
      </c>
      <c r="L28" s="3480">
        <f>[23]Sheet1!CX174</f>
        <v>8.6440713135083787</v>
      </c>
      <c r="M28" s="3480">
        <f>[23]Sheet1!CY174</f>
        <v>9.3922863411475888</v>
      </c>
      <c r="N28" s="3481">
        <f>[23]Sheet1!CZ174</f>
        <v>9.9566391735868756</v>
      </c>
      <c r="O28" s="3479">
        <f>'[13]PTRM input'!S342/1000</f>
        <v>10.553266554221359</v>
      </c>
      <c r="P28" s="3480">
        <f>'[13]PTRM input'!T342/1000</f>
        <v>11.046053570808864</v>
      </c>
      <c r="Q28" s="3480">
        <f>'[13]PTRM input'!U342/1000</f>
        <v>11.245235585613461</v>
      </c>
      <c r="R28" s="3480">
        <f>'[13]PTRM input'!V342/1000</f>
        <v>11.904371921638637</v>
      </c>
      <c r="S28" s="3482">
        <f>'[13]PTRM input'!W342/1000</f>
        <v>12.401726496206061</v>
      </c>
      <c r="AE28" s="1266"/>
      <c r="DP28" s="223"/>
    </row>
    <row r="29" spans="1:120">
      <c r="B29" s="4785"/>
      <c r="C29" s="890" t="s">
        <v>1644</v>
      </c>
      <c r="D29" s="851" t="s">
        <v>1644</v>
      </c>
      <c r="E29" s="3479">
        <f>'[22]27 - Gas extensions - demand SG'!D47/1000</f>
        <v>0</v>
      </c>
      <c r="F29" s="3480">
        <f>'[22]27 - Gas extensions - demand SG'!E47/1000</f>
        <v>1.1399999999999999</v>
      </c>
      <c r="G29" s="3480">
        <f>'[22]27 - Gas extensions - demand SG'!F47/1000</f>
        <v>1.8380000000000001</v>
      </c>
      <c r="H29" s="3480">
        <f>'[22]27 - Gas extensions - demand SG'!G47/1000</f>
        <v>2.7373890975294697</v>
      </c>
      <c r="I29" s="3481">
        <f>'[22]27 - Gas extensions - demand SG'!H47/1000</f>
        <v>2.3224834758413899</v>
      </c>
      <c r="J29" s="3479">
        <f>[23]Sheet1!CV175</f>
        <v>3.7641090495131904</v>
      </c>
      <c r="K29" s="3480">
        <f>[23]Sheet1!CW175</f>
        <v>3.1896791852047199</v>
      </c>
      <c r="L29" s="3480">
        <f>[23]Sheet1!CX175</f>
        <v>4.7788295573372199</v>
      </c>
      <c r="M29" s="3480">
        <f>[23]Sheet1!CY175</f>
        <v>5.2140075512268629</v>
      </c>
      <c r="N29" s="3481">
        <f>[23]Sheet1!CZ175</f>
        <v>5.5340343418641638</v>
      </c>
      <c r="O29" s="3479">
        <f>'[13]PTRM input'!S343/1000</f>
        <v>5.8746004544168722</v>
      </c>
      <c r="P29" s="3480">
        <f>'[13]PTRM input'!T343/1000</f>
        <v>6.1503509664767009</v>
      </c>
      <c r="Q29" s="3480">
        <f>'[13]PTRM input'!U343/1000</f>
        <v>6.4446515147366332</v>
      </c>
      <c r="R29" s="3480">
        <f>'[13]PTRM input'!V343/1000</f>
        <v>6.8869335659754141</v>
      </c>
      <c r="S29" s="3482">
        <f>'[13]PTRM input'!W343/1000</f>
        <v>7.2326279592804497</v>
      </c>
      <c r="AE29" s="1266"/>
      <c r="DP29" s="223"/>
    </row>
    <row r="30" spans="1:120">
      <c r="B30" s="4785"/>
      <c r="C30" s="890" t="s">
        <v>1645</v>
      </c>
      <c r="D30" s="851" t="s">
        <v>1645</v>
      </c>
      <c r="E30" s="3479">
        <f>'[22]27 - Gas extensions - demand SG'!D48/1000</f>
        <v>0</v>
      </c>
      <c r="F30" s="3480">
        <f>'[22]27 - Gas extensions - demand SG'!E48/1000</f>
        <v>0.82899999999999996</v>
      </c>
      <c r="G30" s="3480">
        <f>'[22]27 - Gas extensions - demand SG'!F48/1000</f>
        <v>1.069</v>
      </c>
      <c r="H30" s="3480">
        <f>'[22]27 - Gas extensions - demand SG'!G48/1000</f>
        <v>1.6055825484258031</v>
      </c>
      <c r="I30" s="3481">
        <f>'[22]27 - Gas extensions - demand SG'!H48/1000</f>
        <v>1.3507676266642299</v>
      </c>
      <c r="J30" s="3479">
        <f>[23]Sheet1!CV176</f>
        <v>2.128399896461262</v>
      </c>
      <c r="K30" s="3480">
        <f>[23]Sheet1!CW176</f>
        <v>1.6036099025890289</v>
      </c>
      <c r="L30" s="3480">
        <f>[23]Sheet1!CX176</f>
        <v>3.017129804822321</v>
      </c>
      <c r="M30" s="3480">
        <f>[23]Sheet1!CY176</f>
        <v>2.9998228883639459</v>
      </c>
      <c r="N30" s="3481">
        <f>[23]Sheet1!CZ176</f>
        <v>3.1698803904969646</v>
      </c>
      <c r="O30" s="3479">
        <f>'[13]PTRM input'!S344/1000</f>
        <v>3.2900466636206658</v>
      </c>
      <c r="P30" s="3480">
        <f>'[13]PTRM input'!T344/1000</f>
        <v>3.4032466794909366</v>
      </c>
      <c r="Q30" s="3480">
        <f>'[13]PTRM input'!U344/1000</f>
        <v>3.6085974835594716</v>
      </c>
      <c r="R30" s="3480">
        <f>'[13]PTRM input'!V344/1000</f>
        <v>3.7599578962875335</v>
      </c>
      <c r="S30" s="3482">
        <f>'[13]PTRM input'!W344/1000</f>
        <v>3.9082584124732489</v>
      </c>
      <c r="AE30" s="1266"/>
      <c r="DP30" s="223"/>
    </row>
    <row r="31" spans="1:120">
      <c r="B31" s="4785"/>
      <c r="C31" s="890" t="s">
        <v>1646</v>
      </c>
      <c r="D31" s="851" t="s">
        <v>1646</v>
      </c>
      <c r="E31" s="3479">
        <f>'[22]27 - Gas extensions - demand SG'!D49/1000</f>
        <v>0</v>
      </c>
      <c r="F31" s="3480">
        <f>'[22]27 - Gas extensions - demand SG'!E49/1000</f>
        <v>0.99399999999999999</v>
      </c>
      <c r="G31" s="3480">
        <f>'[22]27 - Gas extensions - demand SG'!F49/1000</f>
        <v>0.95</v>
      </c>
      <c r="H31" s="3480">
        <f>'[22]27 - Gas extensions - demand SG'!G49/1000</f>
        <v>1.4245407691795591</v>
      </c>
      <c r="I31" s="3481">
        <f>'[22]27 - Gas extensions - demand SG'!H49/1000</f>
        <v>1.20030491434524</v>
      </c>
      <c r="J31" s="3479">
        <f>[23]Sheet1!CV177</f>
        <v>1.732137687120382</v>
      </c>
      <c r="K31" s="3480">
        <f>[23]Sheet1!CW177</f>
        <v>1.20224504305802</v>
      </c>
      <c r="L31" s="3480">
        <f>[23]Sheet1!CX177</f>
        <v>3.0638122522214073</v>
      </c>
      <c r="M31" s="3480">
        <f>[23]Sheet1!CY177</f>
        <v>2.6331598457880889</v>
      </c>
      <c r="N31" s="3481">
        <f>[23]Sheet1!CZ177</f>
        <v>2.7767349510575152</v>
      </c>
      <c r="O31" s="3479">
        <f>'[13]PTRM input'!S345/1000</f>
        <v>2.8547324097399529</v>
      </c>
      <c r="P31" s="3480">
        <f>'[13]PTRM input'!T345/1000</f>
        <v>2.9909829749784831</v>
      </c>
      <c r="Q31" s="3480">
        <f>'[13]PTRM input'!U345/1000</f>
        <v>3.2541678301092354</v>
      </c>
      <c r="R31" s="3480">
        <f>'[13]PTRM input'!V345/1000</f>
        <v>3.3050576006597385</v>
      </c>
      <c r="S31" s="3482">
        <f>'[13]PTRM input'!W345/1000</f>
        <v>3.4363995835289369</v>
      </c>
      <c r="AE31" s="1266"/>
      <c r="DP31" s="223"/>
    </row>
    <row r="32" spans="1:120">
      <c r="B32" s="4785"/>
      <c r="C32" s="890" t="s">
        <v>1647</v>
      </c>
      <c r="D32" s="851" t="s">
        <v>1647</v>
      </c>
      <c r="E32" s="3479">
        <f>'[22]27 - Gas extensions - demand SG'!D50/1000</f>
        <v>0</v>
      </c>
      <c r="F32" s="3480">
        <f>'[22]27 - Gas extensions - demand SG'!E50/1000</f>
        <v>1.254</v>
      </c>
      <c r="G32" s="3480">
        <f>'[22]27 - Gas extensions - demand SG'!F50/1000</f>
        <v>1.3049999999999999</v>
      </c>
      <c r="H32" s="3480">
        <f>'[22]27 - Gas extensions - demand SG'!G50/1000</f>
        <v>1.339313312923305</v>
      </c>
      <c r="I32" s="3481">
        <f>'[22]27 - Gas extensions - demand SG'!H50/1000</f>
        <v>1.6490146342888401</v>
      </c>
      <c r="J32" s="3479">
        <f>[23]Sheet1!CV178</f>
        <v>1.5076245698489228</v>
      </c>
      <c r="K32" s="3480">
        <f>[23]Sheet1!CW178</f>
        <v>1.4713069775220391</v>
      </c>
      <c r="L32" s="3480">
        <f>[23]Sheet1!CX178</f>
        <v>3.93550264728988</v>
      </c>
      <c r="M32" s="3480">
        <f>[23]Sheet1!CY178</f>
        <v>2.7146366606125105</v>
      </c>
      <c r="N32" s="3481">
        <f>[23]Sheet1!CZ178</f>
        <v>2.9155785055786803</v>
      </c>
      <c r="O32" s="3479">
        <f>'[13]PTRM input'!S346/1000</f>
        <v>3.1183353339380449</v>
      </c>
      <c r="P32" s="3480">
        <f>'[13]PTRM input'!T346/1000</f>
        <v>3.3994781778158085</v>
      </c>
      <c r="Q32" s="3480">
        <f>'[13]PTRM input'!U346/1000</f>
        <v>3.6562371966275555</v>
      </c>
      <c r="R32" s="3480">
        <f>'[13]PTRM input'!V346/1000</f>
        <v>3.5910701053241301</v>
      </c>
      <c r="S32" s="3482">
        <f>'[13]PTRM input'!W346/1000</f>
        <v>3.7724095600503893</v>
      </c>
      <c r="AE32" s="1266"/>
      <c r="DP32" s="223"/>
    </row>
    <row r="33" spans="2:120">
      <c r="B33" s="4785"/>
      <c r="C33" s="890" t="s">
        <v>1648</v>
      </c>
      <c r="D33" s="851" t="s">
        <v>1648</v>
      </c>
      <c r="E33" s="3479">
        <f>'[22]27 - Gas extensions - demand SG'!D39/1000</f>
        <v>0</v>
      </c>
      <c r="F33" s="3480">
        <f>'[22]27 - Gas extensions - demand SG'!E39/1000</f>
        <v>0.65</v>
      </c>
      <c r="G33" s="3480">
        <f>'[22]27 - Gas extensions - demand SG'!F39/1000</f>
        <v>5.2850000000000001</v>
      </c>
      <c r="H33" s="3480">
        <f>'[22]27 - Gas extensions - demand SG'!G39/1000</f>
        <v>9.4316674744101849</v>
      </c>
      <c r="I33" s="3481">
        <f>'[22]27 - Gas extensions - demand SG'!H39/1000</f>
        <v>6.6746547428256404</v>
      </c>
      <c r="J33" s="3479">
        <f>[23]Sheet1!CV168</f>
        <v>12.208125093967741</v>
      </c>
      <c r="K33" s="3480">
        <f>[23]Sheet1!CW168</f>
        <v>12.97919499287767</v>
      </c>
      <c r="L33" s="3480">
        <f>[23]Sheet1!CX168</f>
        <v>18.235012794301262</v>
      </c>
      <c r="M33" s="3480">
        <f>[23]Sheet1!CY168</f>
        <v>15.285141324495264</v>
      </c>
      <c r="N33" s="3481">
        <f>[23]Sheet1!CZ168</f>
        <v>16.251591238402266</v>
      </c>
      <c r="O33" s="3479">
        <f>'[13]PTRM input'!Y342/1000</f>
        <v>17.160223723427162</v>
      </c>
      <c r="P33" s="3480">
        <f>'[13]PTRM input'!Z342/1000</f>
        <v>17.978003685135963</v>
      </c>
      <c r="Q33" s="3480">
        <f>'[13]PTRM input'!AA342/1000</f>
        <v>18.562335704122948</v>
      </c>
      <c r="R33" s="3480">
        <f>'[13]PTRM input'!AB342/1000</f>
        <v>19.451127313804378</v>
      </c>
      <c r="S33" s="3482">
        <f>'[13]PTRM input'!AC342/1000</f>
        <v>20.279972957485082</v>
      </c>
      <c r="AE33" s="1266"/>
      <c r="DP33" s="223"/>
    </row>
    <row r="34" spans="2:120">
      <c r="B34" s="4785"/>
      <c r="C34" s="890" t="s">
        <v>1649</v>
      </c>
      <c r="D34" s="851" t="s">
        <v>1649</v>
      </c>
      <c r="E34" s="3479">
        <f>'[22]27 - Gas extensions - demand SG'!D40/1000</f>
        <v>0</v>
      </c>
      <c r="F34" s="3480">
        <f>'[22]27 - Gas extensions - demand SG'!E40/1000</f>
        <v>0.47699999999999998</v>
      </c>
      <c r="G34" s="3480">
        <f>'[22]27 - Gas extensions - demand SG'!F40/1000</f>
        <v>1.653</v>
      </c>
      <c r="H34" s="3480">
        <f>'[22]27 - Gas extensions - demand SG'!G40/1000</f>
        <v>3.0862659828516921</v>
      </c>
      <c r="I34" s="3481">
        <f>'[22]27 - Gas extensions - demand SG'!H40/1000</f>
        <v>2.0873181690190701</v>
      </c>
      <c r="J34" s="3479">
        <f>[23]Sheet1!CV169</f>
        <v>3.8218884879967181</v>
      </c>
      <c r="K34" s="3480">
        <f>[23]Sheet1!CW169</f>
        <v>3.5669816858743397</v>
      </c>
      <c r="L34" s="3480">
        <f>[23]Sheet1!CX169</f>
        <v>5.1992258364823556</v>
      </c>
      <c r="M34" s="3480">
        <f>[23]Sheet1!CY169</f>
        <v>4.6451793959080696</v>
      </c>
      <c r="N34" s="3481">
        <f>[23]Sheet1!CZ169</f>
        <v>4.884763619596197</v>
      </c>
      <c r="O34" s="3479">
        <f>'[13]PTRM input'!Y343/1000</f>
        <v>5.1734958323581548</v>
      </c>
      <c r="P34" s="3480">
        <f>'[13]PTRM input'!Z343/1000</f>
        <v>5.4563834771803625</v>
      </c>
      <c r="Q34" s="3480">
        <f>'[13]PTRM input'!AA343/1000</f>
        <v>5.798594403880422</v>
      </c>
      <c r="R34" s="3480">
        <f>'[13]PTRM input'!AB343/1000</f>
        <v>6.2046339594059017</v>
      </c>
      <c r="S34" s="3482">
        <f>'[13]PTRM input'!AC343/1000</f>
        <v>6.5298777935278416</v>
      </c>
      <c r="AE34" s="1266"/>
      <c r="DP34" s="223"/>
    </row>
    <row r="35" spans="2:120">
      <c r="B35" s="4785"/>
      <c r="C35" s="890" t="s">
        <v>1650</v>
      </c>
      <c r="D35" s="851" t="s">
        <v>1650</v>
      </c>
      <c r="E35" s="3479">
        <f>'[22]27 - Gas extensions - demand SG'!D41/1000</f>
        <v>0</v>
      </c>
      <c r="F35" s="3480">
        <f>'[22]27 - Gas extensions - demand SG'!E41/1000</f>
        <v>0.36199999999999999</v>
      </c>
      <c r="G35" s="3480">
        <f>'[22]27 - Gas extensions - demand SG'!F41/1000</f>
        <v>0.78</v>
      </c>
      <c r="H35" s="3480">
        <f>'[22]27 - Gas extensions - demand SG'!G41/1000</f>
        <v>1.4069621049530523</v>
      </c>
      <c r="I35" s="3481">
        <f>'[22]27 - Gas extensions - demand SG'!H41/1000</f>
        <v>0.98557130137029902</v>
      </c>
      <c r="J35" s="3479">
        <f>[23]Sheet1!CV170</f>
        <v>1.8073650440098401</v>
      </c>
      <c r="K35" s="3480">
        <f>[23]Sheet1!CW170</f>
        <v>1.4286913191590809</v>
      </c>
      <c r="L35" s="3480">
        <f>[23]Sheet1!CX170</f>
        <v>2.4278858636240028</v>
      </c>
      <c r="M35" s="3480">
        <f>[23]Sheet1!CY170</f>
        <v>2.1223699096310238</v>
      </c>
      <c r="N35" s="3481">
        <f>[23]Sheet1!CZ170</f>
        <v>2.2264698151515359</v>
      </c>
      <c r="O35" s="3479">
        <f>'[13]PTRM input'!Y344/1000</f>
        <v>2.2838418603171493</v>
      </c>
      <c r="P35" s="3480">
        <f>'[13]PTRM input'!Z344/1000</f>
        <v>2.3376138439415275</v>
      </c>
      <c r="Q35" s="3480">
        <f>'[13]PTRM input'!AA344/1000</f>
        <v>2.4910111102217325</v>
      </c>
      <c r="R35" s="3480">
        <f>'[13]PTRM input'!AB344/1000</f>
        <v>2.6137735667126254</v>
      </c>
      <c r="S35" s="3482">
        <f>'[13]PTRM input'!AC344/1000</f>
        <v>2.7071007704513632</v>
      </c>
      <c r="AE35" s="1266"/>
      <c r="DP35" s="223"/>
    </row>
    <row r="36" spans="2:120">
      <c r="B36" s="4785"/>
      <c r="C36" s="890" t="s">
        <v>1651</v>
      </c>
      <c r="D36" s="851" t="s">
        <v>1651</v>
      </c>
      <c r="E36" s="3479">
        <f>'[22]27 - Gas extensions - demand SG'!D42/1000</f>
        <v>0</v>
      </c>
      <c r="F36" s="3480">
        <f>'[22]27 - Gas extensions - demand SG'!E42/1000</f>
        <v>0.45200000000000001</v>
      </c>
      <c r="G36" s="3480">
        <f>'[22]27 - Gas extensions - demand SG'!F42/1000</f>
        <v>0.57399999999999995</v>
      </c>
      <c r="H36" s="3480">
        <f>'[22]27 - Gas extensions - demand SG'!G42/1000</f>
        <v>1.1169342529821731</v>
      </c>
      <c r="I36" s="3481">
        <f>'[22]27 - Gas extensions - demand SG'!H42/1000</f>
        <v>0.72550912419381497</v>
      </c>
      <c r="J36" s="3479">
        <f>[23]Sheet1!CV171</f>
        <v>1.3893400050698206</v>
      </c>
      <c r="K36" s="3480">
        <f>[23]Sheet1!CW171</f>
        <v>1.0301177380438751</v>
      </c>
      <c r="L36" s="3480">
        <f>[23]Sheet1!CX171</f>
        <v>2.2265209409236308</v>
      </c>
      <c r="M36" s="3480">
        <f>[23]Sheet1!CY171</f>
        <v>1.7213591543356481</v>
      </c>
      <c r="N36" s="3481">
        <f>[23]Sheet1!CZ171</f>
        <v>1.8117217933028555</v>
      </c>
      <c r="O36" s="3479">
        <f>'[13]PTRM input'!Y345/1000</f>
        <v>1.842890402048984</v>
      </c>
      <c r="P36" s="3480">
        <f>'[13]PTRM input'!Z345/1000</f>
        <v>1.9066139684460792</v>
      </c>
      <c r="Q36" s="3480">
        <f>'[13]PTRM input'!AA345/1000</f>
        <v>2.0725861790522604</v>
      </c>
      <c r="R36" s="3480">
        <f>'[13]PTRM input'!AB345/1000</f>
        <v>2.1323815398107042</v>
      </c>
      <c r="S36" s="3482">
        <f>'[13]PTRM input'!AC345/1000</f>
        <v>2.2111912686853485</v>
      </c>
      <c r="AE36" s="1266"/>
      <c r="DP36" s="223"/>
    </row>
    <row r="37" spans="2:120">
      <c r="B37" s="4785"/>
      <c r="C37" s="890" t="s">
        <v>1652</v>
      </c>
      <c r="D37" s="851" t="s">
        <v>1652</v>
      </c>
      <c r="E37" s="3479">
        <f>'[22]27 - Gas extensions - demand SG'!D43/1000</f>
        <v>0</v>
      </c>
      <c r="F37" s="3480">
        <f>'[22]27 - Gas extensions - demand SG'!E43/1000</f>
        <v>0.53500000000000003</v>
      </c>
      <c r="G37" s="3480">
        <f>'[22]27 - Gas extensions - demand SG'!F43/1000</f>
        <v>2.2850000000000001</v>
      </c>
      <c r="H37" s="3480">
        <f>'[22]27 - Gas extensions - demand SG'!G43/1000</f>
        <v>2.7344588809403652</v>
      </c>
      <c r="I37" s="3481">
        <f>'[22]27 - Gas extensions - demand SG'!H43/1000</f>
        <v>2.8860143373941498</v>
      </c>
      <c r="J37" s="3479">
        <f>[23]Sheet1!CV172</f>
        <v>3.3581001679750808</v>
      </c>
      <c r="K37" s="3480">
        <f>[23]Sheet1!CW172</f>
        <v>3.9127665322104588</v>
      </c>
      <c r="L37" s="3480">
        <f>[23]Sheet1!CX172</f>
        <v>7.073055300352074</v>
      </c>
      <c r="M37" s="3480">
        <f>[23]Sheet1!CY172</f>
        <v>4.6964948104119335</v>
      </c>
      <c r="N37" s="3481">
        <f>[23]Sheet1!CZ172</f>
        <v>5.0305719254410839</v>
      </c>
      <c r="O37" s="3479">
        <f>'[13]PTRM input'!Y346/1000</f>
        <v>5.4105454176435792</v>
      </c>
      <c r="P37" s="3480">
        <f>'[13]PTRM input'!Z346/1000</f>
        <v>5.8098507252254201</v>
      </c>
      <c r="Q37" s="3480">
        <f>'[13]PTRM input'!AA346/1000</f>
        <v>6.0816899008659941</v>
      </c>
      <c r="R37" s="3480">
        <f>'[13]PTRM input'!AB346/1000</f>
        <v>6.1464594800035695</v>
      </c>
      <c r="S37" s="3482">
        <f>'[13]PTRM input'!AC346/1000</f>
        <v>6.4436041972731593</v>
      </c>
      <c r="AE37" s="1266"/>
      <c r="DP37" s="223"/>
    </row>
    <row r="38" spans="2:120" ht="13.5" thickBot="1">
      <c r="B38" s="4786"/>
      <c r="C38" s="3483" t="s">
        <v>396</v>
      </c>
      <c r="D38" s="3484"/>
      <c r="E38" s="1681">
        <f t="shared" ref="E38:S38" si="0">SUM(E23:E37)</f>
        <v>0</v>
      </c>
      <c r="F38" s="1682">
        <f t="shared" si="0"/>
        <v>20.758000000000003</v>
      </c>
      <c r="G38" s="1682">
        <f t="shared" si="0"/>
        <v>51.606999999999999</v>
      </c>
      <c r="H38" s="1682">
        <f t="shared" si="0"/>
        <v>71.060315328000527</v>
      </c>
      <c r="I38" s="1684">
        <f t="shared" si="0"/>
        <v>65.203464499191128</v>
      </c>
      <c r="J38" s="1681">
        <f t="shared" si="0"/>
        <v>89.210354616245382</v>
      </c>
      <c r="K38" s="1682">
        <f t="shared" si="0"/>
        <v>90.715471530378977</v>
      </c>
      <c r="L38" s="1682">
        <f t="shared" si="0"/>
        <v>140.72781678592492</v>
      </c>
      <c r="M38" s="1682">
        <f t="shared" si="0"/>
        <v>138.99664507304112</v>
      </c>
      <c r="N38" s="1684">
        <f t="shared" si="0"/>
        <v>147.62348934078389</v>
      </c>
      <c r="O38" s="1681">
        <f t="shared" si="0"/>
        <v>155.54766412445588</v>
      </c>
      <c r="P38" s="1682">
        <f t="shared" si="0"/>
        <v>163.36195285042444</v>
      </c>
      <c r="Q38" s="1682">
        <f t="shared" si="0"/>
        <v>170.69206229052983</v>
      </c>
      <c r="R38" s="1682">
        <f t="shared" si="0"/>
        <v>178.14467264830378</v>
      </c>
      <c r="S38" s="3485">
        <f t="shared" si="0"/>
        <v>185.99794255244595</v>
      </c>
      <c r="AE38" s="1266"/>
      <c r="DP38" s="223"/>
    </row>
    <row r="39" spans="2:120">
      <c r="B39" s="4784" t="s">
        <v>1679</v>
      </c>
      <c r="C39" s="4787" t="s">
        <v>48</v>
      </c>
      <c r="D39" s="4788"/>
      <c r="E39" s="1650">
        <f>'[18]27.4 Customer numbers SG'!D34</f>
        <v>0</v>
      </c>
      <c r="F39" s="1651">
        <f>'[18]27.4 Customer numbers SG'!E34</f>
        <v>11</v>
      </c>
      <c r="G39" s="1651">
        <f>'[18]27.4 Customer numbers SG'!F34</f>
        <v>42</v>
      </c>
      <c r="H39" s="1651">
        <f>'[18]27.4 Customer numbers SG'!G34</f>
        <v>70</v>
      </c>
      <c r="I39" s="1683">
        <f>'[18]27.4 Customer numbers SG'!H34</f>
        <v>80.5</v>
      </c>
      <c r="J39" s="1650">
        <f>'[18]27.4 Customer numbers SG'!I34</f>
        <v>83</v>
      </c>
      <c r="K39" s="1651">
        <f>'[18]27.4 Customer numbers SG'!J34</f>
        <v>83.5</v>
      </c>
      <c r="L39" s="1651">
        <f>'[18]27.4 Customer numbers SG'!K34</f>
        <v>85.5</v>
      </c>
      <c r="M39" s="1651">
        <f>'[18]27.4 Customer numbers SG'!L34</f>
        <v>90.5</v>
      </c>
      <c r="N39" s="1683">
        <f>'[18]27.4 Customer numbers SG'!M34</f>
        <v>97.358507473791519</v>
      </c>
      <c r="O39" s="1650">
        <f>'[18]27.4 Customer numbers SG'!N34</f>
        <v>102.33140379892158</v>
      </c>
      <c r="P39" s="1651">
        <f>'[18]27.4 Customer numbers SG'!O34</f>
        <v>103.26460986324511</v>
      </c>
      <c r="Q39" s="1651">
        <f>'[18]27.4 Customer numbers SG'!P34</f>
        <v>104.59148831123321</v>
      </c>
      <c r="R39" s="1651">
        <f>'[18]27.4 Customer numbers SG'!Q34</f>
        <v>105.40065252495441</v>
      </c>
      <c r="S39" s="1652">
        <f>'[18]27.4 Customer numbers SG'!R34</f>
        <v>105.78652036733432</v>
      </c>
      <c r="AE39" s="1266"/>
      <c r="DP39" s="223"/>
    </row>
    <row r="40" spans="2:120">
      <c r="B40" s="4785"/>
      <c r="C40" s="890" t="s">
        <v>1638</v>
      </c>
      <c r="D40" s="851" t="s">
        <v>1638</v>
      </c>
      <c r="E40" s="3479">
        <f>'[22]27 - Gas extensions - demand SG'!D58/1000</f>
        <v>0</v>
      </c>
      <c r="F40" s="3480">
        <f>'[22]27 - Gas extensions - demand SG'!E58/1000</f>
        <v>6.0000000000000001E-3</v>
      </c>
      <c r="G40" s="3480">
        <f>'[22]27 - Gas extensions - demand SG'!F58/1000</f>
        <v>1.038</v>
      </c>
      <c r="H40" s="3480">
        <f>'[22]27 - Gas extensions - demand SG'!G58/1000</f>
        <v>1.810582974026699</v>
      </c>
      <c r="I40" s="3481">
        <f>'[22]27 - Gas extensions - demand SG'!H58/1000</f>
        <v>1.3112604316221199</v>
      </c>
      <c r="J40" s="3479">
        <f>[23]Sheet1!CV181</f>
        <v>2.0189548793315839</v>
      </c>
      <c r="K40" s="3480">
        <f>[23]Sheet1!CW181</f>
        <v>2.010387057304508</v>
      </c>
      <c r="L40" s="3480">
        <f>[23]Sheet1!CX181</f>
        <v>2.3076544254473936</v>
      </c>
      <c r="M40" s="3480">
        <f>[23]Sheet1!CY181</f>
        <v>2.6933673758468815</v>
      </c>
      <c r="N40" s="3481">
        <f>[23]Sheet1!CZ181</f>
        <v>2.9094269415176028</v>
      </c>
      <c r="O40" s="3479">
        <f>[23]Sheet1!DA181</f>
        <v>3.012670632512279</v>
      </c>
      <c r="P40" s="3480">
        <f>[23]Sheet1!DB181</f>
        <v>3.0831156927263463</v>
      </c>
      <c r="Q40" s="3480">
        <f>[23]Sheet1!DC181</f>
        <v>3.1785703371964993</v>
      </c>
      <c r="R40" s="3480">
        <f>[23]Sheet1!DD181</f>
        <v>3.2193938688598807</v>
      </c>
      <c r="S40" s="3482">
        <f>[23]Sheet1!DE181</f>
        <v>3.2334748599379837</v>
      </c>
      <c r="AE40" s="1266"/>
      <c r="DP40" s="223"/>
    </row>
    <row r="41" spans="2:120">
      <c r="B41" s="4785"/>
      <c r="C41" s="890" t="s">
        <v>1639</v>
      </c>
      <c r="D41" s="851" t="s">
        <v>1639</v>
      </c>
      <c r="E41" s="3479">
        <f>'[22]27 - Gas extensions - demand SG'!D59/1000</f>
        <v>0</v>
      </c>
      <c r="F41" s="3480">
        <f>'[22]27 - Gas extensions - demand SG'!E59/1000</f>
        <v>1.2E-2</v>
      </c>
      <c r="G41" s="3480">
        <f>'[22]27 - Gas extensions - demand SG'!F59/1000</f>
        <v>2.2610000000000001</v>
      </c>
      <c r="H41" s="3480">
        <f>'[22]27 - Gas extensions - demand SG'!G59/1000</f>
        <v>3.5749272961962215</v>
      </c>
      <c r="I41" s="3481">
        <f>'[22]27 - Gas extensions - demand SG'!H59/1000</f>
        <v>2.8570734778564302</v>
      </c>
      <c r="J41" s="3479">
        <f>[23]Sheet1!CV182</f>
        <v>3.7249547925292883</v>
      </c>
      <c r="K41" s="3480">
        <f>[23]Sheet1!CW182</f>
        <v>3.9584400729442399</v>
      </c>
      <c r="L41" s="3480">
        <f>[23]Sheet1!CX182</f>
        <v>4.48903794089171</v>
      </c>
      <c r="M41" s="3480">
        <f>[23]Sheet1!CY182</f>
        <v>5.1700175166559239</v>
      </c>
      <c r="N41" s="3481">
        <f>[23]Sheet1!CZ182</f>
        <v>5.5548990933695803</v>
      </c>
      <c r="O41" s="3479">
        <f>[23]Sheet1!DA182</f>
        <v>5.7722734418869663</v>
      </c>
      <c r="P41" s="3480">
        <f>[23]Sheet1!DB182</f>
        <v>5.954423173221989</v>
      </c>
      <c r="Q41" s="3480">
        <f>[23]Sheet1!DC182</f>
        <v>6.1163060324259755</v>
      </c>
      <c r="R41" s="3480">
        <f>[23]Sheet1!DD182</f>
        <v>6.1813097335595888</v>
      </c>
      <c r="S41" s="3482">
        <f>[23]Sheet1!DE182</f>
        <v>6.2086593782977388</v>
      </c>
      <c r="AE41" s="1266"/>
      <c r="DP41" s="223"/>
    </row>
    <row r="42" spans="2:120">
      <c r="B42" s="4785"/>
      <c r="C42" s="890" t="s">
        <v>1640</v>
      </c>
      <c r="D42" s="851" t="s">
        <v>1640</v>
      </c>
      <c r="E42" s="3479">
        <f>'[22]27 - Gas extensions - demand SG'!D60/1000</f>
        <v>0</v>
      </c>
      <c r="F42" s="3480">
        <f>'[22]27 - Gas extensions - demand SG'!E60/1000</f>
        <v>6.0000000000000001E-3</v>
      </c>
      <c r="G42" s="3480">
        <f>'[22]27 - Gas extensions - demand SG'!F60/1000</f>
        <v>1.103</v>
      </c>
      <c r="H42" s="3480">
        <f>'[22]27 - Gas extensions - demand SG'!G60/1000</f>
        <v>1.5827567924021622</v>
      </c>
      <c r="I42" s="3481">
        <f>'[22]27 - Gas extensions - demand SG'!H60/1000</f>
        <v>1.39314998827778</v>
      </c>
      <c r="J42" s="3479">
        <f>[23]Sheet1!CV183</f>
        <v>1.7198082423339169</v>
      </c>
      <c r="K42" s="3480">
        <f>[23]Sheet1!CW183</f>
        <v>1.8620926063993979</v>
      </c>
      <c r="L42" s="3480">
        <f>[23]Sheet1!CX183</f>
        <v>2.0261578491355112</v>
      </c>
      <c r="M42" s="3480">
        <f>[23]Sheet1!CY183</f>
        <v>2.3307612052625117</v>
      </c>
      <c r="N42" s="3481">
        <f>[23]Sheet1!CZ183</f>
        <v>2.5129486224678947</v>
      </c>
      <c r="O42" s="3479">
        <f>[23]Sheet1!DA183</f>
        <v>2.6393058934054605</v>
      </c>
      <c r="P42" s="3480">
        <f>[23]Sheet1!DB183</f>
        <v>2.7171239901474213</v>
      </c>
      <c r="Q42" s="3480">
        <f>[23]Sheet1!DC183</f>
        <v>2.7744564409331645</v>
      </c>
      <c r="R42" s="3480">
        <f>[23]Sheet1!DD183</f>
        <v>2.8067726141566771</v>
      </c>
      <c r="S42" s="3482">
        <f>[23]Sheet1!DE183</f>
        <v>2.823220326141505</v>
      </c>
      <c r="AE42" s="1266"/>
      <c r="DP42" s="223"/>
    </row>
    <row r="43" spans="2:120">
      <c r="B43" s="4785"/>
      <c r="C43" s="890" t="s">
        <v>1641</v>
      </c>
      <c r="D43" s="851" t="s">
        <v>1641</v>
      </c>
      <c r="E43" s="3479">
        <f>'[22]27 - Gas extensions - demand SG'!D61/1000</f>
        <v>0</v>
      </c>
      <c r="F43" s="3480">
        <f>'[22]27 - Gas extensions - demand SG'!E61/1000</f>
        <v>3.3000000000000002E-2</v>
      </c>
      <c r="G43" s="3480">
        <f>'[22]27 - Gas extensions - demand SG'!F61/1000</f>
        <v>5.6559999999999997</v>
      </c>
      <c r="H43" s="3480">
        <f>'[22]27 - Gas extensions - demand SG'!G61/1000</f>
        <v>6.0359385633859297</v>
      </c>
      <c r="I43" s="3481">
        <f>'[22]27 - Gas extensions - demand SG'!H61/1000</f>
        <v>7.1465368092648296</v>
      </c>
      <c r="J43" s="3479">
        <f>[23]Sheet1!CV184</f>
        <v>6.57079053648427</v>
      </c>
      <c r="K43" s="3480">
        <f>[23]Sheet1!CW184</f>
        <v>7.4537188669459002</v>
      </c>
      <c r="L43" s="3480">
        <f>[23]Sheet1!CX184</f>
        <v>7.57451705386854</v>
      </c>
      <c r="M43" s="3480">
        <f>[23]Sheet1!CY184</f>
        <v>9.0571415243665925</v>
      </c>
      <c r="N43" s="3481">
        <f>[23]Sheet1!CZ184</f>
        <v>9.7994880530813919</v>
      </c>
      <c r="O43" s="3479">
        <f>[23]Sheet1!DA184</f>
        <v>10.210861120621932</v>
      </c>
      <c r="P43" s="3480">
        <f>[23]Sheet1!DB184</f>
        <v>10.539151937538458</v>
      </c>
      <c r="Q43" s="3480">
        <f>[23]Sheet1!DC184</f>
        <v>10.693023596978863</v>
      </c>
      <c r="R43" s="3480">
        <f>[23]Sheet1!DD184</f>
        <v>10.882984460695306</v>
      </c>
      <c r="S43" s="3482">
        <f>[23]Sheet1!DE184</f>
        <v>10.942002564663488</v>
      </c>
      <c r="AE43" s="1266"/>
      <c r="DP43" s="223"/>
    </row>
    <row r="44" spans="2:120">
      <c r="B44" s="4785"/>
      <c r="C44" s="890" t="s">
        <v>1642</v>
      </c>
      <c r="D44" s="851" t="s">
        <v>1642</v>
      </c>
      <c r="E44" s="3479">
        <f>'[22]27 - Gas extensions - demand SG'!D62/1000</f>
        <v>0</v>
      </c>
      <c r="F44" s="3480">
        <f>'[22]27 - Gas extensions - demand SG'!E62/1000</f>
        <v>8.3000000000000004E-2</v>
      </c>
      <c r="G44" s="3480">
        <f>'[22]27 - Gas extensions - demand SG'!F62/1000</f>
        <v>11.974</v>
      </c>
      <c r="H44" s="3480">
        <f>'[22]27 - Gas extensions - demand SG'!G62/1000</f>
        <v>11.42887112592007</v>
      </c>
      <c r="I44" s="3481">
        <f>'[22]27 - Gas extensions - demand SG'!H62/1000</f>
        <v>15.1300735934978</v>
      </c>
      <c r="J44" s="3479">
        <f>[23]Sheet1!CV185</f>
        <v>10.062525875259521</v>
      </c>
      <c r="K44" s="3480">
        <f>[23]Sheet1!CW185</f>
        <v>12.00128383522242</v>
      </c>
      <c r="L44" s="3480">
        <f>[23]Sheet1!CX185</f>
        <v>12.977196342352171</v>
      </c>
      <c r="M44" s="3480">
        <f>[23]Sheet1!CY185</f>
        <v>15.075591543469489</v>
      </c>
      <c r="N44" s="3481">
        <f>[23]Sheet1!CZ185</f>
        <v>15.8963385477879</v>
      </c>
      <c r="O44" s="3479">
        <f>[23]Sheet1!DA185</f>
        <v>16.614325009163679</v>
      </c>
      <c r="P44" s="3480">
        <f>[23]Sheet1!DB185</f>
        <v>17.355471879963083</v>
      </c>
      <c r="Q44" s="3480">
        <f>[23]Sheet1!DC185</f>
        <v>17.689871783660468</v>
      </c>
      <c r="R44" s="3480">
        <f>[23]Sheet1!DD185</f>
        <v>17.879611731018478</v>
      </c>
      <c r="S44" s="3482">
        <f>[23]Sheet1!DE185</f>
        <v>17.929679311000964</v>
      </c>
      <c r="AE44" s="1266"/>
      <c r="DP44" s="223"/>
    </row>
    <row r="45" spans="2:120">
      <c r="B45" s="4785"/>
      <c r="C45" s="890" t="s">
        <v>1643</v>
      </c>
      <c r="D45" s="851" t="s">
        <v>1643</v>
      </c>
      <c r="E45" s="3479">
        <f>'[22]27 - Gas extensions - demand SG'!D72/1000</f>
        <v>0</v>
      </c>
      <c r="F45" s="3480">
        <f>'[22]27 - Gas extensions - demand SG'!E72/1000</f>
        <v>7.3999999999999996E-2</v>
      </c>
      <c r="G45" s="3480">
        <f>'[22]27 - Gas extensions - demand SG'!F72/1000</f>
        <v>0.51400000000000001</v>
      </c>
      <c r="H45" s="3480">
        <f>'[22]27 - Gas extensions - demand SG'!G72/1000</f>
        <v>0.85285806411654497</v>
      </c>
      <c r="I45" s="3481">
        <f>'[22]27 - Gas extensions - demand SG'!H72/1000</f>
        <v>0.64985251202988903</v>
      </c>
      <c r="J45" s="3479">
        <f>[23]Sheet1!CV193</f>
        <v>0.95618340753535613</v>
      </c>
      <c r="K45" s="3480">
        <f>[23]Sheet1!CW193</f>
        <v>0.93437370812839893</v>
      </c>
      <c r="L45" s="3480">
        <f>[23]Sheet1!CX193</f>
        <v>1.0731466139975141</v>
      </c>
      <c r="M45" s="3480">
        <f>[23]Sheet1!CY193</f>
        <v>1.1102406745668387</v>
      </c>
      <c r="N45" s="3481">
        <f>[23]Sheet1!CZ193</f>
        <v>1.2016618757146631</v>
      </c>
      <c r="O45" s="3479">
        <f>[23]Sheet1!DA193</f>
        <v>1.2517086143459355</v>
      </c>
      <c r="P45" s="3480">
        <f>[23]Sheet1!DB193</f>
        <v>1.298518563324851</v>
      </c>
      <c r="Q45" s="3480">
        <f>[23]Sheet1!DC193</f>
        <v>1.3224559256391564</v>
      </c>
      <c r="R45" s="3480">
        <f>[23]Sheet1!DD193</f>
        <v>1.3375753332014213</v>
      </c>
      <c r="S45" s="3482">
        <f>[23]Sheet1!DE193</f>
        <v>1.3455297854453225</v>
      </c>
      <c r="AE45" s="1266"/>
      <c r="DP45" s="223"/>
    </row>
    <row r="46" spans="2:120">
      <c r="B46" s="4785"/>
      <c r="C46" s="890" t="s">
        <v>1644</v>
      </c>
      <c r="D46" s="851" t="s">
        <v>1644</v>
      </c>
      <c r="E46" s="3479">
        <f>'[22]27 - Gas extensions - demand SG'!D73/1000</f>
        <v>0</v>
      </c>
      <c r="F46" s="3480">
        <f>'[22]27 - Gas extensions - demand SG'!E73/1000</f>
        <v>0.16700000000000001</v>
      </c>
      <c r="G46" s="3480">
        <f>'[22]27 - Gas extensions - demand SG'!F73/1000</f>
        <v>1.091</v>
      </c>
      <c r="H46" s="3480">
        <f>'[22]27 - Gas extensions - demand SG'!G73/1000</f>
        <v>1.6786236410875361</v>
      </c>
      <c r="I46" s="3481">
        <f>'[22]27 - Gas extensions - demand SG'!H73/1000</f>
        <v>1.37954503671609</v>
      </c>
      <c r="J46" s="3479">
        <f>[23]Sheet1!CV194</f>
        <v>1.7573975398614989</v>
      </c>
      <c r="K46" s="3480">
        <f>[23]Sheet1!CW194</f>
        <v>1.735218985998324</v>
      </c>
      <c r="L46" s="3480">
        <f>[23]Sheet1!CX194</f>
        <v>2.018868958556912</v>
      </c>
      <c r="M46" s="3480">
        <f>[23]Sheet1!CY194</f>
        <v>2.0820023312783587</v>
      </c>
      <c r="N46" s="3481">
        <f>[23]Sheet1!CZ194</f>
        <v>2.2328430940389401</v>
      </c>
      <c r="O46" s="3479">
        <f>[23]Sheet1!DA194</f>
        <v>2.3306025244058159</v>
      </c>
      <c r="P46" s="3480">
        <f>[23]Sheet1!DB194</f>
        <v>2.4239627953044036</v>
      </c>
      <c r="Q46" s="3480">
        <f>[23]Sheet1!DC194</f>
        <v>2.4712176696571082</v>
      </c>
      <c r="R46" s="3480">
        <f>[23]Sheet1!DD194</f>
        <v>2.4960733524206735</v>
      </c>
      <c r="S46" s="3482">
        <f>[23]Sheet1!DE194</f>
        <v>2.5084827807366996</v>
      </c>
      <c r="AE46" s="1266"/>
      <c r="DP46" s="223"/>
    </row>
    <row r="47" spans="2:120">
      <c r="B47" s="4785"/>
      <c r="C47" s="890" t="s">
        <v>1645</v>
      </c>
      <c r="D47" s="851" t="s">
        <v>1645</v>
      </c>
      <c r="E47" s="3479">
        <f>'[22]27 - Gas extensions - demand SG'!D74/1000</f>
        <v>0</v>
      </c>
      <c r="F47" s="3480">
        <f>'[22]27 - Gas extensions - demand SG'!E74/1000</f>
        <v>8.5999999999999993E-2</v>
      </c>
      <c r="G47" s="3480">
        <f>'[22]27 - Gas extensions - demand SG'!F74/1000</f>
        <v>0.49099999999999999</v>
      </c>
      <c r="H47" s="3480">
        <f>'[22]27 - Gas extensions - demand SG'!G74/1000</f>
        <v>0.73312549968735108</v>
      </c>
      <c r="I47" s="3481">
        <f>'[22]27 - Gas extensions - demand SG'!H74/1000</f>
        <v>0.62061487396834802</v>
      </c>
      <c r="J47" s="3479">
        <f>[23]Sheet1!CV195</f>
        <v>0.74719366915682195</v>
      </c>
      <c r="K47" s="3480">
        <f>[23]Sheet1!CW195</f>
        <v>0.75184479586384101</v>
      </c>
      <c r="L47" s="3480">
        <f>[23]Sheet1!CX195</f>
        <v>0.86736565243373698</v>
      </c>
      <c r="M47" s="3480">
        <f>[23]Sheet1!CY195</f>
        <v>0.8955987780079262</v>
      </c>
      <c r="N47" s="3481">
        <f>[23]Sheet1!CZ195</f>
        <v>0.95761479759081969</v>
      </c>
      <c r="O47" s="3479">
        <f>[23]Sheet1!DA195</f>
        <v>1.0008648370904638</v>
      </c>
      <c r="P47" s="3480">
        <f>[23]Sheet1!DB195</f>
        <v>1.042987626879788</v>
      </c>
      <c r="Q47" s="3480">
        <f>[23]Sheet1!DC195</f>
        <v>1.0618303256373622</v>
      </c>
      <c r="R47" s="3480">
        <f>[23]Sheet1!DD195</f>
        <v>1.0725353923412695</v>
      </c>
      <c r="S47" s="3482">
        <f>[23]Sheet1!DE195</f>
        <v>1.0776315761119133</v>
      </c>
      <c r="AE47" s="1266"/>
      <c r="DP47" s="223"/>
    </row>
    <row r="48" spans="2:120">
      <c r="B48" s="4785"/>
      <c r="C48" s="890" t="s">
        <v>1646</v>
      </c>
      <c r="D48" s="851" t="s">
        <v>1646</v>
      </c>
      <c r="E48" s="3479">
        <f>'[22]27 - Gas extensions - demand SG'!D75/1000</f>
        <v>0</v>
      </c>
      <c r="F48" s="3480">
        <f>'[22]27 - Gas extensions - demand SG'!E75/1000</f>
        <v>0.505</v>
      </c>
      <c r="G48" s="3480">
        <f>'[22]27 - Gas extensions - demand SG'!F75/1000</f>
        <v>2.508</v>
      </c>
      <c r="H48" s="3480">
        <f>'[22]27 - Gas extensions - demand SG'!G75/1000</f>
        <v>2.9037482106505501</v>
      </c>
      <c r="I48" s="3481">
        <f>'[22]27 - Gas extensions - demand SG'!H75/1000</f>
        <v>3.1701189597857602</v>
      </c>
      <c r="J48" s="3479">
        <f>[23]Sheet1!CV196</f>
        <v>2.8543308512500998</v>
      </c>
      <c r="K48" s="3480">
        <f>[23]Sheet1!CW196</f>
        <v>2.8967207733447005</v>
      </c>
      <c r="L48" s="3480">
        <f>[23]Sheet1!CX196</f>
        <v>3.1628150632896399</v>
      </c>
      <c r="M48" s="3480">
        <f>[23]Sheet1!CY196</f>
        <v>3.4318851448778913</v>
      </c>
      <c r="N48" s="3481">
        <f>[23]Sheet1!CZ196</f>
        <v>3.6449923138844089</v>
      </c>
      <c r="O48" s="3479">
        <f>[23]Sheet1!DA196</f>
        <v>3.7943349929970522</v>
      </c>
      <c r="P48" s="3480">
        <f>[23]Sheet1!DB196</f>
        <v>3.9481671429651368</v>
      </c>
      <c r="Q48" s="3480">
        <f>[23]Sheet1!DC196</f>
        <v>4.0050089254031125</v>
      </c>
      <c r="R48" s="3480">
        <f>[23]Sheet1!DD196</f>
        <v>4.0726933472464735</v>
      </c>
      <c r="S48" s="3482">
        <f>[23]Sheet1!DE196</f>
        <v>4.0846026270653049</v>
      </c>
      <c r="AE48" s="1266"/>
      <c r="DP48" s="223"/>
    </row>
    <row r="49" spans="1:120">
      <c r="B49" s="4785"/>
      <c r="C49" s="890" t="s">
        <v>1647</v>
      </c>
      <c r="D49" s="851" t="s">
        <v>1647</v>
      </c>
      <c r="E49" s="3479">
        <f>'[22]27 - Gas extensions - demand SG'!D76/1000</f>
        <v>0</v>
      </c>
      <c r="F49" s="3480">
        <f>'[22]27 - Gas extensions - demand SG'!E76/1000</f>
        <v>1.756</v>
      </c>
      <c r="G49" s="3480">
        <f>'[22]27 - Gas extensions - demand SG'!F76/1000</f>
        <v>3.0409999999999999</v>
      </c>
      <c r="H49" s="3480">
        <f>'[22]27 - Gas extensions - demand SG'!G76/1000</f>
        <v>3.6293659982396704</v>
      </c>
      <c r="I49" s="3481">
        <f>'[22]27 - Gas extensions - demand SG'!H76/1000</f>
        <v>3.8449050969614502</v>
      </c>
      <c r="J49" s="3479">
        <f>[23]Sheet1!CV197</f>
        <v>3.8677649549200499</v>
      </c>
      <c r="K49" s="3480">
        <f>[23]Sheet1!CW197</f>
        <v>3.49822896843293</v>
      </c>
      <c r="L49" s="3480">
        <f>[23]Sheet1!CX197</f>
        <v>4.1954320457219003</v>
      </c>
      <c r="M49" s="3480">
        <f>[23]Sheet1!CY197</f>
        <v>4.3943593466065041</v>
      </c>
      <c r="N49" s="3481">
        <f>[23]Sheet1!CZ197</f>
        <v>4.6902870242861026</v>
      </c>
      <c r="O49" s="3479">
        <f>[23]Sheet1!DA197</f>
        <v>4.8959038784917697</v>
      </c>
      <c r="P49" s="3480">
        <f>[23]Sheet1!DB197</f>
        <v>5.0444687406237483</v>
      </c>
      <c r="Q49" s="3480">
        <f>[23]Sheet1!DC197</f>
        <v>5.1750971282045963</v>
      </c>
      <c r="R49" s="3480">
        <f>[23]Sheet1!DD197</f>
        <v>5.2352819415375613</v>
      </c>
      <c r="S49" s="3482">
        <f>[23]Sheet1!DE197</f>
        <v>5.2547088700916706</v>
      </c>
      <c r="AE49" s="1266"/>
      <c r="DP49" s="223"/>
    </row>
    <row r="50" spans="1:120">
      <c r="B50" s="4785"/>
      <c r="C50" s="890" t="s">
        <v>1648</v>
      </c>
      <c r="D50" s="851" t="s">
        <v>1648</v>
      </c>
      <c r="E50" s="3479">
        <f>'[22]27 - Gas extensions - demand SG'!D65/1000</f>
        <v>0</v>
      </c>
      <c r="F50" s="3480">
        <f>'[22]27 - Gas extensions - demand SG'!E65/1000</f>
        <v>9.5000000000000001E-2</v>
      </c>
      <c r="G50" s="3480">
        <f>'[22]27 - Gas extensions - demand SG'!F65/1000</f>
        <v>1.1890000000000001</v>
      </c>
      <c r="H50" s="3480">
        <f>'[22]27 - Gas extensions - demand SG'!G65/1000</f>
        <v>2.1646894376428318</v>
      </c>
      <c r="I50" s="3481">
        <f>'[22]27 - Gas extensions - demand SG'!H65/1000</f>
        <v>1.50182872709606</v>
      </c>
      <c r="J50" s="3479">
        <f>[23]Sheet1!CV187</f>
        <v>2.4862232259351482</v>
      </c>
      <c r="K50" s="3480">
        <f>[23]Sheet1!CW187</f>
        <v>2.5349310255828623</v>
      </c>
      <c r="L50" s="3480">
        <f>[23]Sheet1!CX187</f>
        <v>2.8588791540623721</v>
      </c>
      <c r="M50" s="3480">
        <f>[23]Sheet1!CY187</f>
        <v>2.4326826467890332</v>
      </c>
      <c r="N50" s="3481">
        <f>[23]Sheet1!CZ187</f>
        <v>2.6584086214111138</v>
      </c>
      <c r="O50" s="3479">
        <f>[23]Sheet1!DA187</f>
        <v>2.7658330938536748</v>
      </c>
      <c r="P50" s="3480">
        <f>[23]Sheet1!DB187</f>
        <v>2.8831238119539551</v>
      </c>
      <c r="Q50" s="3480">
        <f>[23]Sheet1!DC187</f>
        <v>2.9250600169095673</v>
      </c>
      <c r="R50" s="3480">
        <f>[23]Sheet1!DD187</f>
        <v>2.9546450504112585</v>
      </c>
      <c r="S50" s="3482">
        <f>[23]Sheet1!DE187</f>
        <v>2.9769558488010111</v>
      </c>
      <c r="AE50" s="1266"/>
      <c r="DP50" s="223"/>
    </row>
    <row r="51" spans="1:120">
      <c r="B51" s="4785"/>
      <c r="C51" s="890" t="s">
        <v>1649</v>
      </c>
      <c r="D51" s="851" t="s">
        <v>1649</v>
      </c>
      <c r="E51" s="3479">
        <f>'[22]27 - Gas extensions - demand SG'!D66/1000</f>
        <v>0</v>
      </c>
      <c r="F51" s="3480">
        <f>'[22]27 - Gas extensions - demand SG'!E66/1000</f>
        <v>0.215</v>
      </c>
      <c r="G51" s="3480">
        <f>'[22]27 - Gas extensions - demand SG'!F66/1000</f>
        <v>2.6779999999999999</v>
      </c>
      <c r="H51" s="3480">
        <f>'[22]27 - Gas extensions - demand SG'!G66/1000</f>
        <v>4.4257961897282918</v>
      </c>
      <c r="I51" s="3481">
        <f>'[22]27 - Gas extensions - demand SG'!H66/1000</f>
        <v>3.3826534828508299</v>
      </c>
      <c r="J51" s="3479">
        <f>[23]Sheet1!CV188</f>
        <v>4.63029671797179</v>
      </c>
      <c r="K51" s="3480">
        <f>[23]Sheet1!CW188</f>
        <v>4.6533738985965609</v>
      </c>
      <c r="L51" s="3480">
        <f>[23]Sheet1!CX188</f>
        <v>5.2870102096721929</v>
      </c>
      <c r="M51" s="3480">
        <f>[23]Sheet1!CY188</f>
        <v>4.6289203230529488</v>
      </c>
      <c r="N51" s="3481">
        <f>[23]Sheet1!CZ188</f>
        <v>4.9863109914964827</v>
      </c>
      <c r="O51" s="3479">
        <f>[23]Sheet1!DA188</f>
        <v>5.1577537515678253</v>
      </c>
      <c r="P51" s="3480">
        <f>[23]Sheet1!DB188</f>
        <v>5.3778313418219188</v>
      </c>
      <c r="Q51" s="3480">
        <f>[23]Sheet1!DC188</f>
        <v>5.4739316872878803</v>
      </c>
      <c r="R51" s="3480">
        <f>[23]Sheet1!DD188</f>
        <v>5.5425339601426398</v>
      </c>
      <c r="S51" s="3482">
        <f>[23]Sheet1!DE188</f>
        <v>5.5686915897401787</v>
      </c>
      <c r="AE51" s="1266"/>
      <c r="DP51" s="223"/>
    </row>
    <row r="52" spans="1:120">
      <c r="B52" s="4785"/>
      <c r="C52" s="890" t="s">
        <v>1650</v>
      </c>
      <c r="D52" s="851" t="s">
        <v>1650</v>
      </c>
      <c r="E52" s="3479">
        <f>'[22]27 - Gas extensions - demand SG'!D67/1000</f>
        <v>0</v>
      </c>
      <c r="F52" s="3480">
        <f>'[22]27 - Gas extensions - demand SG'!E67/1000</f>
        <v>0.111</v>
      </c>
      <c r="G52" s="3480">
        <f>'[22]27 - Gas extensions - demand SG'!F67/1000</f>
        <v>1.1990000000000001</v>
      </c>
      <c r="H52" s="3480">
        <f>'[22]27 - Gas extensions - demand SG'!G67/1000</f>
        <v>1.8496265488305563</v>
      </c>
      <c r="I52" s="3481">
        <f>'[22]27 - Gas extensions - demand SG'!H67/1000</f>
        <v>1.51400137658447</v>
      </c>
      <c r="J52" s="3479">
        <f>[23]Sheet1!CV189</f>
        <v>1.9766574020467649</v>
      </c>
      <c r="K52" s="3480">
        <f>[23]Sheet1!CW189</f>
        <v>1.9404178387024957</v>
      </c>
      <c r="L52" s="3480">
        <f>[23]Sheet1!CX189</f>
        <v>2.1484149787718354</v>
      </c>
      <c r="M52" s="3480">
        <f>[23]Sheet1!CY189</f>
        <v>1.9302515077902151</v>
      </c>
      <c r="N52" s="3481">
        <f>[23]Sheet1!CZ189</f>
        <v>2.0786109593346014</v>
      </c>
      <c r="O52" s="3479">
        <f>[23]Sheet1!DA189</f>
        <v>2.1495069562931115</v>
      </c>
      <c r="P52" s="3480">
        <f>[23]Sheet1!DB189</f>
        <v>2.2307019837047992</v>
      </c>
      <c r="Q52" s="3480">
        <f>[23]Sheet1!DC189</f>
        <v>2.2681277841542258</v>
      </c>
      <c r="R52" s="3480">
        <f>[23]Sheet1!DD189</f>
        <v>2.305422895721156</v>
      </c>
      <c r="S52" s="3482">
        <f>[23]Sheet1!DE189</f>
        <v>2.3151421165941297</v>
      </c>
      <c r="AE52" s="1266"/>
      <c r="DP52" s="223"/>
    </row>
    <row r="53" spans="1:120">
      <c r="B53" s="4785"/>
      <c r="C53" s="890" t="s">
        <v>1651</v>
      </c>
      <c r="D53" s="851" t="s">
        <v>1651</v>
      </c>
      <c r="E53" s="3479">
        <f>'[22]27 - Gas extensions - demand SG'!D68/1000</f>
        <v>0</v>
      </c>
      <c r="F53" s="3480">
        <f>'[22]27 - Gas extensions - demand SG'!E68/1000</f>
        <v>0.64800000000000002</v>
      </c>
      <c r="G53" s="3480">
        <f>'[22]27 - Gas extensions - demand SG'!F68/1000</f>
        <v>4.883</v>
      </c>
      <c r="H53" s="3480">
        <f>'[22]27 - Gas extensions - demand SG'!G68/1000</f>
        <v>7.0809805728321846</v>
      </c>
      <c r="I53" s="3481">
        <f>'[22]27 - Gas extensions - demand SG'!H68/1000</f>
        <v>6.1675854336189797</v>
      </c>
      <c r="J53" s="3479">
        <f>[23]Sheet1!CV190</f>
        <v>6.5083646831324113</v>
      </c>
      <c r="K53" s="3480">
        <f>[23]Sheet1!CW190</f>
        <v>6.4077873685290143</v>
      </c>
      <c r="L53" s="3480">
        <f>[23]Sheet1!CX190</f>
        <v>7.4513369165470804</v>
      </c>
      <c r="M53" s="3480">
        <f>[23]Sheet1!CY190</f>
        <v>6.5938086696295342</v>
      </c>
      <c r="N53" s="3481">
        <f>[23]Sheet1!CZ190</f>
        <v>6.9817292843159375</v>
      </c>
      <c r="O53" s="3479">
        <f>[23]Sheet1!DA190</f>
        <v>7.2374926252166798</v>
      </c>
      <c r="P53" s="3480">
        <f>[23]Sheet1!DB190</f>
        <v>7.5438437734764285</v>
      </c>
      <c r="Q53" s="3480">
        <f>[23]Sheet1!DC190</f>
        <v>7.7072167734119095</v>
      </c>
      <c r="R53" s="3480">
        <f>[23]Sheet1!DD190</f>
        <v>7.8022750861409609</v>
      </c>
      <c r="S53" s="3482">
        <f>[23]Sheet1!DE190</f>
        <v>7.8205008643185563</v>
      </c>
      <c r="AE53" s="1266"/>
      <c r="DP53" s="223"/>
    </row>
    <row r="54" spans="1:120">
      <c r="B54" s="4785"/>
      <c r="C54" s="890" t="s">
        <v>1652</v>
      </c>
      <c r="D54" s="851" t="s">
        <v>1652</v>
      </c>
      <c r="E54" s="3479">
        <f>'[22]27 - Gas extensions - demand SG'!D69/1000</f>
        <v>0</v>
      </c>
      <c r="F54" s="3480">
        <f>'[22]27 - Gas extensions - demand SG'!E69/1000</f>
        <v>2.2549999999999999</v>
      </c>
      <c r="G54" s="3480">
        <f>'[22]27 - Gas extensions - demand SG'!F69/1000</f>
        <v>4.0999999999999996</v>
      </c>
      <c r="H54" s="3480">
        <f>'[22]27 - Gas extensions - demand SG'!G69/1000</f>
        <v>6.8622360844715136</v>
      </c>
      <c r="I54" s="3481">
        <f>'[22]27 - Gas extensions - demand SG'!H69/1000</f>
        <v>5.1784834753034703</v>
      </c>
      <c r="J54" s="3479">
        <f>[23]Sheet1!CV191</f>
        <v>6.9445808881887405</v>
      </c>
      <c r="K54" s="3480">
        <f>[23]Sheet1!CW191</f>
        <v>6.0754271551517478</v>
      </c>
      <c r="L54" s="3480">
        <f>[23]Sheet1!CX191</f>
        <v>7.1185024549864044</v>
      </c>
      <c r="M54" s="3480">
        <f>[23]Sheet1!CY191</f>
        <v>6.2863067027333539</v>
      </c>
      <c r="N54" s="3481">
        <f>[23]Sheet1!CZ191</f>
        <v>6.6595332296438174</v>
      </c>
      <c r="O54" s="3479">
        <f>[23]Sheet1!DA191</f>
        <v>7.055884191575009</v>
      </c>
      <c r="P54" s="3480">
        <f>[23]Sheet1!DB191</f>
        <v>7.2202320227217021</v>
      </c>
      <c r="Q54" s="3480">
        <f>[23]Sheet1!DC191</f>
        <v>7.3903022466988624</v>
      </c>
      <c r="R54" s="3480">
        <f>[23]Sheet1!DD191</f>
        <v>7.4870012642102779</v>
      </c>
      <c r="S54" s="3482">
        <f>[23]Sheet1!DE191</f>
        <v>7.5143258693579353</v>
      </c>
      <c r="AE54" s="1266"/>
      <c r="DP54" s="223"/>
    </row>
    <row r="55" spans="1:120" ht="13.5" thickBot="1">
      <c r="B55" s="4786"/>
      <c r="C55" s="3483" t="s">
        <v>396</v>
      </c>
      <c r="D55" s="3486"/>
      <c r="E55" s="1681">
        <f t="shared" ref="E55:S55" si="1">SUM(E40:E54)</f>
        <v>0</v>
      </c>
      <c r="F55" s="1682">
        <f t="shared" si="1"/>
        <v>6.0519999999999996</v>
      </c>
      <c r="G55" s="1682">
        <f t="shared" si="1"/>
        <v>43.725999999999999</v>
      </c>
      <c r="H55" s="1682">
        <f t="shared" si="1"/>
        <v>56.614126999218115</v>
      </c>
      <c r="I55" s="1684">
        <f t="shared" si="1"/>
        <v>55.247683275434298</v>
      </c>
      <c r="J55" s="1681">
        <f t="shared" si="1"/>
        <v>56.826027665937261</v>
      </c>
      <c r="K55" s="1682">
        <f t="shared" si="1"/>
        <v>58.714246957147353</v>
      </c>
      <c r="L55" s="1682">
        <f t="shared" si="1"/>
        <v>65.556335659734927</v>
      </c>
      <c r="M55" s="1682">
        <f t="shared" si="1"/>
        <v>68.11293529093399</v>
      </c>
      <c r="N55" s="1684">
        <f t="shared" si="1"/>
        <v>72.765093449941247</v>
      </c>
      <c r="O55" s="1681">
        <f t="shared" si="1"/>
        <v>75.889321563427643</v>
      </c>
      <c r="P55" s="1682">
        <f t="shared" si="1"/>
        <v>78.663124476374023</v>
      </c>
      <c r="Q55" s="1682">
        <f t="shared" si="1"/>
        <v>80.252476674198761</v>
      </c>
      <c r="R55" s="1682">
        <f t="shared" si="1"/>
        <v>81.276110031663634</v>
      </c>
      <c r="S55" s="3485">
        <f t="shared" si="1"/>
        <v>81.603608368304407</v>
      </c>
      <c r="AE55" s="1266"/>
      <c r="DP55" s="223"/>
    </row>
    <row r="56" spans="1:120" s="1428" customFormat="1" ht="24" customHeight="1" thickBot="1">
      <c r="B56" s="3487" t="s">
        <v>1676</v>
      </c>
      <c r="C56" s="3488"/>
      <c r="D56" s="3488"/>
      <c r="E56" s="3489">
        <f>E38+E55</f>
        <v>0</v>
      </c>
      <c r="F56" s="3490">
        <f t="shared" ref="F56:S56" si="2">F38+F55</f>
        <v>26.810000000000002</v>
      </c>
      <c r="G56" s="3490">
        <f t="shared" si="2"/>
        <v>95.332999999999998</v>
      </c>
      <c r="H56" s="3490">
        <f t="shared" si="2"/>
        <v>127.67444232721864</v>
      </c>
      <c r="I56" s="3491">
        <f t="shared" si="2"/>
        <v>120.45114777462543</v>
      </c>
      <c r="J56" s="3489">
        <f t="shared" si="2"/>
        <v>146.03638228218264</v>
      </c>
      <c r="K56" s="3490">
        <f t="shared" si="2"/>
        <v>149.42971848752632</v>
      </c>
      <c r="L56" s="3490">
        <f t="shared" si="2"/>
        <v>206.28415244565986</v>
      </c>
      <c r="M56" s="3490">
        <f t="shared" si="2"/>
        <v>207.10958036397511</v>
      </c>
      <c r="N56" s="3491">
        <f t="shared" si="2"/>
        <v>220.38858279072514</v>
      </c>
      <c r="O56" s="3489">
        <f t="shared" si="2"/>
        <v>231.43698568788352</v>
      </c>
      <c r="P56" s="3490">
        <f t="shared" si="2"/>
        <v>242.02507732679845</v>
      </c>
      <c r="Q56" s="3490">
        <f t="shared" si="2"/>
        <v>250.94453896472859</v>
      </c>
      <c r="R56" s="3490">
        <f t="shared" si="2"/>
        <v>259.42078267996743</v>
      </c>
      <c r="S56" s="3492">
        <f t="shared" si="2"/>
        <v>267.60155092075036</v>
      </c>
      <c r="T56" s="1429"/>
      <c r="U56" s="1429"/>
      <c r="V56" s="1429"/>
      <c r="W56" s="1429"/>
      <c r="X56" s="1429"/>
      <c r="Y56" s="1429"/>
      <c r="Z56" s="1429"/>
      <c r="AA56" s="1429"/>
      <c r="AB56" s="1429"/>
      <c r="AC56" s="1429"/>
      <c r="AD56" s="1429"/>
      <c r="AE56" s="1429"/>
      <c r="AF56" s="1430"/>
      <c r="AG56" s="1430"/>
      <c r="AH56" s="1430"/>
      <c r="AI56" s="1430"/>
      <c r="AJ56" s="1430"/>
      <c r="AK56" s="1430"/>
      <c r="AL56" s="1430"/>
      <c r="AM56" s="1430"/>
      <c r="AN56" s="1430"/>
      <c r="AO56" s="1430"/>
      <c r="AP56" s="1430"/>
      <c r="AQ56" s="1430"/>
      <c r="AR56" s="1430"/>
      <c r="AS56" s="1430"/>
      <c r="AT56" s="1430"/>
      <c r="AU56" s="1430"/>
      <c r="AV56" s="1430"/>
      <c r="AW56" s="1430"/>
      <c r="AX56" s="1430"/>
      <c r="AY56" s="1430"/>
      <c r="AZ56" s="1430"/>
      <c r="BA56" s="1430"/>
      <c r="BB56" s="1430"/>
      <c r="BC56" s="1430"/>
      <c r="BD56" s="1430"/>
      <c r="BE56" s="1430"/>
      <c r="BF56" s="1430"/>
      <c r="BG56" s="1430"/>
      <c r="BH56" s="1430"/>
      <c r="BI56" s="1430"/>
      <c r="BJ56" s="1430"/>
      <c r="BK56" s="1430"/>
      <c r="BL56" s="1430"/>
      <c r="BM56" s="1430"/>
      <c r="BN56" s="1430"/>
      <c r="BO56" s="1430"/>
      <c r="BP56" s="1430"/>
      <c r="BQ56" s="1430"/>
      <c r="BR56" s="1430"/>
      <c r="BS56" s="1430"/>
      <c r="BT56" s="1430"/>
      <c r="BU56" s="1430"/>
      <c r="BV56" s="1430"/>
      <c r="BW56" s="1430"/>
      <c r="BX56" s="1430"/>
      <c r="BY56" s="1430"/>
      <c r="BZ56" s="1430"/>
      <c r="CA56" s="1430"/>
      <c r="CB56" s="1430"/>
      <c r="CC56" s="1430"/>
      <c r="CD56" s="1430"/>
      <c r="CE56" s="1430"/>
      <c r="CF56" s="1430"/>
      <c r="CG56" s="1430"/>
      <c r="CH56" s="1430"/>
      <c r="CI56" s="1430"/>
      <c r="CJ56" s="1430"/>
      <c r="CK56" s="1430"/>
      <c r="CL56" s="1430"/>
      <c r="CM56" s="1430"/>
      <c r="CN56" s="1430"/>
      <c r="CO56" s="1430"/>
      <c r="CP56" s="1430"/>
      <c r="CQ56" s="1430"/>
      <c r="CR56" s="1430"/>
      <c r="CS56" s="1430"/>
      <c r="CT56" s="1430"/>
      <c r="CU56" s="1430"/>
      <c r="CV56" s="1430"/>
      <c r="CW56" s="1430"/>
      <c r="CX56" s="1430"/>
      <c r="CY56" s="1430"/>
      <c r="CZ56" s="1430"/>
      <c r="DA56" s="1430"/>
      <c r="DB56" s="1430"/>
      <c r="DC56" s="1430"/>
      <c r="DD56" s="1430"/>
      <c r="DE56" s="1430"/>
      <c r="DF56" s="1430"/>
      <c r="DG56" s="1430"/>
      <c r="DH56" s="1430"/>
      <c r="DI56" s="1430"/>
      <c r="DJ56" s="1430"/>
      <c r="DK56" s="1430"/>
      <c r="DL56" s="1430"/>
      <c r="DM56" s="1430"/>
      <c r="DN56" s="1430"/>
      <c r="DO56" s="1430"/>
      <c r="DP56" s="1430"/>
    </row>
    <row r="57" spans="1:120" s="1266" customFormat="1" ht="25.5" customHeight="1" thickBot="1">
      <c r="A57" s="1268"/>
      <c r="B57" s="2269" t="s">
        <v>1655</v>
      </c>
      <c r="C57" s="2271"/>
      <c r="D57" s="2271"/>
      <c r="E57" s="814"/>
      <c r="F57" s="814"/>
      <c r="G57" s="814"/>
      <c r="H57" s="814"/>
      <c r="I57" s="814"/>
      <c r="J57" s="814"/>
      <c r="K57" s="814"/>
      <c r="L57" s="814"/>
      <c r="M57" s="814"/>
      <c r="N57" s="814"/>
      <c r="O57" s="814"/>
      <c r="P57" s="814"/>
      <c r="Q57" s="814"/>
      <c r="R57" s="814"/>
      <c r="S57" s="815"/>
    </row>
    <row r="58" spans="1:120">
      <c r="B58" s="4784" t="s">
        <v>1655</v>
      </c>
      <c r="C58" s="4787" t="s">
        <v>48</v>
      </c>
      <c r="D58" s="4790"/>
      <c r="E58" s="1650">
        <f>'[18]27.4 Customer numbers SG'!D43</f>
        <v>0</v>
      </c>
      <c r="F58" s="1651">
        <f>'[18]27.4 Customer numbers SG'!E43</f>
        <v>0</v>
      </c>
      <c r="G58" s="1651">
        <f>'[18]27.4 Customer numbers SG'!F43</f>
        <v>0</v>
      </c>
      <c r="H58" s="1651">
        <f>'[18]27.4 Customer numbers SG'!G43</f>
        <v>0</v>
      </c>
      <c r="I58" s="1683">
        <f>'[18]27.4 Customer numbers SG'!H43</f>
        <v>0</v>
      </c>
      <c r="J58" s="1650">
        <f>'[18]27.4 Customer numbers SG'!I43</f>
        <v>0</v>
      </c>
      <c r="K58" s="1651">
        <f>'[18]27.4 Customer numbers SG'!J43</f>
        <v>0</v>
      </c>
      <c r="L58" s="1651">
        <f>'[18]27.4 Customer numbers SG'!K43</f>
        <v>0</v>
      </c>
      <c r="M58" s="1651">
        <f>'[18]27.4 Customer numbers SG'!L43</f>
        <v>0</v>
      </c>
      <c r="N58" s="1683">
        <f>'[18]27.4 Customer numbers SG'!M43</f>
        <v>0</v>
      </c>
      <c r="O58" s="1650">
        <f>'[18]27.4 Customer numbers SG'!N43</f>
        <v>0</v>
      </c>
      <c r="P58" s="1651">
        <f>'[18]27.4 Customer numbers SG'!O43</f>
        <v>0</v>
      </c>
      <c r="Q58" s="1651">
        <f>'[18]27.4 Customer numbers SG'!P43</f>
        <v>0</v>
      </c>
      <c r="R58" s="1651">
        <f>'[18]27.4 Customer numbers SG'!Q43</f>
        <v>0</v>
      </c>
      <c r="S58" s="1652">
        <f>'[18]27.4 Customer numbers SG'!R43</f>
        <v>0</v>
      </c>
      <c r="AE58" s="1266"/>
      <c r="DP58" s="223"/>
    </row>
    <row r="59" spans="1:120">
      <c r="B59" s="4785"/>
      <c r="C59" s="890" t="s">
        <v>1656</v>
      </c>
      <c r="D59" s="851" t="s">
        <v>1656</v>
      </c>
      <c r="E59" s="3479">
        <f>[23]Sheet1!BM218</f>
        <v>0</v>
      </c>
      <c r="F59" s="3480">
        <f>[23]Sheet1!BN218</f>
        <v>0</v>
      </c>
      <c r="G59" s="3480">
        <f>[23]Sheet1!BO218</f>
        <v>0</v>
      </c>
      <c r="H59" s="3480">
        <f>[23]Sheet1!BP218</f>
        <v>0</v>
      </c>
      <c r="I59" s="3481">
        <f>[23]Sheet1!BQ218</f>
        <v>0</v>
      </c>
      <c r="J59" s="3479">
        <f>[23]Sheet1!BR218</f>
        <v>0</v>
      </c>
      <c r="K59" s="3480">
        <f>[23]Sheet1!BS218</f>
        <v>0</v>
      </c>
      <c r="L59" s="3480">
        <f>[23]Sheet1!BT218</f>
        <v>0</v>
      </c>
      <c r="M59" s="3480">
        <f>[23]Sheet1!BU218</f>
        <v>0</v>
      </c>
      <c r="N59" s="3481">
        <f>[23]Sheet1!BV218</f>
        <v>0</v>
      </c>
      <c r="O59" s="3479">
        <f>[23]Sheet1!BW218</f>
        <v>0</v>
      </c>
      <c r="P59" s="3480">
        <f>[23]Sheet1!BX218</f>
        <v>0</v>
      </c>
      <c r="Q59" s="3480">
        <f>[23]Sheet1!BY218</f>
        <v>0</v>
      </c>
      <c r="R59" s="3480">
        <f>[23]Sheet1!BZ218</f>
        <v>0</v>
      </c>
      <c r="S59" s="3482">
        <f>[23]Sheet1!CA218</f>
        <v>0</v>
      </c>
      <c r="AE59" s="1266"/>
      <c r="DP59" s="223"/>
    </row>
    <row r="60" spans="1:120">
      <c r="B60" s="4785"/>
      <c r="C60" s="890" t="s">
        <v>1657</v>
      </c>
      <c r="D60" s="851" t="s">
        <v>1657</v>
      </c>
      <c r="E60" s="3479">
        <f>[23]Sheet1!BM219</f>
        <v>0</v>
      </c>
      <c r="F60" s="3480">
        <f>[23]Sheet1!BN219</f>
        <v>0</v>
      </c>
      <c r="G60" s="3480">
        <f>[23]Sheet1!BO219</f>
        <v>0</v>
      </c>
      <c r="H60" s="3480">
        <f>[23]Sheet1!BP219</f>
        <v>0</v>
      </c>
      <c r="I60" s="3481">
        <f>[23]Sheet1!BQ219</f>
        <v>0</v>
      </c>
      <c r="J60" s="3479">
        <f>[23]Sheet1!BR219</f>
        <v>0</v>
      </c>
      <c r="K60" s="3480">
        <f>[23]Sheet1!BS219</f>
        <v>0</v>
      </c>
      <c r="L60" s="3480">
        <f>[23]Sheet1!BT219</f>
        <v>0</v>
      </c>
      <c r="M60" s="3480">
        <f>[23]Sheet1!BU219</f>
        <v>0</v>
      </c>
      <c r="N60" s="3481">
        <f>[23]Sheet1!BV219</f>
        <v>0</v>
      </c>
      <c r="O60" s="3479">
        <f>[23]Sheet1!BW219</f>
        <v>0</v>
      </c>
      <c r="P60" s="3480">
        <f>[23]Sheet1!BX219</f>
        <v>0</v>
      </c>
      <c r="Q60" s="3480">
        <f>[23]Sheet1!BY219</f>
        <v>0</v>
      </c>
      <c r="R60" s="3480">
        <f>[23]Sheet1!BZ219</f>
        <v>0</v>
      </c>
      <c r="S60" s="3482">
        <f>[23]Sheet1!CA219</f>
        <v>0</v>
      </c>
      <c r="AE60" s="1266"/>
      <c r="DP60" s="223"/>
    </row>
    <row r="61" spans="1:120">
      <c r="B61" s="4785"/>
      <c r="C61" s="890" t="s">
        <v>1658</v>
      </c>
      <c r="D61" s="851" t="s">
        <v>1658</v>
      </c>
      <c r="E61" s="3479">
        <f>[23]Sheet1!BM220</f>
        <v>0</v>
      </c>
      <c r="F61" s="3480">
        <f>[23]Sheet1!BN220</f>
        <v>0</v>
      </c>
      <c r="G61" s="3480">
        <f>[23]Sheet1!BO220</f>
        <v>0</v>
      </c>
      <c r="H61" s="3480">
        <f>[23]Sheet1!BP220</f>
        <v>0</v>
      </c>
      <c r="I61" s="3481">
        <f>[23]Sheet1!BQ220</f>
        <v>0</v>
      </c>
      <c r="J61" s="3479">
        <f>[23]Sheet1!BR220</f>
        <v>0</v>
      </c>
      <c r="K61" s="3480">
        <f>[23]Sheet1!BS220</f>
        <v>0</v>
      </c>
      <c r="L61" s="3480">
        <f>[23]Sheet1!BT220</f>
        <v>0</v>
      </c>
      <c r="M61" s="3480">
        <f>[23]Sheet1!BU220</f>
        <v>0</v>
      </c>
      <c r="N61" s="3481">
        <f>[23]Sheet1!BV220</f>
        <v>0</v>
      </c>
      <c r="O61" s="3479">
        <f>[23]Sheet1!BW220</f>
        <v>0</v>
      </c>
      <c r="P61" s="3480">
        <f>[23]Sheet1!BX220</f>
        <v>0</v>
      </c>
      <c r="Q61" s="3480">
        <f>[23]Sheet1!BY220</f>
        <v>0</v>
      </c>
      <c r="R61" s="3480">
        <f>[23]Sheet1!BZ220</f>
        <v>0</v>
      </c>
      <c r="S61" s="3482">
        <f>[23]Sheet1!CA220</f>
        <v>0</v>
      </c>
      <c r="AE61" s="1266"/>
      <c r="DP61" s="223"/>
    </row>
    <row r="62" spans="1:120">
      <c r="B62" s="4785"/>
      <c r="C62" s="890" t="s">
        <v>1659</v>
      </c>
      <c r="D62" s="851" t="s">
        <v>1659</v>
      </c>
      <c r="E62" s="3479">
        <f>[23]Sheet1!BM221</f>
        <v>0</v>
      </c>
      <c r="F62" s="3480">
        <f>[23]Sheet1!BN221</f>
        <v>0</v>
      </c>
      <c r="G62" s="3480">
        <f>[23]Sheet1!BO221</f>
        <v>0</v>
      </c>
      <c r="H62" s="3480">
        <f>[23]Sheet1!BP221</f>
        <v>0</v>
      </c>
      <c r="I62" s="3481">
        <f>[23]Sheet1!BQ221</f>
        <v>0</v>
      </c>
      <c r="J62" s="3479">
        <f>[23]Sheet1!BR221</f>
        <v>0</v>
      </c>
      <c r="K62" s="3480">
        <f>[23]Sheet1!BS221</f>
        <v>0</v>
      </c>
      <c r="L62" s="3480">
        <f>[23]Sheet1!BT221</f>
        <v>0</v>
      </c>
      <c r="M62" s="3480">
        <f>[23]Sheet1!BU221</f>
        <v>0</v>
      </c>
      <c r="N62" s="3481">
        <f>[23]Sheet1!BV221</f>
        <v>0</v>
      </c>
      <c r="O62" s="3479">
        <f>[23]Sheet1!BW221</f>
        <v>0</v>
      </c>
      <c r="P62" s="3480">
        <f>[23]Sheet1!BX221</f>
        <v>0</v>
      </c>
      <c r="Q62" s="3480">
        <f>[23]Sheet1!BY221</f>
        <v>0</v>
      </c>
      <c r="R62" s="3480">
        <f>[23]Sheet1!BZ221</f>
        <v>0</v>
      </c>
      <c r="S62" s="3482">
        <f>[23]Sheet1!CA221</f>
        <v>0</v>
      </c>
      <c r="AE62" s="1266"/>
      <c r="DP62" s="223"/>
    </row>
    <row r="63" spans="1:120">
      <c r="B63" s="4785"/>
      <c r="C63" s="890" t="s">
        <v>1660</v>
      </c>
      <c r="D63" s="851" t="s">
        <v>1660</v>
      </c>
      <c r="E63" s="3479">
        <f>[23]Sheet1!BM222</f>
        <v>0</v>
      </c>
      <c r="F63" s="3480">
        <f>[23]Sheet1!BN222</f>
        <v>0</v>
      </c>
      <c r="G63" s="3480">
        <f>[23]Sheet1!BO222</f>
        <v>0</v>
      </c>
      <c r="H63" s="3480">
        <f>[23]Sheet1!BP222</f>
        <v>0</v>
      </c>
      <c r="I63" s="3481">
        <f>[23]Sheet1!BQ222</f>
        <v>0</v>
      </c>
      <c r="J63" s="3479">
        <f>[23]Sheet1!BR222</f>
        <v>0</v>
      </c>
      <c r="K63" s="3480">
        <f>[23]Sheet1!BS222</f>
        <v>0</v>
      </c>
      <c r="L63" s="3480">
        <f>[23]Sheet1!BT222</f>
        <v>0</v>
      </c>
      <c r="M63" s="3480">
        <f>[23]Sheet1!BU222</f>
        <v>0</v>
      </c>
      <c r="N63" s="3481">
        <f>[23]Sheet1!BV222</f>
        <v>0</v>
      </c>
      <c r="O63" s="3479">
        <f>[23]Sheet1!BW222</f>
        <v>0</v>
      </c>
      <c r="P63" s="3480">
        <f>[23]Sheet1!BX222</f>
        <v>0</v>
      </c>
      <c r="Q63" s="3480">
        <f>[23]Sheet1!BY222</f>
        <v>0</v>
      </c>
      <c r="R63" s="3480">
        <f>[23]Sheet1!BZ222</f>
        <v>0</v>
      </c>
      <c r="S63" s="3482">
        <f>[23]Sheet1!CA222</f>
        <v>0</v>
      </c>
      <c r="AE63" s="1266"/>
      <c r="DP63" s="223"/>
    </row>
    <row r="64" spans="1:120">
      <c r="B64" s="4785"/>
      <c r="C64" s="890" t="s">
        <v>1661</v>
      </c>
      <c r="D64" s="851" t="s">
        <v>1661</v>
      </c>
      <c r="E64" s="3479">
        <f>[23]Sheet1!BM223</f>
        <v>0</v>
      </c>
      <c r="F64" s="3480">
        <f>[23]Sheet1!BN223</f>
        <v>0</v>
      </c>
      <c r="G64" s="3480">
        <f>[23]Sheet1!BO223</f>
        <v>0</v>
      </c>
      <c r="H64" s="3480">
        <f>[23]Sheet1!BP223</f>
        <v>0</v>
      </c>
      <c r="I64" s="3481">
        <f>[23]Sheet1!BQ223</f>
        <v>0</v>
      </c>
      <c r="J64" s="3479">
        <f>[23]Sheet1!BR223</f>
        <v>0</v>
      </c>
      <c r="K64" s="3480">
        <f>[23]Sheet1!BS223</f>
        <v>0</v>
      </c>
      <c r="L64" s="3480">
        <f>[23]Sheet1!BT223</f>
        <v>0</v>
      </c>
      <c r="M64" s="3480">
        <f>[23]Sheet1!BU223</f>
        <v>0</v>
      </c>
      <c r="N64" s="3481">
        <f>[23]Sheet1!BV223</f>
        <v>0</v>
      </c>
      <c r="O64" s="3479">
        <f>[23]Sheet1!BW223</f>
        <v>0</v>
      </c>
      <c r="P64" s="3480">
        <f>[23]Sheet1!BX223</f>
        <v>0</v>
      </c>
      <c r="Q64" s="3480">
        <f>[23]Sheet1!BY223</f>
        <v>0</v>
      </c>
      <c r="R64" s="3480">
        <f>[23]Sheet1!BZ223</f>
        <v>0</v>
      </c>
      <c r="S64" s="3482">
        <f>[23]Sheet1!CA223</f>
        <v>0</v>
      </c>
      <c r="AE64" s="1266"/>
      <c r="DP64" s="223"/>
    </row>
    <row r="65" spans="2:120">
      <c r="B65" s="4785"/>
      <c r="C65" s="890"/>
      <c r="D65" s="851"/>
      <c r="E65" s="3479"/>
      <c r="F65" s="3480"/>
      <c r="G65" s="3480"/>
      <c r="H65" s="3480"/>
      <c r="I65" s="3481"/>
      <c r="J65" s="3479"/>
      <c r="K65" s="3480"/>
      <c r="L65" s="3480"/>
      <c r="M65" s="3480"/>
      <c r="N65" s="3481"/>
      <c r="O65" s="3479"/>
      <c r="P65" s="3480"/>
      <c r="Q65" s="3480"/>
      <c r="R65" s="3480"/>
      <c r="S65" s="3482"/>
      <c r="AE65" s="1266"/>
      <c r="DP65" s="223"/>
    </row>
    <row r="66" spans="2:120">
      <c r="B66" s="4785"/>
      <c r="C66" s="890" t="s">
        <v>1662</v>
      </c>
      <c r="D66" s="851" t="s">
        <v>1662</v>
      </c>
      <c r="E66" s="3479">
        <f>[23]Sheet1!BM208</f>
        <v>0</v>
      </c>
      <c r="F66" s="3480">
        <f>[23]Sheet1!BN208</f>
        <v>0</v>
      </c>
      <c r="G66" s="3480">
        <f>[23]Sheet1!BO208</f>
        <v>0</v>
      </c>
      <c r="H66" s="3480">
        <f>[23]Sheet1!BP208</f>
        <v>0</v>
      </c>
      <c r="I66" s="3481">
        <f>[23]Sheet1!BQ208</f>
        <v>0</v>
      </c>
      <c r="J66" s="3479">
        <f>[23]Sheet1!BR208</f>
        <v>0</v>
      </c>
      <c r="K66" s="3480">
        <f>[23]Sheet1!BS208</f>
        <v>0</v>
      </c>
      <c r="L66" s="3480">
        <f>[23]Sheet1!BT208</f>
        <v>0</v>
      </c>
      <c r="M66" s="3480">
        <f>[23]Sheet1!BU208</f>
        <v>0</v>
      </c>
      <c r="N66" s="3481">
        <f>[23]Sheet1!BV208</f>
        <v>0</v>
      </c>
      <c r="O66" s="3479">
        <f>[23]Sheet1!BW208</f>
        <v>0</v>
      </c>
      <c r="P66" s="3480">
        <f>[23]Sheet1!BX208</f>
        <v>0</v>
      </c>
      <c r="Q66" s="3480">
        <f>[23]Sheet1!BY208</f>
        <v>0</v>
      </c>
      <c r="R66" s="3480">
        <f>[23]Sheet1!BZ208</f>
        <v>0</v>
      </c>
      <c r="S66" s="3482">
        <f>[23]Sheet1!CA208</f>
        <v>0</v>
      </c>
      <c r="AE66" s="1266"/>
      <c r="DP66" s="223"/>
    </row>
    <row r="67" spans="2:120">
      <c r="B67" s="4785"/>
      <c r="C67" s="890" t="s">
        <v>1663</v>
      </c>
      <c r="D67" s="851" t="s">
        <v>1663</v>
      </c>
      <c r="E67" s="3479">
        <f>[23]Sheet1!BM209</f>
        <v>0</v>
      </c>
      <c r="F67" s="3480">
        <f>[23]Sheet1!BN209</f>
        <v>0</v>
      </c>
      <c r="G67" s="3480">
        <f>[23]Sheet1!BO209</f>
        <v>0</v>
      </c>
      <c r="H67" s="3480">
        <f>[23]Sheet1!BP209</f>
        <v>0</v>
      </c>
      <c r="I67" s="3481">
        <f>[23]Sheet1!BQ209</f>
        <v>0</v>
      </c>
      <c r="J67" s="3479">
        <f>[23]Sheet1!BR209</f>
        <v>0</v>
      </c>
      <c r="K67" s="3480">
        <f>[23]Sheet1!BS209</f>
        <v>0</v>
      </c>
      <c r="L67" s="3480">
        <f>[23]Sheet1!BT209</f>
        <v>0</v>
      </c>
      <c r="M67" s="3480">
        <f>[23]Sheet1!BU209</f>
        <v>0</v>
      </c>
      <c r="N67" s="3481">
        <f>[23]Sheet1!BV209</f>
        <v>0</v>
      </c>
      <c r="O67" s="3479">
        <f>[23]Sheet1!BW209</f>
        <v>0</v>
      </c>
      <c r="P67" s="3480">
        <f>[23]Sheet1!BX209</f>
        <v>0</v>
      </c>
      <c r="Q67" s="3480">
        <f>[23]Sheet1!BY209</f>
        <v>0</v>
      </c>
      <c r="R67" s="3480">
        <f>[23]Sheet1!BZ209</f>
        <v>0</v>
      </c>
      <c r="S67" s="3482">
        <f>[23]Sheet1!CA209</f>
        <v>0</v>
      </c>
      <c r="AE67" s="1266"/>
      <c r="DP67" s="223"/>
    </row>
    <row r="68" spans="2:120" ht="13.5" thickBot="1">
      <c r="B68" s="4786"/>
      <c r="C68" s="4802" t="s">
        <v>396</v>
      </c>
      <c r="D68" s="4803"/>
      <c r="E68" s="1681">
        <f t="shared" ref="E68:S68" si="3">SUM(E59:E64)</f>
        <v>0</v>
      </c>
      <c r="F68" s="1682">
        <f t="shared" si="3"/>
        <v>0</v>
      </c>
      <c r="G68" s="1682">
        <f t="shared" si="3"/>
        <v>0</v>
      </c>
      <c r="H68" s="1682">
        <f t="shared" si="3"/>
        <v>0</v>
      </c>
      <c r="I68" s="1684">
        <f t="shared" si="3"/>
        <v>0</v>
      </c>
      <c r="J68" s="1681">
        <f t="shared" si="3"/>
        <v>0</v>
      </c>
      <c r="K68" s="1682">
        <f t="shared" si="3"/>
        <v>0</v>
      </c>
      <c r="L68" s="1682">
        <f t="shared" si="3"/>
        <v>0</v>
      </c>
      <c r="M68" s="1682">
        <f t="shared" si="3"/>
        <v>0</v>
      </c>
      <c r="N68" s="1684">
        <f t="shared" si="3"/>
        <v>0</v>
      </c>
      <c r="O68" s="1681">
        <f t="shared" si="3"/>
        <v>0</v>
      </c>
      <c r="P68" s="1682">
        <f t="shared" si="3"/>
        <v>0</v>
      </c>
      <c r="Q68" s="1682">
        <f t="shared" si="3"/>
        <v>0</v>
      </c>
      <c r="R68" s="1682">
        <f t="shared" si="3"/>
        <v>0</v>
      </c>
      <c r="S68" s="3485">
        <f t="shared" si="3"/>
        <v>0</v>
      </c>
      <c r="AE68" s="1266"/>
      <c r="DP68" s="223"/>
    </row>
    <row r="69" spans="2:120" s="1428" customFormat="1" ht="24" customHeight="1" thickBot="1">
      <c r="B69" s="3487" t="s">
        <v>1664</v>
      </c>
      <c r="C69" s="3488"/>
      <c r="D69" s="3488"/>
      <c r="E69" s="3489">
        <f>SUM(E59:E64)</f>
        <v>0</v>
      </c>
      <c r="F69" s="3490">
        <f t="shared" ref="F69:S69" si="4">SUM(F59:F64)</f>
        <v>0</v>
      </c>
      <c r="G69" s="3490">
        <f t="shared" si="4"/>
        <v>0</v>
      </c>
      <c r="H69" s="3490">
        <f t="shared" si="4"/>
        <v>0</v>
      </c>
      <c r="I69" s="3491">
        <f t="shared" si="4"/>
        <v>0</v>
      </c>
      <c r="J69" s="3489">
        <f t="shared" si="4"/>
        <v>0</v>
      </c>
      <c r="K69" s="3490">
        <f t="shared" si="4"/>
        <v>0</v>
      </c>
      <c r="L69" s="3490">
        <f t="shared" si="4"/>
        <v>0</v>
      </c>
      <c r="M69" s="3490">
        <f t="shared" si="4"/>
        <v>0</v>
      </c>
      <c r="N69" s="3491">
        <f t="shared" si="4"/>
        <v>0</v>
      </c>
      <c r="O69" s="3489">
        <f t="shared" si="4"/>
        <v>0</v>
      </c>
      <c r="P69" s="3490">
        <f t="shared" si="4"/>
        <v>0</v>
      </c>
      <c r="Q69" s="3490">
        <f t="shared" si="4"/>
        <v>0</v>
      </c>
      <c r="R69" s="3490">
        <f t="shared" si="4"/>
        <v>0</v>
      </c>
      <c r="S69" s="3492">
        <f t="shared" si="4"/>
        <v>0</v>
      </c>
      <c r="T69" s="1429"/>
      <c r="U69" s="1429"/>
      <c r="V69" s="1429"/>
      <c r="W69" s="1429"/>
      <c r="X69" s="1429"/>
      <c r="Y69" s="1429"/>
      <c r="Z69" s="1429"/>
      <c r="AA69" s="1429"/>
      <c r="AB69" s="1429"/>
      <c r="AC69" s="1429"/>
      <c r="AD69" s="1429"/>
      <c r="AE69" s="1429"/>
      <c r="AF69" s="1430"/>
      <c r="AG69" s="1430"/>
      <c r="AH69" s="1430"/>
      <c r="AI69" s="1430"/>
      <c r="AJ69" s="1430"/>
      <c r="AK69" s="1430"/>
      <c r="AL69" s="1430"/>
      <c r="AM69" s="1430"/>
      <c r="AN69" s="1430"/>
      <c r="AO69" s="1430"/>
      <c r="AP69" s="1430"/>
      <c r="AQ69" s="1430"/>
      <c r="AR69" s="1430"/>
      <c r="AS69" s="1430"/>
      <c r="AT69" s="1430"/>
      <c r="AU69" s="1430"/>
      <c r="AV69" s="1430"/>
      <c r="AW69" s="1430"/>
      <c r="AX69" s="1430"/>
      <c r="AY69" s="1430"/>
      <c r="AZ69" s="1430"/>
      <c r="BA69" s="1430"/>
      <c r="BB69" s="1430"/>
      <c r="BC69" s="1430"/>
      <c r="BD69" s="1430"/>
      <c r="BE69" s="1430"/>
      <c r="BF69" s="1430"/>
      <c r="BG69" s="1430"/>
      <c r="BH69" s="1430"/>
      <c r="BI69" s="1430"/>
      <c r="BJ69" s="1430"/>
      <c r="BK69" s="1430"/>
      <c r="BL69" s="1430"/>
      <c r="BM69" s="1430"/>
      <c r="BN69" s="1430"/>
      <c r="BO69" s="1430"/>
      <c r="BP69" s="1430"/>
      <c r="BQ69" s="1430"/>
      <c r="BR69" s="1430"/>
      <c r="BS69" s="1430"/>
      <c r="BT69" s="1430"/>
      <c r="BU69" s="1430"/>
      <c r="BV69" s="1430"/>
      <c r="BW69" s="1430"/>
      <c r="BX69" s="1430"/>
      <c r="BY69" s="1430"/>
      <c r="BZ69" s="1430"/>
      <c r="CA69" s="1430"/>
      <c r="CB69" s="1430"/>
      <c r="CC69" s="1430"/>
      <c r="CD69" s="1430"/>
      <c r="CE69" s="1430"/>
      <c r="CF69" s="1430"/>
      <c r="CG69" s="1430"/>
      <c r="CH69" s="1430"/>
      <c r="CI69" s="1430"/>
      <c r="CJ69" s="1430"/>
      <c r="CK69" s="1430"/>
      <c r="CL69" s="1430"/>
      <c r="CM69" s="1430"/>
      <c r="CN69" s="1430"/>
      <c r="CO69" s="1430"/>
      <c r="CP69" s="1430"/>
      <c r="CQ69" s="1430"/>
      <c r="CR69" s="1430"/>
      <c r="CS69" s="1430"/>
      <c r="CT69" s="1430"/>
      <c r="CU69" s="1430"/>
      <c r="CV69" s="1430"/>
      <c r="CW69" s="1430"/>
      <c r="CX69" s="1430"/>
      <c r="CY69" s="1430"/>
      <c r="CZ69" s="1430"/>
      <c r="DA69" s="1430"/>
      <c r="DB69" s="1430"/>
      <c r="DC69" s="1430"/>
      <c r="DD69" s="1430"/>
      <c r="DE69" s="1430"/>
      <c r="DF69" s="1430"/>
      <c r="DG69" s="1430"/>
      <c r="DH69" s="1430"/>
      <c r="DI69" s="1430"/>
      <c r="DJ69" s="1430"/>
      <c r="DK69" s="1430"/>
      <c r="DL69" s="1430"/>
      <c r="DM69" s="1430"/>
      <c r="DN69" s="1430"/>
      <c r="DO69" s="1430"/>
      <c r="DP69" s="1430"/>
    </row>
    <row r="70" spans="2:120" s="1266" customFormat="1" ht="24" customHeight="1" thickBot="1">
      <c r="B70" s="2269" t="s">
        <v>1622</v>
      </c>
      <c r="C70" s="2271"/>
      <c r="D70" s="2271"/>
      <c r="E70" s="814"/>
      <c r="F70" s="814"/>
      <c r="G70" s="814"/>
      <c r="H70" s="814"/>
      <c r="I70" s="814"/>
      <c r="J70" s="814"/>
      <c r="K70" s="814"/>
      <c r="L70" s="814"/>
      <c r="M70" s="814"/>
      <c r="N70" s="814"/>
      <c r="O70" s="814"/>
      <c r="P70" s="814"/>
      <c r="Q70" s="814"/>
      <c r="R70" s="814"/>
      <c r="S70" s="815"/>
    </row>
    <row r="71" spans="2:120" s="1266" customFormat="1" ht="32.25" customHeight="1">
      <c r="B71" s="4784" t="s">
        <v>1622</v>
      </c>
      <c r="C71" s="4787" t="s">
        <v>48</v>
      </c>
      <c r="D71" s="4790"/>
      <c r="E71" s="1650">
        <f>'[18]27.4 Customer numbers SG'!D52</f>
        <v>0</v>
      </c>
      <c r="F71" s="1651">
        <f>'[18]27.4 Customer numbers SG'!E52</f>
        <v>0.5</v>
      </c>
      <c r="G71" s="1651">
        <f>'[18]27.4 Customer numbers SG'!F52</f>
        <v>1</v>
      </c>
      <c r="H71" s="1651">
        <f>'[18]27.4 Customer numbers SG'!G52</f>
        <v>1</v>
      </c>
      <c r="I71" s="1683">
        <f>'[18]27.4 Customer numbers SG'!H52</f>
        <v>1</v>
      </c>
      <c r="J71" s="1650">
        <f>'[18]27.4 Customer numbers SG'!I52</f>
        <v>1</v>
      </c>
      <c r="K71" s="1651">
        <f>'[18]27.4 Customer numbers SG'!J52</f>
        <v>1.5</v>
      </c>
      <c r="L71" s="1651">
        <f>'[18]27.4 Customer numbers SG'!K52</f>
        <v>2</v>
      </c>
      <c r="M71" s="1651">
        <f>'[18]27.4 Customer numbers SG'!L52</f>
        <v>2.0030931400527248</v>
      </c>
      <c r="N71" s="1683">
        <f>'[18]27.4 Customer numbers SG'!M52</f>
        <v>2.0159306029074995</v>
      </c>
      <c r="O71" s="1650">
        <f>'[18]27.4 Customer numbers SG'!N52</f>
        <v>2.0114202914191059</v>
      </c>
      <c r="P71" s="1651">
        <f>'[18]27.4 Customer numbers SG'!O52</f>
        <v>2.0152917192932636</v>
      </c>
      <c r="Q71" s="1651">
        <f>'[18]27.4 Customer numbers SG'!P52</f>
        <v>2.0085061507195201</v>
      </c>
      <c r="R71" s="1651">
        <f>'[18]27.4 Customer numbers SG'!Q52</f>
        <v>1.9987848743708878</v>
      </c>
      <c r="S71" s="1652">
        <f>'[18]27.4 Customer numbers SG'!R52</f>
        <v>1.9868955195635807</v>
      </c>
    </row>
    <row r="72" spans="2:120">
      <c r="B72" s="4785"/>
      <c r="C72" s="890" t="s">
        <v>1665</v>
      </c>
      <c r="D72" s="851" t="s">
        <v>1665</v>
      </c>
      <c r="E72" s="3479">
        <f>'[22]27 - Gas extensions - demand SG'!D118</f>
        <v>0</v>
      </c>
      <c r="F72" s="3480">
        <f>'[22]27 - Gas extensions - demand SG'!E118</f>
        <v>0</v>
      </c>
      <c r="G72" s="3480">
        <f>'[22]27 - Gas extensions - demand SG'!F118</f>
        <v>21</v>
      </c>
      <c r="H72" s="3480">
        <f>'[22]27 - Gas extensions - demand SG'!G118</f>
        <v>39</v>
      </c>
      <c r="I72" s="3481">
        <f>'[22]27 - Gas extensions - demand SG'!H118</f>
        <v>50</v>
      </c>
      <c r="J72" s="3479">
        <f>IF([23]Sheet1!CV90&lt;50,[23]Sheet1!CV90,50)</f>
        <v>50</v>
      </c>
      <c r="K72" s="3480">
        <f>[23]Sheet1!CW$90/2</f>
        <v>79.004999999999995</v>
      </c>
      <c r="L72" s="3480">
        <f>[23]Sheet1!CX$90/2</f>
        <v>100.41</v>
      </c>
      <c r="M72" s="3480">
        <f>[23]Sheet1!CY$90/2</f>
        <v>100.88414218572196</v>
      </c>
      <c r="N72" s="3481">
        <f>[23]Sheet1!CZ$90/2</f>
        <v>101.20812250229233</v>
      </c>
      <c r="O72" s="3479">
        <f>[23]Sheet1!DA$90/2</f>
        <v>101.24236068162161</v>
      </c>
      <c r="P72" s="3480">
        <f>[23]Sheet1!DB$90/2</f>
        <v>101.00781663876528</v>
      </c>
      <c r="Q72" s="3480">
        <f>[23]Sheet1!DC$90/2</f>
        <v>100.60156147166617</v>
      </c>
      <c r="R72" s="3480">
        <f>[23]Sheet1!DD$90/2</f>
        <v>100.44506046682157</v>
      </c>
      <c r="S72" s="3482">
        <f>[23]Sheet1!DE$90/2</f>
        <v>100.01470488605729</v>
      </c>
    </row>
    <row r="73" spans="2:120">
      <c r="B73" s="4785"/>
      <c r="C73" s="890" t="s">
        <v>1666</v>
      </c>
      <c r="D73" s="851" t="s">
        <v>1666</v>
      </c>
      <c r="E73" s="3479">
        <f>'[22]27 - Gas extensions - demand SG'!D119</f>
        <v>0</v>
      </c>
      <c r="F73" s="3480">
        <f>'[22]27 - Gas extensions - demand SG'!E119</f>
        <v>0</v>
      </c>
      <c r="G73" s="3480">
        <f>'[22]27 - Gas extensions - demand SG'!F119</f>
        <v>0</v>
      </c>
      <c r="H73" s="3480">
        <f>'[22]27 - Gas extensions - demand SG'!G119</f>
        <v>0</v>
      </c>
      <c r="I73" s="3481">
        <f>'[22]27 - Gas extensions - demand SG'!H119</f>
        <v>12.100000000000001</v>
      </c>
      <c r="J73" s="3479">
        <f>[23]Sheet1!CV90-50</f>
        <v>2.8500000000000014</v>
      </c>
      <c r="K73" s="3480">
        <f>[23]Sheet1!CW$90/2</f>
        <v>79.004999999999995</v>
      </c>
      <c r="L73" s="3480">
        <f>[23]Sheet1!CX$90/2</f>
        <v>100.41</v>
      </c>
      <c r="M73" s="3480">
        <f>[23]Sheet1!CY$90/2</f>
        <v>100.88414218572196</v>
      </c>
      <c r="N73" s="3481">
        <f>[23]Sheet1!CZ$90/2</f>
        <v>101.20812250229233</v>
      </c>
      <c r="O73" s="3479">
        <f>[23]Sheet1!DA$90/2</f>
        <v>101.24236068162161</v>
      </c>
      <c r="P73" s="3480">
        <f>[23]Sheet1!DB$90/2</f>
        <v>101.00781663876528</v>
      </c>
      <c r="Q73" s="3480">
        <f>[23]Sheet1!DC$90/2</f>
        <v>100.60156147166617</v>
      </c>
      <c r="R73" s="3480">
        <f>[23]Sheet1!DD$90/2</f>
        <v>100.44506046682157</v>
      </c>
      <c r="S73" s="3482">
        <f>[23]Sheet1!DE$90/2</f>
        <v>100.01470488605729</v>
      </c>
    </row>
    <row r="74" spans="2:120" ht="13.5" thickBot="1">
      <c r="B74" s="4786"/>
      <c r="C74" s="4802" t="s">
        <v>396</v>
      </c>
      <c r="D74" s="4803"/>
      <c r="E74" s="1681">
        <f t="shared" ref="E74:S74" si="5">SUM(E72:E73)</f>
        <v>0</v>
      </c>
      <c r="F74" s="1682">
        <f t="shared" si="5"/>
        <v>0</v>
      </c>
      <c r="G74" s="1682">
        <f t="shared" si="5"/>
        <v>21</v>
      </c>
      <c r="H74" s="1682">
        <f t="shared" si="5"/>
        <v>39</v>
      </c>
      <c r="I74" s="1684">
        <f t="shared" si="5"/>
        <v>62.1</v>
      </c>
      <c r="J74" s="1681">
        <f t="shared" si="5"/>
        <v>52.85</v>
      </c>
      <c r="K74" s="1682">
        <f t="shared" si="5"/>
        <v>158.01</v>
      </c>
      <c r="L74" s="1682">
        <f t="shared" si="5"/>
        <v>200.82</v>
      </c>
      <c r="M74" s="1682">
        <f t="shared" si="5"/>
        <v>201.76828437144391</v>
      </c>
      <c r="N74" s="1684">
        <f t="shared" si="5"/>
        <v>202.41624500458465</v>
      </c>
      <c r="O74" s="1681">
        <f t="shared" si="5"/>
        <v>202.48472136324321</v>
      </c>
      <c r="P74" s="1682">
        <f t="shared" si="5"/>
        <v>202.01563327753055</v>
      </c>
      <c r="Q74" s="1682">
        <f t="shared" si="5"/>
        <v>201.20312294333235</v>
      </c>
      <c r="R74" s="1682">
        <f t="shared" si="5"/>
        <v>200.89012093364315</v>
      </c>
      <c r="S74" s="3485">
        <f t="shared" si="5"/>
        <v>200.02940977211458</v>
      </c>
    </row>
    <row r="75" spans="2:120" ht="13.5" thickBot="1">
      <c r="B75" s="3487" t="s">
        <v>65</v>
      </c>
      <c r="C75" s="3488"/>
      <c r="D75" s="3488"/>
      <c r="E75" s="1686">
        <f t="shared" ref="E75:S75" ca="1" si="6">SUMIF(C71:D74,"total",E71:E74)</f>
        <v>0</v>
      </c>
      <c r="F75" s="1687">
        <f t="shared" ca="1" si="6"/>
        <v>0</v>
      </c>
      <c r="G75" s="1687">
        <f t="shared" ca="1" si="6"/>
        <v>0</v>
      </c>
      <c r="H75" s="1687">
        <f t="shared" ca="1" si="6"/>
        <v>0</v>
      </c>
      <c r="I75" s="1688">
        <f t="shared" ca="1" si="6"/>
        <v>0</v>
      </c>
      <c r="J75" s="1686">
        <f t="shared" ca="1" si="6"/>
        <v>0</v>
      </c>
      <c r="K75" s="1687">
        <f t="shared" ca="1" si="6"/>
        <v>0</v>
      </c>
      <c r="L75" s="1687">
        <f t="shared" ca="1" si="6"/>
        <v>0</v>
      </c>
      <c r="M75" s="1687">
        <f t="shared" ca="1" si="6"/>
        <v>0</v>
      </c>
      <c r="N75" s="1688">
        <f t="shared" ca="1" si="6"/>
        <v>0</v>
      </c>
      <c r="O75" s="1686">
        <f t="shared" ca="1" si="6"/>
        <v>0</v>
      </c>
      <c r="P75" s="1687">
        <f t="shared" ca="1" si="6"/>
        <v>0</v>
      </c>
      <c r="Q75" s="1687">
        <f t="shared" ca="1" si="6"/>
        <v>0</v>
      </c>
      <c r="R75" s="1687">
        <f t="shared" ca="1" si="6"/>
        <v>0</v>
      </c>
      <c r="S75" s="1689">
        <f t="shared" ca="1" si="6"/>
        <v>0</v>
      </c>
    </row>
    <row r="76" spans="2:120" ht="13.5" thickBot="1"/>
    <row r="77" spans="2:120" s="1428" customFormat="1" ht="24" customHeight="1" thickBot="1">
      <c r="B77" s="3495" t="s">
        <v>1667</v>
      </c>
      <c r="C77" s="3496"/>
      <c r="D77" s="3497"/>
      <c r="E77" s="3489">
        <f>E56+E69</f>
        <v>0</v>
      </c>
      <c r="F77" s="3490">
        <f t="shared" ref="F77:S77" si="7">F56+F69</f>
        <v>26.810000000000002</v>
      </c>
      <c r="G77" s="3490">
        <f t="shared" si="7"/>
        <v>95.332999999999998</v>
      </c>
      <c r="H77" s="3490">
        <f t="shared" si="7"/>
        <v>127.67444232721864</v>
      </c>
      <c r="I77" s="3491">
        <f t="shared" si="7"/>
        <v>120.45114777462543</v>
      </c>
      <c r="J77" s="3489">
        <f t="shared" si="7"/>
        <v>146.03638228218264</v>
      </c>
      <c r="K77" s="3490">
        <f t="shared" si="7"/>
        <v>149.42971848752632</v>
      </c>
      <c r="L77" s="3490">
        <f t="shared" si="7"/>
        <v>206.28415244565986</v>
      </c>
      <c r="M77" s="3490">
        <f t="shared" si="7"/>
        <v>207.10958036397511</v>
      </c>
      <c r="N77" s="3491">
        <f t="shared" si="7"/>
        <v>220.38858279072514</v>
      </c>
      <c r="O77" s="3489">
        <f t="shared" si="7"/>
        <v>231.43698568788352</v>
      </c>
      <c r="P77" s="3490">
        <f t="shared" si="7"/>
        <v>242.02507732679845</v>
      </c>
      <c r="Q77" s="3490">
        <f t="shared" si="7"/>
        <v>250.94453896472859</v>
      </c>
      <c r="R77" s="3490">
        <f t="shared" si="7"/>
        <v>259.42078267996743</v>
      </c>
      <c r="S77" s="3492">
        <f t="shared" si="7"/>
        <v>267.60155092075036</v>
      </c>
      <c r="T77" s="1429"/>
      <c r="U77" s="1429"/>
      <c r="V77" s="1429"/>
      <c r="W77" s="1429"/>
      <c r="X77" s="1429"/>
      <c r="Y77" s="1429"/>
      <c r="Z77" s="1429"/>
      <c r="AA77" s="1429"/>
      <c r="AB77" s="1429"/>
      <c r="AC77" s="1429"/>
      <c r="AD77" s="1429"/>
      <c r="AE77" s="1429"/>
      <c r="AF77" s="1430"/>
      <c r="AG77" s="1430"/>
      <c r="AH77" s="1430"/>
      <c r="AI77" s="1430"/>
      <c r="AJ77" s="1430"/>
      <c r="AK77" s="1430"/>
      <c r="AL77" s="1430"/>
      <c r="AM77" s="1430"/>
      <c r="AN77" s="1430"/>
      <c r="AO77" s="1430"/>
      <c r="AP77" s="1430"/>
      <c r="AQ77" s="1430"/>
      <c r="AR77" s="1430"/>
      <c r="AS77" s="1430"/>
      <c r="AT77" s="1430"/>
      <c r="AU77" s="1430"/>
      <c r="AV77" s="1430"/>
      <c r="AW77" s="1430"/>
      <c r="AX77" s="1430"/>
      <c r="AY77" s="1430"/>
      <c r="AZ77" s="1430"/>
      <c r="BA77" s="1430"/>
      <c r="BB77" s="1430"/>
      <c r="BC77" s="1430"/>
      <c r="BD77" s="1430"/>
      <c r="BE77" s="1430"/>
      <c r="BF77" s="1430"/>
      <c r="BG77" s="1430"/>
      <c r="BH77" s="1430"/>
      <c r="BI77" s="1430"/>
      <c r="BJ77" s="1430"/>
      <c r="BK77" s="1430"/>
      <c r="BL77" s="1430"/>
      <c r="BM77" s="1430"/>
      <c r="BN77" s="1430"/>
      <c r="BO77" s="1430"/>
      <c r="BP77" s="1430"/>
      <c r="BQ77" s="1430"/>
      <c r="BR77" s="1430"/>
      <c r="BS77" s="1430"/>
      <c r="BT77" s="1430"/>
      <c r="BU77" s="1430"/>
      <c r="BV77" s="1430"/>
      <c r="BW77" s="1430"/>
      <c r="BX77" s="1430"/>
      <c r="BY77" s="1430"/>
      <c r="BZ77" s="1430"/>
      <c r="CA77" s="1430"/>
      <c r="CB77" s="1430"/>
      <c r="CC77" s="1430"/>
      <c r="CD77" s="1430"/>
      <c r="CE77" s="1430"/>
      <c r="CF77" s="1430"/>
      <c r="CG77" s="1430"/>
      <c r="CH77" s="1430"/>
      <c r="CI77" s="1430"/>
      <c r="CJ77" s="1430"/>
      <c r="CK77" s="1430"/>
      <c r="CL77" s="1430"/>
      <c r="CM77" s="1430"/>
      <c r="CN77" s="1430"/>
      <c r="CO77" s="1430"/>
      <c r="CP77" s="1430"/>
      <c r="CQ77" s="1430"/>
      <c r="CR77" s="1430"/>
      <c r="CS77" s="1430"/>
      <c r="CT77" s="1430"/>
      <c r="CU77" s="1430"/>
      <c r="CV77" s="1430"/>
      <c r="CW77" s="1430"/>
      <c r="CX77" s="1430"/>
      <c r="CY77" s="1430"/>
      <c r="CZ77" s="1430"/>
      <c r="DA77" s="1430"/>
      <c r="DB77" s="1430"/>
      <c r="DC77" s="1430"/>
      <c r="DD77" s="1430"/>
      <c r="DE77" s="1430"/>
      <c r="DF77" s="1430"/>
      <c r="DG77" s="1430"/>
      <c r="DH77" s="1430"/>
      <c r="DI77" s="1430"/>
      <c r="DJ77" s="1430"/>
      <c r="DK77" s="1430"/>
      <c r="DL77" s="1430"/>
      <c r="DM77" s="1430"/>
      <c r="DN77" s="1430"/>
      <c r="DO77" s="1430"/>
      <c r="DP77" s="1430"/>
    </row>
    <row r="78" spans="2:120" s="1428" customFormat="1" ht="24" customHeight="1" thickBot="1">
      <c r="B78" s="3487" t="s">
        <v>1668</v>
      </c>
      <c r="C78" s="3488"/>
      <c r="D78" s="3498"/>
      <c r="E78" s="3499">
        <f t="shared" ref="E78:S78" si="8">E71+E58+E39+E22</f>
        <v>0</v>
      </c>
      <c r="F78" s="3500">
        <f t="shared" si="8"/>
        <v>522</v>
      </c>
      <c r="G78" s="3500">
        <f t="shared" si="8"/>
        <v>1543.5</v>
      </c>
      <c r="H78" s="3500">
        <f t="shared" si="8"/>
        <v>2356</v>
      </c>
      <c r="I78" s="3501">
        <f t="shared" si="8"/>
        <v>2842.5</v>
      </c>
      <c r="J78" s="3499">
        <f t="shared" si="8"/>
        <v>3001.5</v>
      </c>
      <c r="K78" s="3500">
        <f t="shared" si="8"/>
        <v>3138.5</v>
      </c>
      <c r="L78" s="3500">
        <f t="shared" si="8"/>
        <v>3493.5</v>
      </c>
      <c r="M78" s="3500">
        <f t="shared" si="8"/>
        <v>3864.7564273787198</v>
      </c>
      <c r="N78" s="3501">
        <f t="shared" si="8"/>
        <v>4131.473001148579</v>
      </c>
      <c r="O78" s="3499">
        <f t="shared" si="8"/>
        <v>4376.6189970141659</v>
      </c>
      <c r="P78" s="3500">
        <f t="shared" si="8"/>
        <v>4675.16419495838</v>
      </c>
      <c r="Q78" s="3500">
        <f t="shared" si="8"/>
        <v>4977.1481828941742</v>
      </c>
      <c r="R78" s="3500">
        <f t="shared" si="8"/>
        <v>5279.0115208879279</v>
      </c>
      <c r="S78" s="3502">
        <f t="shared" si="8"/>
        <v>5596.0493944318814</v>
      </c>
      <c r="T78" s="1429"/>
      <c r="U78" s="1429"/>
      <c r="V78" s="1429"/>
      <c r="W78" s="1429"/>
      <c r="X78" s="1429"/>
      <c r="Y78" s="1429"/>
      <c r="Z78" s="1429"/>
      <c r="AA78" s="1429"/>
      <c r="AB78" s="1429"/>
      <c r="AC78" s="1429"/>
      <c r="AD78" s="1429"/>
      <c r="AE78" s="1429"/>
      <c r="AF78" s="1430"/>
      <c r="AG78" s="1430"/>
      <c r="AH78" s="1430"/>
      <c r="AI78" s="1430"/>
      <c r="AJ78" s="1430"/>
      <c r="AK78" s="1430"/>
      <c r="AL78" s="1430"/>
      <c r="AM78" s="1430"/>
      <c r="AN78" s="1430"/>
      <c r="AO78" s="1430"/>
      <c r="AP78" s="1430"/>
      <c r="AQ78" s="1430"/>
      <c r="AR78" s="1430"/>
      <c r="AS78" s="1430"/>
      <c r="AT78" s="1430"/>
      <c r="AU78" s="1430"/>
      <c r="AV78" s="1430"/>
      <c r="AW78" s="1430"/>
      <c r="AX78" s="1430"/>
      <c r="AY78" s="1430"/>
      <c r="AZ78" s="1430"/>
      <c r="BA78" s="1430"/>
      <c r="BB78" s="1430"/>
      <c r="BC78" s="1430"/>
      <c r="BD78" s="1430"/>
      <c r="BE78" s="1430"/>
      <c r="BF78" s="1430"/>
      <c r="BG78" s="1430"/>
      <c r="BH78" s="1430"/>
      <c r="BI78" s="1430"/>
      <c r="BJ78" s="1430"/>
      <c r="BK78" s="1430"/>
      <c r="BL78" s="1430"/>
      <c r="BM78" s="1430"/>
      <c r="BN78" s="1430"/>
      <c r="BO78" s="1430"/>
      <c r="BP78" s="1430"/>
      <c r="BQ78" s="1430"/>
      <c r="BR78" s="1430"/>
      <c r="BS78" s="1430"/>
      <c r="BT78" s="1430"/>
      <c r="BU78" s="1430"/>
      <c r="BV78" s="1430"/>
      <c r="BW78" s="1430"/>
      <c r="BX78" s="1430"/>
      <c r="BY78" s="1430"/>
      <c r="BZ78" s="1430"/>
      <c r="CA78" s="1430"/>
      <c r="CB78" s="1430"/>
      <c r="CC78" s="1430"/>
      <c r="CD78" s="1430"/>
      <c r="CE78" s="1430"/>
      <c r="CF78" s="1430"/>
      <c r="CG78" s="1430"/>
      <c r="CH78" s="1430"/>
      <c r="CI78" s="1430"/>
      <c r="CJ78" s="1430"/>
      <c r="CK78" s="1430"/>
      <c r="CL78" s="1430"/>
      <c r="CM78" s="1430"/>
      <c r="CN78" s="1430"/>
      <c r="CO78" s="1430"/>
      <c r="CP78" s="1430"/>
      <c r="CQ78" s="1430"/>
      <c r="CR78" s="1430"/>
      <c r="CS78" s="1430"/>
      <c r="CT78" s="1430"/>
      <c r="CU78" s="1430"/>
      <c r="CV78" s="1430"/>
      <c r="CW78" s="1430"/>
      <c r="CX78" s="1430"/>
      <c r="CY78" s="1430"/>
      <c r="CZ78" s="1430"/>
      <c r="DA78" s="1430"/>
      <c r="DB78" s="1430"/>
      <c r="DC78" s="1430"/>
      <c r="DD78" s="1430"/>
      <c r="DE78" s="1430"/>
      <c r="DF78" s="1430"/>
      <c r="DG78" s="1430"/>
      <c r="DH78" s="1430"/>
      <c r="DI78" s="1430"/>
      <c r="DJ78" s="1430"/>
      <c r="DK78" s="1430"/>
      <c r="DL78" s="1430"/>
      <c r="DM78" s="1430"/>
      <c r="DN78" s="1430"/>
      <c r="DO78" s="1430"/>
      <c r="DP78" s="1430"/>
    </row>
    <row r="82" spans="13:17">
      <c r="M82" s="3479"/>
      <c r="N82" s="3480"/>
      <c r="O82" s="3480"/>
      <c r="P82" s="3480"/>
      <c r="Q82" s="3493"/>
    </row>
    <row r="83" spans="13:17">
      <c r="M83" s="3479"/>
      <c r="N83" s="3480"/>
      <c r="O83" s="3480"/>
      <c r="P83" s="3480"/>
      <c r="Q83" s="3493"/>
    </row>
  </sheetData>
  <mergeCells count="24">
    <mergeCell ref="B58:B68"/>
    <mergeCell ref="C58:D58"/>
    <mergeCell ref="C68:D68"/>
    <mergeCell ref="B71:B74"/>
    <mergeCell ref="C71:D71"/>
    <mergeCell ref="C74:D74"/>
    <mergeCell ref="J14:N14"/>
    <mergeCell ref="O14:S14"/>
    <mergeCell ref="E15:S15"/>
    <mergeCell ref="E16:L16"/>
    <mergeCell ref="M16:S16"/>
    <mergeCell ref="E14:I14"/>
    <mergeCell ref="B39:B55"/>
    <mergeCell ref="C39:D39"/>
    <mergeCell ref="B7:G7"/>
    <mergeCell ref="B8:G8"/>
    <mergeCell ref="B9:G9"/>
    <mergeCell ref="B10:G10"/>
    <mergeCell ref="B11:G11"/>
    <mergeCell ref="B22:B38"/>
    <mergeCell ref="C22:D22"/>
    <mergeCell ref="B14:B17"/>
    <mergeCell ref="C14:C17"/>
    <mergeCell ref="D14:D17"/>
  </mergeCells>
  <pageMargins left="0.7" right="0.7" top="0.75" bottom="0.75" header="0.3" footer="0.3"/>
  <customProperties>
    <customPr name="layoutContexts" r:id="rId1"/>
  </customProperties>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2">
    <tabColor indexed="26"/>
    <pageSetUpPr autoPageBreaks="0"/>
  </sheetPr>
  <dimension ref="A1:ED69"/>
  <sheetViews>
    <sheetView showGridLines="0" topLeftCell="A4" zoomScale="70" zoomScaleNormal="70" workbookViewId="0">
      <selection activeCell="B14" sqref="B14"/>
    </sheetView>
  </sheetViews>
  <sheetFormatPr defaultRowHeight="12.75"/>
  <cols>
    <col min="1" max="1" width="14.140625" style="94" customWidth="1"/>
    <col min="2" max="2" width="66.28515625" style="94" bestFit="1" customWidth="1"/>
    <col min="3" max="27" width="14.7109375" style="94" customWidth="1"/>
    <col min="31" max="33" width="18" style="1266" customWidth="1"/>
    <col min="34" max="256" width="9.140625" style="94"/>
    <col min="257" max="257" width="14.140625" style="94" customWidth="1"/>
    <col min="258" max="258" width="66.28515625" style="94" bestFit="1" customWidth="1"/>
    <col min="259" max="259" width="10" style="94" bestFit="1" customWidth="1"/>
    <col min="260" max="261" width="8.5703125" style="94" bestFit="1" customWidth="1"/>
    <col min="262" max="262" width="17.42578125" style="94" bestFit="1" customWidth="1"/>
    <col min="263" max="263" width="17.28515625" style="94" bestFit="1" customWidth="1"/>
    <col min="264" max="265" width="10.7109375" style="94" customWidth="1"/>
    <col min="266" max="267" width="10.7109375" style="94" bestFit="1" customWidth="1"/>
    <col min="268" max="268" width="10.7109375" style="94" customWidth="1"/>
    <col min="269" max="271" width="10.7109375" style="94" bestFit="1" customWidth="1"/>
    <col min="272" max="273" width="10.7109375" style="94" customWidth="1"/>
    <col min="274" max="275" width="10.7109375" style="94" bestFit="1" customWidth="1"/>
    <col min="276" max="512" width="9.140625" style="94"/>
    <col min="513" max="513" width="14.140625" style="94" customWidth="1"/>
    <col min="514" max="514" width="66.28515625" style="94" bestFit="1" customWidth="1"/>
    <col min="515" max="515" width="10" style="94" bestFit="1" customWidth="1"/>
    <col min="516" max="517" width="8.5703125" style="94" bestFit="1" customWidth="1"/>
    <col min="518" max="518" width="17.42578125" style="94" bestFit="1" customWidth="1"/>
    <col min="519" max="519" width="17.28515625" style="94" bestFit="1" customWidth="1"/>
    <col min="520" max="521" width="10.7109375" style="94" customWidth="1"/>
    <col min="522" max="523" width="10.7109375" style="94" bestFit="1" customWidth="1"/>
    <col min="524" max="524" width="10.7109375" style="94" customWidth="1"/>
    <col min="525" max="527" width="10.7109375" style="94" bestFit="1" customWidth="1"/>
    <col min="528" max="529" width="10.7109375" style="94" customWidth="1"/>
    <col min="530" max="531" width="10.7109375" style="94" bestFit="1" customWidth="1"/>
    <col min="532" max="768" width="9.140625" style="94"/>
    <col min="769" max="769" width="14.140625" style="94" customWidth="1"/>
    <col min="770" max="770" width="66.28515625" style="94" bestFit="1" customWidth="1"/>
    <col min="771" max="771" width="10" style="94" bestFit="1" customWidth="1"/>
    <col min="772" max="773" width="8.5703125" style="94" bestFit="1" customWidth="1"/>
    <col min="774" max="774" width="17.42578125" style="94" bestFit="1" customWidth="1"/>
    <col min="775" max="775" width="17.28515625" style="94" bestFit="1" customWidth="1"/>
    <col min="776" max="777" width="10.7109375" style="94" customWidth="1"/>
    <col min="778" max="779" width="10.7109375" style="94" bestFit="1" customWidth="1"/>
    <col min="780" max="780" width="10.7109375" style="94" customWidth="1"/>
    <col min="781" max="783" width="10.7109375" style="94" bestFit="1" customWidth="1"/>
    <col min="784" max="785" width="10.7109375" style="94" customWidth="1"/>
    <col min="786" max="787" width="10.7109375" style="94" bestFit="1" customWidth="1"/>
    <col min="788" max="1024" width="9.140625" style="94"/>
    <col min="1025" max="1025" width="14.140625" style="94" customWidth="1"/>
    <col min="1026" max="1026" width="66.28515625" style="94" bestFit="1" customWidth="1"/>
    <col min="1027" max="1027" width="10" style="94" bestFit="1" customWidth="1"/>
    <col min="1028" max="1029" width="8.5703125" style="94" bestFit="1" customWidth="1"/>
    <col min="1030" max="1030" width="17.42578125" style="94" bestFit="1" customWidth="1"/>
    <col min="1031" max="1031" width="17.28515625" style="94" bestFit="1" customWidth="1"/>
    <col min="1032" max="1033" width="10.7109375" style="94" customWidth="1"/>
    <col min="1034" max="1035" width="10.7109375" style="94" bestFit="1" customWidth="1"/>
    <col min="1036" max="1036" width="10.7109375" style="94" customWidth="1"/>
    <col min="1037" max="1039" width="10.7109375" style="94" bestFit="1" customWidth="1"/>
    <col min="1040" max="1041" width="10.7109375" style="94" customWidth="1"/>
    <col min="1042" max="1043" width="10.7109375" style="94" bestFit="1" customWidth="1"/>
    <col min="1044" max="1280" width="9.140625" style="94"/>
    <col min="1281" max="1281" width="14.140625" style="94" customWidth="1"/>
    <col min="1282" max="1282" width="66.28515625" style="94" bestFit="1" customWidth="1"/>
    <col min="1283" max="1283" width="10" style="94" bestFit="1" customWidth="1"/>
    <col min="1284" max="1285" width="8.5703125" style="94" bestFit="1" customWidth="1"/>
    <col min="1286" max="1286" width="17.42578125" style="94" bestFit="1" customWidth="1"/>
    <col min="1287" max="1287" width="17.28515625" style="94" bestFit="1" customWidth="1"/>
    <col min="1288" max="1289" width="10.7109375" style="94" customWidth="1"/>
    <col min="1290" max="1291" width="10.7109375" style="94" bestFit="1" customWidth="1"/>
    <col min="1292" max="1292" width="10.7109375" style="94" customWidth="1"/>
    <col min="1293" max="1295" width="10.7109375" style="94" bestFit="1" customWidth="1"/>
    <col min="1296" max="1297" width="10.7109375" style="94" customWidth="1"/>
    <col min="1298" max="1299" width="10.7109375" style="94" bestFit="1" customWidth="1"/>
    <col min="1300" max="1536" width="9.140625" style="94"/>
    <col min="1537" max="1537" width="14.140625" style="94" customWidth="1"/>
    <col min="1538" max="1538" width="66.28515625" style="94" bestFit="1" customWidth="1"/>
    <col min="1539" max="1539" width="10" style="94" bestFit="1" customWidth="1"/>
    <col min="1540" max="1541" width="8.5703125" style="94" bestFit="1" customWidth="1"/>
    <col min="1542" max="1542" width="17.42578125" style="94" bestFit="1" customWidth="1"/>
    <col min="1543" max="1543" width="17.28515625" style="94" bestFit="1" customWidth="1"/>
    <col min="1544" max="1545" width="10.7109375" style="94" customWidth="1"/>
    <col min="1546" max="1547" width="10.7109375" style="94" bestFit="1" customWidth="1"/>
    <col min="1548" max="1548" width="10.7109375" style="94" customWidth="1"/>
    <col min="1549" max="1551" width="10.7109375" style="94" bestFit="1" customWidth="1"/>
    <col min="1552" max="1553" width="10.7109375" style="94" customWidth="1"/>
    <col min="1554" max="1555" width="10.7109375" style="94" bestFit="1" customWidth="1"/>
    <col min="1556" max="1792" width="9.140625" style="94"/>
    <col min="1793" max="1793" width="14.140625" style="94" customWidth="1"/>
    <col min="1794" max="1794" width="66.28515625" style="94" bestFit="1" customWidth="1"/>
    <col min="1795" max="1795" width="10" style="94" bestFit="1" customWidth="1"/>
    <col min="1796" max="1797" width="8.5703125" style="94" bestFit="1" customWidth="1"/>
    <col min="1798" max="1798" width="17.42578125" style="94" bestFit="1" customWidth="1"/>
    <col min="1799" max="1799" width="17.28515625" style="94" bestFit="1" customWidth="1"/>
    <col min="1800" max="1801" width="10.7109375" style="94" customWidth="1"/>
    <col min="1802" max="1803" width="10.7109375" style="94" bestFit="1" customWidth="1"/>
    <col min="1804" max="1804" width="10.7109375" style="94" customWidth="1"/>
    <col min="1805" max="1807" width="10.7109375" style="94" bestFit="1" customWidth="1"/>
    <col min="1808" max="1809" width="10.7109375" style="94" customWidth="1"/>
    <col min="1810" max="1811" width="10.7109375" style="94" bestFit="1" customWidth="1"/>
    <col min="1812" max="2048" width="9.140625" style="94"/>
    <col min="2049" max="2049" width="14.140625" style="94" customWidth="1"/>
    <col min="2050" max="2050" width="66.28515625" style="94" bestFit="1" customWidth="1"/>
    <col min="2051" max="2051" width="10" style="94" bestFit="1" customWidth="1"/>
    <col min="2052" max="2053" width="8.5703125" style="94" bestFit="1" customWidth="1"/>
    <col min="2054" max="2054" width="17.42578125" style="94" bestFit="1" customWidth="1"/>
    <col min="2055" max="2055" width="17.28515625" style="94" bestFit="1" customWidth="1"/>
    <col min="2056" max="2057" width="10.7109375" style="94" customWidth="1"/>
    <col min="2058" max="2059" width="10.7109375" style="94" bestFit="1" customWidth="1"/>
    <col min="2060" max="2060" width="10.7109375" style="94" customWidth="1"/>
    <col min="2061" max="2063" width="10.7109375" style="94" bestFit="1" customWidth="1"/>
    <col min="2064" max="2065" width="10.7109375" style="94" customWidth="1"/>
    <col min="2066" max="2067" width="10.7109375" style="94" bestFit="1" customWidth="1"/>
    <col min="2068" max="2304" width="9.140625" style="94"/>
    <col min="2305" max="2305" width="14.140625" style="94" customWidth="1"/>
    <col min="2306" max="2306" width="66.28515625" style="94" bestFit="1" customWidth="1"/>
    <col min="2307" max="2307" width="10" style="94" bestFit="1" customWidth="1"/>
    <col min="2308" max="2309" width="8.5703125" style="94" bestFit="1" customWidth="1"/>
    <col min="2310" max="2310" width="17.42578125" style="94" bestFit="1" customWidth="1"/>
    <col min="2311" max="2311" width="17.28515625" style="94" bestFit="1" customWidth="1"/>
    <col min="2312" max="2313" width="10.7109375" style="94" customWidth="1"/>
    <col min="2314" max="2315" width="10.7109375" style="94" bestFit="1" customWidth="1"/>
    <col min="2316" max="2316" width="10.7109375" style="94" customWidth="1"/>
    <col min="2317" max="2319" width="10.7109375" style="94" bestFit="1" customWidth="1"/>
    <col min="2320" max="2321" width="10.7109375" style="94" customWidth="1"/>
    <col min="2322" max="2323" width="10.7109375" style="94" bestFit="1" customWidth="1"/>
    <col min="2324" max="2560" width="9.140625" style="94"/>
    <col min="2561" max="2561" width="14.140625" style="94" customWidth="1"/>
    <col min="2562" max="2562" width="66.28515625" style="94" bestFit="1" customWidth="1"/>
    <col min="2563" max="2563" width="10" style="94" bestFit="1" customWidth="1"/>
    <col min="2564" max="2565" width="8.5703125" style="94" bestFit="1" customWidth="1"/>
    <col min="2566" max="2566" width="17.42578125" style="94" bestFit="1" customWidth="1"/>
    <col min="2567" max="2567" width="17.28515625" style="94" bestFit="1" customWidth="1"/>
    <col min="2568" max="2569" width="10.7109375" style="94" customWidth="1"/>
    <col min="2570" max="2571" width="10.7109375" style="94" bestFit="1" customWidth="1"/>
    <col min="2572" max="2572" width="10.7109375" style="94" customWidth="1"/>
    <col min="2573" max="2575" width="10.7109375" style="94" bestFit="1" customWidth="1"/>
    <col min="2576" max="2577" width="10.7109375" style="94" customWidth="1"/>
    <col min="2578" max="2579" width="10.7109375" style="94" bestFit="1" customWidth="1"/>
    <col min="2580" max="2816" width="9.140625" style="94"/>
    <col min="2817" max="2817" width="14.140625" style="94" customWidth="1"/>
    <col min="2818" max="2818" width="66.28515625" style="94" bestFit="1" customWidth="1"/>
    <col min="2819" max="2819" width="10" style="94" bestFit="1" customWidth="1"/>
    <col min="2820" max="2821" width="8.5703125" style="94" bestFit="1" customWidth="1"/>
    <col min="2822" max="2822" width="17.42578125" style="94" bestFit="1" customWidth="1"/>
    <col min="2823" max="2823" width="17.28515625" style="94" bestFit="1" customWidth="1"/>
    <col min="2824" max="2825" width="10.7109375" style="94" customWidth="1"/>
    <col min="2826" max="2827" width="10.7109375" style="94" bestFit="1" customWidth="1"/>
    <col min="2828" max="2828" width="10.7109375" style="94" customWidth="1"/>
    <col min="2829" max="2831" width="10.7109375" style="94" bestFit="1" customWidth="1"/>
    <col min="2832" max="2833" width="10.7109375" style="94" customWidth="1"/>
    <col min="2834" max="2835" width="10.7109375" style="94" bestFit="1" customWidth="1"/>
    <col min="2836" max="3072" width="9.140625" style="94"/>
    <col min="3073" max="3073" width="14.140625" style="94" customWidth="1"/>
    <col min="3074" max="3074" width="66.28515625" style="94" bestFit="1" customWidth="1"/>
    <col min="3075" max="3075" width="10" style="94" bestFit="1" customWidth="1"/>
    <col min="3076" max="3077" width="8.5703125" style="94" bestFit="1" customWidth="1"/>
    <col min="3078" max="3078" width="17.42578125" style="94" bestFit="1" customWidth="1"/>
    <col min="3079" max="3079" width="17.28515625" style="94" bestFit="1" customWidth="1"/>
    <col min="3080" max="3081" width="10.7109375" style="94" customWidth="1"/>
    <col min="3082" max="3083" width="10.7109375" style="94" bestFit="1" customWidth="1"/>
    <col min="3084" max="3084" width="10.7109375" style="94" customWidth="1"/>
    <col min="3085" max="3087" width="10.7109375" style="94" bestFit="1" customWidth="1"/>
    <col min="3088" max="3089" width="10.7109375" style="94" customWidth="1"/>
    <col min="3090" max="3091" width="10.7109375" style="94" bestFit="1" customWidth="1"/>
    <col min="3092" max="3328" width="9.140625" style="94"/>
    <col min="3329" max="3329" width="14.140625" style="94" customWidth="1"/>
    <col min="3330" max="3330" width="66.28515625" style="94" bestFit="1" customWidth="1"/>
    <col min="3331" max="3331" width="10" style="94" bestFit="1" customWidth="1"/>
    <col min="3332" max="3333" width="8.5703125" style="94" bestFit="1" customWidth="1"/>
    <col min="3334" max="3334" width="17.42578125" style="94" bestFit="1" customWidth="1"/>
    <col min="3335" max="3335" width="17.28515625" style="94" bestFit="1" customWidth="1"/>
    <col min="3336" max="3337" width="10.7109375" style="94" customWidth="1"/>
    <col min="3338" max="3339" width="10.7109375" style="94" bestFit="1" customWidth="1"/>
    <col min="3340" max="3340" width="10.7109375" style="94" customWidth="1"/>
    <col min="3341" max="3343" width="10.7109375" style="94" bestFit="1" customWidth="1"/>
    <col min="3344" max="3345" width="10.7109375" style="94" customWidth="1"/>
    <col min="3346" max="3347" width="10.7109375" style="94" bestFit="1" customWidth="1"/>
    <col min="3348" max="3584" width="9.140625" style="94"/>
    <col min="3585" max="3585" width="14.140625" style="94" customWidth="1"/>
    <col min="3586" max="3586" width="66.28515625" style="94" bestFit="1" customWidth="1"/>
    <col min="3587" max="3587" width="10" style="94" bestFit="1" customWidth="1"/>
    <col min="3588" max="3589" width="8.5703125" style="94" bestFit="1" customWidth="1"/>
    <col min="3590" max="3590" width="17.42578125" style="94" bestFit="1" customWidth="1"/>
    <col min="3591" max="3591" width="17.28515625" style="94" bestFit="1" customWidth="1"/>
    <col min="3592" max="3593" width="10.7109375" style="94" customWidth="1"/>
    <col min="3594" max="3595" width="10.7109375" style="94" bestFit="1" customWidth="1"/>
    <col min="3596" max="3596" width="10.7109375" style="94" customWidth="1"/>
    <col min="3597" max="3599" width="10.7109375" style="94" bestFit="1" customWidth="1"/>
    <col min="3600" max="3601" width="10.7109375" style="94" customWidth="1"/>
    <col min="3602" max="3603" width="10.7109375" style="94" bestFit="1" customWidth="1"/>
    <col min="3604" max="3840" width="9.140625" style="94"/>
    <col min="3841" max="3841" width="14.140625" style="94" customWidth="1"/>
    <col min="3842" max="3842" width="66.28515625" style="94" bestFit="1" customWidth="1"/>
    <col min="3843" max="3843" width="10" style="94" bestFit="1" customWidth="1"/>
    <col min="3844" max="3845" width="8.5703125" style="94" bestFit="1" customWidth="1"/>
    <col min="3846" max="3846" width="17.42578125" style="94" bestFit="1" customWidth="1"/>
    <col min="3847" max="3847" width="17.28515625" style="94" bestFit="1" customWidth="1"/>
    <col min="3848" max="3849" width="10.7109375" style="94" customWidth="1"/>
    <col min="3850" max="3851" width="10.7109375" style="94" bestFit="1" customWidth="1"/>
    <col min="3852" max="3852" width="10.7109375" style="94" customWidth="1"/>
    <col min="3853" max="3855" width="10.7109375" style="94" bestFit="1" customWidth="1"/>
    <col min="3856" max="3857" width="10.7109375" style="94" customWidth="1"/>
    <col min="3858" max="3859" width="10.7109375" style="94" bestFit="1" customWidth="1"/>
    <col min="3860" max="4096" width="9.140625" style="94"/>
    <col min="4097" max="4097" width="14.140625" style="94" customWidth="1"/>
    <col min="4098" max="4098" width="66.28515625" style="94" bestFit="1" customWidth="1"/>
    <col min="4099" max="4099" width="10" style="94" bestFit="1" customWidth="1"/>
    <col min="4100" max="4101" width="8.5703125" style="94" bestFit="1" customWidth="1"/>
    <col min="4102" max="4102" width="17.42578125" style="94" bestFit="1" customWidth="1"/>
    <col min="4103" max="4103" width="17.28515625" style="94" bestFit="1" customWidth="1"/>
    <col min="4104" max="4105" width="10.7109375" style="94" customWidth="1"/>
    <col min="4106" max="4107" width="10.7109375" style="94" bestFit="1" customWidth="1"/>
    <col min="4108" max="4108" width="10.7109375" style="94" customWidth="1"/>
    <col min="4109" max="4111" width="10.7109375" style="94" bestFit="1" customWidth="1"/>
    <col min="4112" max="4113" width="10.7109375" style="94" customWidth="1"/>
    <col min="4114" max="4115" width="10.7109375" style="94" bestFit="1" customWidth="1"/>
    <col min="4116" max="4352" width="9.140625" style="94"/>
    <col min="4353" max="4353" width="14.140625" style="94" customWidth="1"/>
    <col min="4354" max="4354" width="66.28515625" style="94" bestFit="1" customWidth="1"/>
    <col min="4355" max="4355" width="10" style="94" bestFit="1" customWidth="1"/>
    <col min="4356" max="4357" width="8.5703125" style="94" bestFit="1" customWidth="1"/>
    <col min="4358" max="4358" width="17.42578125" style="94" bestFit="1" customWidth="1"/>
    <col min="4359" max="4359" width="17.28515625" style="94" bestFit="1" customWidth="1"/>
    <col min="4360" max="4361" width="10.7109375" style="94" customWidth="1"/>
    <col min="4362" max="4363" width="10.7109375" style="94" bestFit="1" customWidth="1"/>
    <col min="4364" max="4364" width="10.7109375" style="94" customWidth="1"/>
    <col min="4365" max="4367" width="10.7109375" style="94" bestFit="1" customWidth="1"/>
    <col min="4368" max="4369" width="10.7109375" style="94" customWidth="1"/>
    <col min="4370" max="4371" width="10.7109375" style="94" bestFit="1" customWidth="1"/>
    <col min="4372" max="4608" width="9.140625" style="94"/>
    <col min="4609" max="4609" width="14.140625" style="94" customWidth="1"/>
    <col min="4610" max="4610" width="66.28515625" style="94" bestFit="1" customWidth="1"/>
    <col min="4611" max="4611" width="10" style="94" bestFit="1" customWidth="1"/>
    <col min="4612" max="4613" width="8.5703125" style="94" bestFit="1" customWidth="1"/>
    <col min="4614" max="4614" width="17.42578125" style="94" bestFit="1" customWidth="1"/>
    <col min="4615" max="4615" width="17.28515625" style="94" bestFit="1" customWidth="1"/>
    <col min="4616" max="4617" width="10.7109375" style="94" customWidth="1"/>
    <col min="4618" max="4619" width="10.7109375" style="94" bestFit="1" customWidth="1"/>
    <col min="4620" max="4620" width="10.7109375" style="94" customWidth="1"/>
    <col min="4621" max="4623" width="10.7109375" style="94" bestFit="1" customWidth="1"/>
    <col min="4624" max="4625" width="10.7109375" style="94" customWidth="1"/>
    <col min="4626" max="4627" width="10.7109375" style="94" bestFit="1" customWidth="1"/>
    <col min="4628" max="4864" width="9.140625" style="94"/>
    <col min="4865" max="4865" width="14.140625" style="94" customWidth="1"/>
    <col min="4866" max="4866" width="66.28515625" style="94" bestFit="1" customWidth="1"/>
    <col min="4867" max="4867" width="10" style="94" bestFit="1" customWidth="1"/>
    <col min="4868" max="4869" width="8.5703125" style="94" bestFit="1" customWidth="1"/>
    <col min="4870" max="4870" width="17.42578125" style="94" bestFit="1" customWidth="1"/>
    <col min="4871" max="4871" width="17.28515625" style="94" bestFit="1" customWidth="1"/>
    <col min="4872" max="4873" width="10.7109375" style="94" customWidth="1"/>
    <col min="4874" max="4875" width="10.7109375" style="94" bestFit="1" customWidth="1"/>
    <col min="4876" max="4876" width="10.7109375" style="94" customWidth="1"/>
    <col min="4877" max="4879" width="10.7109375" style="94" bestFit="1" customWidth="1"/>
    <col min="4880" max="4881" width="10.7109375" style="94" customWidth="1"/>
    <col min="4882" max="4883" width="10.7109375" style="94" bestFit="1" customWidth="1"/>
    <col min="4884" max="5120" width="9.140625" style="94"/>
    <col min="5121" max="5121" width="14.140625" style="94" customWidth="1"/>
    <col min="5122" max="5122" width="66.28515625" style="94" bestFit="1" customWidth="1"/>
    <col min="5123" max="5123" width="10" style="94" bestFit="1" customWidth="1"/>
    <col min="5124" max="5125" width="8.5703125" style="94" bestFit="1" customWidth="1"/>
    <col min="5126" max="5126" width="17.42578125" style="94" bestFit="1" customWidth="1"/>
    <col min="5127" max="5127" width="17.28515625" style="94" bestFit="1" customWidth="1"/>
    <col min="5128" max="5129" width="10.7109375" style="94" customWidth="1"/>
    <col min="5130" max="5131" width="10.7109375" style="94" bestFit="1" customWidth="1"/>
    <col min="5132" max="5132" width="10.7109375" style="94" customWidth="1"/>
    <col min="5133" max="5135" width="10.7109375" style="94" bestFit="1" customWidth="1"/>
    <col min="5136" max="5137" width="10.7109375" style="94" customWidth="1"/>
    <col min="5138" max="5139" width="10.7109375" style="94" bestFit="1" customWidth="1"/>
    <col min="5140" max="5376" width="9.140625" style="94"/>
    <col min="5377" max="5377" width="14.140625" style="94" customWidth="1"/>
    <col min="5378" max="5378" width="66.28515625" style="94" bestFit="1" customWidth="1"/>
    <col min="5379" max="5379" width="10" style="94" bestFit="1" customWidth="1"/>
    <col min="5380" max="5381" width="8.5703125" style="94" bestFit="1" customWidth="1"/>
    <col min="5382" max="5382" width="17.42578125" style="94" bestFit="1" customWidth="1"/>
    <col min="5383" max="5383" width="17.28515625" style="94" bestFit="1" customWidth="1"/>
    <col min="5384" max="5385" width="10.7109375" style="94" customWidth="1"/>
    <col min="5386" max="5387" width="10.7109375" style="94" bestFit="1" customWidth="1"/>
    <col min="5388" max="5388" width="10.7109375" style="94" customWidth="1"/>
    <col min="5389" max="5391" width="10.7109375" style="94" bestFit="1" customWidth="1"/>
    <col min="5392" max="5393" width="10.7109375" style="94" customWidth="1"/>
    <col min="5394" max="5395" width="10.7109375" style="94" bestFit="1" customWidth="1"/>
    <col min="5396" max="5632" width="9.140625" style="94"/>
    <col min="5633" max="5633" width="14.140625" style="94" customWidth="1"/>
    <col min="5634" max="5634" width="66.28515625" style="94" bestFit="1" customWidth="1"/>
    <col min="5635" max="5635" width="10" style="94" bestFit="1" customWidth="1"/>
    <col min="5636" max="5637" width="8.5703125" style="94" bestFit="1" customWidth="1"/>
    <col min="5638" max="5638" width="17.42578125" style="94" bestFit="1" customWidth="1"/>
    <col min="5639" max="5639" width="17.28515625" style="94" bestFit="1" customWidth="1"/>
    <col min="5640" max="5641" width="10.7109375" style="94" customWidth="1"/>
    <col min="5642" max="5643" width="10.7109375" style="94" bestFit="1" customWidth="1"/>
    <col min="5644" max="5644" width="10.7109375" style="94" customWidth="1"/>
    <col min="5645" max="5647" width="10.7109375" style="94" bestFit="1" customWidth="1"/>
    <col min="5648" max="5649" width="10.7109375" style="94" customWidth="1"/>
    <col min="5650" max="5651" width="10.7109375" style="94" bestFit="1" customWidth="1"/>
    <col min="5652" max="5888" width="9.140625" style="94"/>
    <col min="5889" max="5889" width="14.140625" style="94" customWidth="1"/>
    <col min="5890" max="5890" width="66.28515625" style="94" bestFit="1" customWidth="1"/>
    <col min="5891" max="5891" width="10" style="94" bestFit="1" customWidth="1"/>
    <col min="5892" max="5893" width="8.5703125" style="94" bestFit="1" customWidth="1"/>
    <col min="5894" max="5894" width="17.42578125" style="94" bestFit="1" customWidth="1"/>
    <col min="5895" max="5895" width="17.28515625" style="94" bestFit="1" customWidth="1"/>
    <col min="5896" max="5897" width="10.7109375" style="94" customWidth="1"/>
    <col min="5898" max="5899" width="10.7109375" style="94" bestFit="1" customWidth="1"/>
    <col min="5900" max="5900" width="10.7109375" style="94" customWidth="1"/>
    <col min="5901" max="5903" width="10.7109375" style="94" bestFit="1" customWidth="1"/>
    <col min="5904" max="5905" width="10.7109375" style="94" customWidth="1"/>
    <col min="5906" max="5907" width="10.7109375" style="94" bestFit="1" customWidth="1"/>
    <col min="5908" max="6144" width="9.140625" style="94"/>
    <col min="6145" max="6145" width="14.140625" style="94" customWidth="1"/>
    <col min="6146" max="6146" width="66.28515625" style="94" bestFit="1" customWidth="1"/>
    <col min="6147" max="6147" width="10" style="94" bestFit="1" customWidth="1"/>
    <col min="6148" max="6149" width="8.5703125" style="94" bestFit="1" customWidth="1"/>
    <col min="6150" max="6150" width="17.42578125" style="94" bestFit="1" customWidth="1"/>
    <col min="6151" max="6151" width="17.28515625" style="94" bestFit="1" customWidth="1"/>
    <col min="6152" max="6153" width="10.7109375" style="94" customWidth="1"/>
    <col min="6154" max="6155" width="10.7109375" style="94" bestFit="1" customWidth="1"/>
    <col min="6156" max="6156" width="10.7109375" style="94" customWidth="1"/>
    <col min="6157" max="6159" width="10.7109375" style="94" bestFit="1" customWidth="1"/>
    <col min="6160" max="6161" width="10.7109375" style="94" customWidth="1"/>
    <col min="6162" max="6163" width="10.7109375" style="94" bestFit="1" customWidth="1"/>
    <col min="6164" max="6400" width="9.140625" style="94"/>
    <col min="6401" max="6401" width="14.140625" style="94" customWidth="1"/>
    <col min="6402" max="6402" width="66.28515625" style="94" bestFit="1" customWidth="1"/>
    <col min="6403" max="6403" width="10" style="94" bestFit="1" customWidth="1"/>
    <col min="6404" max="6405" width="8.5703125" style="94" bestFit="1" customWidth="1"/>
    <col min="6406" max="6406" width="17.42578125" style="94" bestFit="1" customWidth="1"/>
    <col min="6407" max="6407" width="17.28515625" style="94" bestFit="1" customWidth="1"/>
    <col min="6408" max="6409" width="10.7109375" style="94" customWidth="1"/>
    <col min="6410" max="6411" width="10.7109375" style="94" bestFit="1" customWidth="1"/>
    <col min="6412" max="6412" width="10.7109375" style="94" customWidth="1"/>
    <col min="6413" max="6415" width="10.7109375" style="94" bestFit="1" customWidth="1"/>
    <col min="6416" max="6417" width="10.7109375" style="94" customWidth="1"/>
    <col min="6418" max="6419" width="10.7109375" style="94" bestFit="1" customWidth="1"/>
    <col min="6420" max="6656" width="9.140625" style="94"/>
    <col min="6657" max="6657" width="14.140625" style="94" customWidth="1"/>
    <col min="6658" max="6658" width="66.28515625" style="94" bestFit="1" customWidth="1"/>
    <col min="6659" max="6659" width="10" style="94" bestFit="1" customWidth="1"/>
    <col min="6660" max="6661" width="8.5703125" style="94" bestFit="1" customWidth="1"/>
    <col min="6662" max="6662" width="17.42578125" style="94" bestFit="1" customWidth="1"/>
    <col min="6663" max="6663" width="17.28515625" style="94" bestFit="1" customWidth="1"/>
    <col min="6664" max="6665" width="10.7109375" style="94" customWidth="1"/>
    <col min="6666" max="6667" width="10.7109375" style="94" bestFit="1" customWidth="1"/>
    <col min="6668" max="6668" width="10.7109375" style="94" customWidth="1"/>
    <col min="6669" max="6671" width="10.7109375" style="94" bestFit="1" customWidth="1"/>
    <col min="6672" max="6673" width="10.7109375" style="94" customWidth="1"/>
    <col min="6674" max="6675" width="10.7109375" style="94" bestFit="1" customWidth="1"/>
    <col min="6676" max="6912" width="9.140625" style="94"/>
    <col min="6913" max="6913" width="14.140625" style="94" customWidth="1"/>
    <col min="6914" max="6914" width="66.28515625" style="94" bestFit="1" customWidth="1"/>
    <col min="6915" max="6915" width="10" style="94" bestFit="1" customWidth="1"/>
    <col min="6916" max="6917" width="8.5703125" style="94" bestFit="1" customWidth="1"/>
    <col min="6918" max="6918" width="17.42578125" style="94" bestFit="1" customWidth="1"/>
    <col min="6919" max="6919" width="17.28515625" style="94" bestFit="1" customWidth="1"/>
    <col min="6920" max="6921" width="10.7109375" style="94" customWidth="1"/>
    <col min="6922" max="6923" width="10.7109375" style="94" bestFit="1" customWidth="1"/>
    <col min="6924" max="6924" width="10.7109375" style="94" customWidth="1"/>
    <col min="6925" max="6927" width="10.7109375" style="94" bestFit="1" customWidth="1"/>
    <col min="6928" max="6929" width="10.7109375" style="94" customWidth="1"/>
    <col min="6930" max="6931" width="10.7109375" style="94" bestFit="1" customWidth="1"/>
    <col min="6932" max="7168" width="9.140625" style="94"/>
    <col min="7169" max="7169" width="14.140625" style="94" customWidth="1"/>
    <col min="7170" max="7170" width="66.28515625" style="94" bestFit="1" customWidth="1"/>
    <col min="7171" max="7171" width="10" style="94" bestFit="1" customWidth="1"/>
    <col min="7172" max="7173" width="8.5703125" style="94" bestFit="1" customWidth="1"/>
    <col min="7174" max="7174" width="17.42578125" style="94" bestFit="1" customWidth="1"/>
    <col min="7175" max="7175" width="17.28515625" style="94" bestFit="1" customWidth="1"/>
    <col min="7176" max="7177" width="10.7109375" style="94" customWidth="1"/>
    <col min="7178" max="7179" width="10.7109375" style="94" bestFit="1" customWidth="1"/>
    <col min="7180" max="7180" width="10.7109375" style="94" customWidth="1"/>
    <col min="7181" max="7183" width="10.7109375" style="94" bestFit="1" customWidth="1"/>
    <col min="7184" max="7185" width="10.7109375" style="94" customWidth="1"/>
    <col min="7186" max="7187" width="10.7109375" style="94" bestFit="1" customWidth="1"/>
    <col min="7188" max="7424" width="9.140625" style="94"/>
    <col min="7425" max="7425" width="14.140625" style="94" customWidth="1"/>
    <col min="7426" max="7426" width="66.28515625" style="94" bestFit="1" customWidth="1"/>
    <col min="7427" max="7427" width="10" style="94" bestFit="1" customWidth="1"/>
    <col min="7428" max="7429" width="8.5703125" style="94" bestFit="1" customWidth="1"/>
    <col min="7430" max="7430" width="17.42578125" style="94" bestFit="1" customWidth="1"/>
    <col min="7431" max="7431" width="17.28515625" style="94" bestFit="1" customWidth="1"/>
    <col min="7432" max="7433" width="10.7109375" style="94" customWidth="1"/>
    <col min="7434" max="7435" width="10.7109375" style="94" bestFit="1" customWidth="1"/>
    <col min="7436" max="7436" width="10.7109375" style="94" customWidth="1"/>
    <col min="7437" max="7439" width="10.7109375" style="94" bestFit="1" customWidth="1"/>
    <col min="7440" max="7441" width="10.7109375" style="94" customWidth="1"/>
    <col min="7442" max="7443" width="10.7109375" style="94" bestFit="1" customWidth="1"/>
    <col min="7444" max="7680" width="9.140625" style="94"/>
    <col min="7681" max="7681" width="14.140625" style="94" customWidth="1"/>
    <col min="7682" max="7682" width="66.28515625" style="94" bestFit="1" customWidth="1"/>
    <col min="7683" max="7683" width="10" style="94" bestFit="1" customWidth="1"/>
    <col min="7684" max="7685" width="8.5703125" style="94" bestFit="1" customWidth="1"/>
    <col min="7686" max="7686" width="17.42578125" style="94" bestFit="1" customWidth="1"/>
    <col min="7687" max="7687" width="17.28515625" style="94" bestFit="1" customWidth="1"/>
    <col min="7688" max="7689" width="10.7109375" style="94" customWidth="1"/>
    <col min="7690" max="7691" width="10.7109375" style="94" bestFit="1" customWidth="1"/>
    <col min="7692" max="7692" width="10.7109375" style="94" customWidth="1"/>
    <col min="7693" max="7695" width="10.7109375" style="94" bestFit="1" customWidth="1"/>
    <col min="7696" max="7697" width="10.7109375" style="94" customWidth="1"/>
    <col min="7698" max="7699" width="10.7109375" style="94" bestFit="1" customWidth="1"/>
    <col min="7700" max="7936" width="9.140625" style="94"/>
    <col min="7937" max="7937" width="14.140625" style="94" customWidth="1"/>
    <col min="7938" max="7938" width="66.28515625" style="94" bestFit="1" customWidth="1"/>
    <col min="7939" max="7939" width="10" style="94" bestFit="1" customWidth="1"/>
    <col min="7940" max="7941" width="8.5703125" style="94" bestFit="1" customWidth="1"/>
    <col min="7942" max="7942" width="17.42578125" style="94" bestFit="1" customWidth="1"/>
    <col min="7943" max="7943" width="17.28515625" style="94" bestFit="1" customWidth="1"/>
    <col min="7944" max="7945" width="10.7109375" style="94" customWidth="1"/>
    <col min="7946" max="7947" width="10.7109375" style="94" bestFit="1" customWidth="1"/>
    <col min="7948" max="7948" width="10.7109375" style="94" customWidth="1"/>
    <col min="7949" max="7951" width="10.7109375" style="94" bestFit="1" customWidth="1"/>
    <col min="7952" max="7953" width="10.7109375" style="94" customWidth="1"/>
    <col min="7954" max="7955" width="10.7109375" style="94" bestFit="1" customWidth="1"/>
    <col min="7956" max="8192" width="9.140625" style="94"/>
    <col min="8193" max="8193" width="14.140625" style="94" customWidth="1"/>
    <col min="8194" max="8194" width="66.28515625" style="94" bestFit="1" customWidth="1"/>
    <col min="8195" max="8195" width="10" style="94" bestFit="1" customWidth="1"/>
    <col min="8196" max="8197" width="8.5703125" style="94" bestFit="1" customWidth="1"/>
    <col min="8198" max="8198" width="17.42578125" style="94" bestFit="1" customWidth="1"/>
    <col min="8199" max="8199" width="17.28515625" style="94" bestFit="1" customWidth="1"/>
    <col min="8200" max="8201" width="10.7109375" style="94" customWidth="1"/>
    <col min="8202" max="8203" width="10.7109375" style="94" bestFit="1" customWidth="1"/>
    <col min="8204" max="8204" width="10.7109375" style="94" customWidth="1"/>
    <col min="8205" max="8207" width="10.7109375" style="94" bestFit="1" customWidth="1"/>
    <col min="8208" max="8209" width="10.7109375" style="94" customWidth="1"/>
    <col min="8210" max="8211" width="10.7109375" style="94" bestFit="1" customWidth="1"/>
    <col min="8212" max="8448" width="9.140625" style="94"/>
    <col min="8449" max="8449" width="14.140625" style="94" customWidth="1"/>
    <col min="8450" max="8450" width="66.28515625" style="94" bestFit="1" customWidth="1"/>
    <col min="8451" max="8451" width="10" style="94" bestFit="1" customWidth="1"/>
    <col min="8452" max="8453" width="8.5703125" style="94" bestFit="1" customWidth="1"/>
    <col min="8454" max="8454" width="17.42578125" style="94" bestFit="1" customWidth="1"/>
    <col min="8455" max="8455" width="17.28515625" style="94" bestFit="1" customWidth="1"/>
    <col min="8456" max="8457" width="10.7109375" style="94" customWidth="1"/>
    <col min="8458" max="8459" width="10.7109375" style="94" bestFit="1" customWidth="1"/>
    <col min="8460" max="8460" width="10.7109375" style="94" customWidth="1"/>
    <col min="8461" max="8463" width="10.7109375" style="94" bestFit="1" customWidth="1"/>
    <col min="8464" max="8465" width="10.7109375" style="94" customWidth="1"/>
    <col min="8466" max="8467" width="10.7109375" style="94" bestFit="1" customWidth="1"/>
    <col min="8468" max="8704" width="9.140625" style="94"/>
    <col min="8705" max="8705" width="14.140625" style="94" customWidth="1"/>
    <col min="8706" max="8706" width="66.28515625" style="94" bestFit="1" customWidth="1"/>
    <col min="8707" max="8707" width="10" style="94" bestFit="1" customWidth="1"/>
    <col min="8708" max="8709" width="8.5703125" style="94" bestFit="1" customWidth="1"/>
    <col min="8710" max="8710" width="17.42578125" style="94" bestFit="1" customWidth="1"/>
    <col min="8711" max="8711" width="17.28515625" style="94" bestFit="1" customWidth="1"/>
    <col min="8712" max="8713" width="10.7109375" style="94" customWidth="1"/>
    <col min="8714" max="8715" width="10.7109375" style="94" bestFit="1" customWidth="1"/>
    <col min="8716" max="8716" width="10.7109375" style="94" customWidth="1"/>
    <col min="8717" max="8719" width="10.7109375" style="94" bestFit="1" customWidth="1"/>
    <col min="8720" max="8721" width="10.7109375" style="94" customWidth="1"/>
    <col min="8722" max="8723" width="10.7109375" style="94" bestFit="1" customWidth="1"/>
    <col min="8724" max="8960" width="9.140625" style="94"/>
    <col min="8961" max="8961" width="14.140625" style="94" customWidth="1"/>
    <col min="8962" max="8962" width="66.28515625" style="94" bestFit="1" customWidth="1"/>
    <col min="8963" max="8963" width="10" style="94" bestFit="1" customWidth="1"/>
    <col min="8964" max="8965" width="8.5703125" style="94" bestFit="1" customWidth="1"/>
    <col min="8966" max="8966" width="17.42578125" style="94" bestFit="1" customWidth="1"/>
    <col min="8967" max="8967" width="17.28515625" style="94" bestFit="1" customWidth="1"/>
    <col min="8968" max="8969" width="10.7109375" style="94" customWidth="1"/>
    <col min="8970" max="8971" width="10.7109375" style="94" bestFit="1" customWidth="1"/>
    <col min="8972" max="8972" width="10.7109375" style="94" customWidth="1"/>
    <col min="8973" max="8975" width="10.7109375" style="94" bestFit="1" customWidth="1"/>
    <col min="8976" max="8977" width="10.7109375" style="94" customWidth="1"/>
    <col min="8978" max="8979" width="10.7109375" style="94" bestFit="1" customWidth="1"/>
    <col min="8980" max="9216" width="9.140625" style="94"/>
    <col min="9217" max="9217" width="14.140625" style="94" customWidth="1"/>
    <col min="9218" max="9218" width="66.28515625" style="94" bestFit="1" customWidth="1"/>
    <col min="9219" max="9219" width="10" style="94" bestFit="1" customWidth="1"/>
    <col min="9220" max="9221" width="8.5703125" style="94" bestFit="1" customWidth="1"/>
    <col min="9222" max="9222" width="17.42578125" style="94" bestFit="1" customWidth="1"/>
    <col min="9223" max="9223" width="17.28515625" style="94" bestFit="1" customWidth="1"/>
    <col min="9224" max="9225" width="10.7109375" style="94" customWidth="1"/>
    <col min="9226" max="9227" width="10.7109375" style="94" bestFit="1" customWidth="1"/>
    <col min="9228" max="9228" width="10.7109375" style="94" customWidth="1"/>
    <col min="9229" max="9231" width="10.7109375" style="94" bestFit="1" customWidth="1"/>
    <col min="9232" max="9233" width="10.7109375" style="94" customWidth="1"/>
    <col min="9234" max="9235" width="10.7109375" style="94" bestFit="1" customWidth="1"/>
    <col min="9236" max="9472" width="9.140625" style="94"/>
    <col min="9473" max="9473" width="14.140625" style="94" customWidth="1"/>
    <col min="9474" max="9474" width="66.28515625" style="94" bestFit="1" customWidth="1"/>
    <col min="9475" max="9475" width="10" style="94" bestFit="1" customWidth="1"/>
    <col min="9476" max="9477" width="8.5703125" style="94" bestFit="1" customWidth="1"/>
    <col min="9478" max="9478" width="17.42578125" style="94" bestFit="1" customWidth="1"/>
    <col min="9479" max="9479" width="17.28515625" style="94" bestFit="1" customWidth="1"/>
    <col min="9480" max="9481" width="10.7109375" style="94" customWidth="1"/>
    <col min="9482" max="9483" width="10.7109375" style="94" bestFit="1" customWidth="1"/>
    <col min="9484" max="9484" width="10.7109375" style="94" customWidth="1"/>
    <col min="9485" max="9487" width="10.7109375" style="94" bestFit="1" customWidth="1"/>
    <col min="9488" max="9489" width="10.7109375" style="94" customWidth="1"/>
    <col min="9490" max="9491" width="10.7109375" style="94" bestFit="1" customWidth="1"/>
    <col min="9492" max="9728" width="9.140625" style="94"/>
    <col min="9729" max="9729" width="14.140625" style="94" customWidth="1"/>
    <col min="9730" max="9730" width="66.28515625" style="94" bestFit="1" customWidth="1"/>
    <col min="9731" max="9731" width="10" style="94" bestFit="1" customWidth="1"/>
    <col min="9732" max="9733" width="8.5703125" style="94" bestFit="1" customWidth="1"/>
    <col min="9734" max="9734" width="17.42578125" style="94" bestFit="1" customWidth="1"/>
    <col min="9735" max="9735" width="17.28515625" style="94" bestFit="1" customWidth="1"/>
    <col min="9736" max="9737" width="10.7109375" style="94" customWidth="1"/>
    <col min="9738" max="9739" width="10.7109375" style="94" bestFit="1" customWidth="1"/>
    <col min="9740" max="9740" width="10.7109375" style="94" customWidth="1"/>
    <col min="9741" max="9743" width="10.7109375" style="94" bestFit="1" customWidth="1"/>
    <col min="9744" max="9745" width="10.7109375" style="94" customWidth="1"/>
    <col min="9746" max="9747" width="10.7109375" style="94" bestFit="1" customWidth="1"/>
    <col min="9748" max="9984" width="9.140625" style="94"/>
    <col min="9985" max="9985" width="14.140625" style="94" customWidth="1"/>
    <col min="9986" max="9986" width="66.28515625" style="94" bestFit="1" customWidth="1"/>
    <col min="9987" max="9987" width="10" style="94" bestFit="1" customWidth="1"/>
    <col min="9988" max="9989" width="8.5703125" style="94" bestFit="1" customWidth="1"/>
    <col min="9990" max="9990" width="17.42578125" style="94" bestFit="1" customWidth="1"/>
    <col min="9991" max="9991" width="17.28515625" style="94" bestFit="1" customWidth="1"/>
    <col min="9992" max="9993" width="10.7109375" style="94" customWidth="1"/>
    <col min="9994" max="9995" width="10.7109375" style="94" bestFit="1" customWidth="1"/>
    <col min="9996" max="9996" width="10.7109375" style="94" customWidth="1"/>
    <col min="9997" max="9999" width="10.7109375" style="94" bestFit="1" customWidth="1"/>
    <col min="10000" max="10001" width="10.7109375" style="94" customWidth="1"/>
    <col min="10002" max="10003" width="10.7109375" style="94" bestFit="1" customWidth="1"/>
    <col min="10004" max="10240" width="9.140625" style="94"/>
    <col min="10241" max="10241" width="14.140625" style="94" customWidth="1"/>
    <col min="10242" max="10242" width="66.28515625" style="94" bestFit="1" customWidth="1"/>
    <col min="10243" max="10243" width="10" style="94" bestFit="1" customWidth="1"/>
    <col min="10244" max="10245" width="8.5703125" style="94" bestFit="1" customWidth="1"/>
    <col min="10246" max="10246" width="17.42578125" style="94" bestFit="1" customWidth="1"/>
    <col min="10247" max="10247" width="17.28515625" style="94" bestFit="1" customWidth="1"/>
    <col min="10248" max="10249" width="10.7109375" style="94" customWidth="1"/>
    <col min="10250" max="10251" width="10.7109375" style="94" bestFit="1" customWidth="1"/>
    <col min="10252" max="10252" width="10.7109375" style="94" customWidth="1"/>
    <col min="10253" max="10255" width="10.7109375" style="94" bestFit="1" customWidth="1"/>
    <col min="10256" max="10257" width="10.7109375" style="94" customWidth="1"/>
    <col min="10258" max="10259" width="10.7109375" style="94" bestFit="1" customWidth="1"/>
    <col min="10260" max="10496" width="9.140625" style="94"/>
    <col min="10497" max="10497" width="14.140625" style="94" customWidth="1"/>
    <col min="10498" max="10498" width="66.28515625" style="94" bestFit="1" customWidth="1"/>
    <col min="10499" max="10499" width="10" style="94" bestFit="1" customWidth="1"/>
    <col min="10500" max="10501" width="8.5703125" style="94" bestFit="1" customWidth="1"/>
    <col min="10502" max="10502" width="17.42578125" style="94" bestFit="1" customWidth="1"/>
    <col min="10503" max="10503" width="17.28515625" style="94" bestFit="1" customWidth="1"/>
    <col min="10504" max="10505" width="10.7109375" style="94" customWidth="1"/>
    <col min="10506" max="10507" width="10.7109375" style="94" bestFit="1" customWidth="1"/>
    <col min="10508" max="10508" width="10.7109375" style="94" customWidth="1"/>
    <col min="10509" max="10511" width="10.7109375" style="94" bestFit="1" customWidth="1"/>
    <col min="10512" max="10513" width="10.7109375" style="94" customWidth="1"/>
    <col min="10514" max="10515" width="10.7109375" style="94" bestFit="1" customWidth="1"/>
    <col min="10516" max="10752" width="9.140625" style="94"/>
    <col min="10753" max="10753" width="14.140625" style="94" customWidth="1"/>
    <col min="10754" max="10754" width="66.28515625" style="94" bestFit="1" customWidth="1"/>
    <col min="10755" max="10755" width="10" style="94" bestFit="1" customWidth="1"/>
    <col min="10756" max="10757" width="8.5703125" style="94" bestFit="1" customWidth="1"/>
    <col min="10758" max="10758" width="17.42578125" style="94" bestFit="1" customWidth="1"/>
    <col min="10759" max="10759" width="17.28515625" style="94" bestFit="1" customWidth="1"/>
    <col min="10760" max="10761" width="10.7109375" style="94" customWidth="1"/>
    <col min="10762" max="10763" width="10.7109375" style="94" bestFit="1" customWidth="1"/>
    <col min="10764" max="10764" width="10.7109375" style="94" customWidth="1"/>
    <col min="10765" max="10767" width="10.7109375" style="94" bestFit="1" customWidth="1"/>
    <col min="10768" max="10769" width="10.7109375" style="94" customWidth="1"/>
    <col min="10770" max="10771" width="10.7109375" style="94" bestFit="1" customWidth="1"/>
    <col min="10772" max="11008" width="9.140625" style="94"/>
    <col min="11009" max="11009" width="14.140625" style="94" customWidth="1"/>
    <col min="11010" max="11010" width="66.28515625" style="94" bestFit="1" customWidth="1"/>
    <col min="11011" max="11011" width="10" style="94" bestFit="1" customWidth="1"/>
    <col min="11012" max="11013" width="8.5703125" style="94" bestFit="1" customWidth="1"/>
    <col min="11014" max="11014" width="17.42578125" style="94" bestFit="1" customWidth="1"/>
    <col min="11015" max="11015" width="17.28515625" style="94" bestFit="1" customWidth="1"/>
    <col min="11016" max="11017" width="10.7109375" style="94" customWidth="1"/>
    <col min="11018" max="11019" width="10.7109375" style="94" bestFit="1" customWidth="1"/>
    <col min="11020" max="11020" width="10.7109375" style="94" customWidth="1"/>
    <col min="11021" max="11023" width="10.7109375" style="94" bestFit="1" customWidth="1"/>
    <col min="11024" max="11025" width="10.7109375" style="94" customWidth="1"/>
    <col min="11026" max="11027" width="10.7109375" style="94" bestFit="1" customWidth="1"/>
    <col min="11028" max="11264" width="9.140625" style="94"/>
    <col min="11265" max="11265" width="14.140625" style="94" customWidth="1"/>
    <col min="11266" max="11266" width="66.28515625" style="94" bestFit="1" customWidth="1"/>
    <col min="11267" max="11267" width="10" style="94" bestFit="1" customWidth="1"/>
    <col min="11268" max="11269" width="8.5703125" style="94" bestFit="1" customWidth="1"/>
    <col min="11270" max="11270" width="17.42578125" style="94" bestFit="1" customWidth="1"/>
    <col min="11271" max="11271" width="17.28515625" style="94" bestFit="1" customWidth="1"/>
    <col min="11272" max="11273" width="10.7109375" style="94" customWidth="1"/>
    <col min="11274" max="11275" width="10.7109375" style="94" bestFit="1" customWidth="1"/>
    <col min="11276" max="11276" width="10.7109375" style="94" customWidth="1"/>
    <col min="11277" max="11279" width="10.7109375" style="94" bestFit="1" customWidth="1"/>
    <col min="11280" max="11281" width="10.7109375" style="94" customWidth="1"/>
    <col min="11282" max="11283" width="10.7109375" style="94" bestFit="1" customWidth="1"/>
    <col min="11284" max="11520" width="9.140625" style="94"/>
    <col min="11521" max="11521" width="14.140625" style="94" customWidth="1"/>
    <col min="11522" max="11522" width="66.28515625" style="94" bestFit="1" customWidth="1"/>
    <col min="11523" max="11523" width="10" style="94" bestFit="1" customWidth="1"/>
    <col min="11524" max="11525" width="8.5703125" style="94" bestFit="1" customWidth="1"/>
    <col min="11526" max="11526" width="17.42578125" style="94" bestFit="1" customWidth="1"/>
    <col min="11527" max="11527" width="17.28515625" style="94" bestFit="1" customWidth="1"/>
    <col min="11528" max="11529" width="10.7109375" style="94" customWidth="1"/>
    <col min="11530" max="11531" width="10.7109375" style="94" bestFit="1" customWidth="1"/>
    <col min="11532" max="11532" width="10.7109375" style="94" customWidth="1"/>
    <col min="11533" max="11535" width="10.7109375" style="94" bestFit="1" customWidth="1"/>
    <col min="11536" max="11537" width="10.7109375" style="94" customWidth="1"/>
    <col min="11538" max="11539" width="10.7109375" style="94" bestFit="1" customWidth="1"/>
    <col min="11540" max="11776" width="9.140625" style="94"/>
    <col min="11777" max="11777" width="14.140625" style="94" customWidth="1"/>
    <col min="11778" max="11778" width="66.28515625" style="94" bestFit="1" customWidth="1"/>
    <col min="11779" max="11779" width="10" style="94" bestFit="1" customWidth="1"/>
    <col min="11780" max="11781" width="8.5703125" style="94" bestFit="1" customWidth="1"/>
    <col min="11782" max="11782" width="17.42578125" style="94" bestFit="1" customWidth="1"/>
    <col min="11783" max="11783" width="17.28515625" style="94" bestFit="1" customWidth="1"/>
    <col min="11784" max="11785" width="10.7109375" style="94" customWidth="1"/>
    <col min="11786" max="11787" width="10.7109375" style="94" bestFit="1" customWidth="1"/>
    <col min="11788" max="11788" width="10.7109375" style="94" customWidth="1"/>
    <col min="11789" max="11791" width="10.7109375" style="94" bestFit="1" customWidth="1"/>
    <col min="11792" max="11793" width="10.7109375" style="94" customWidth="1"/>
    <col min="11794" max="11795" width="10.7109375" style="94" bestFit="1" customWidth="1"/>
    <col min="11796" max="12032" width="9.140625" style="94"/>
    <col min="12033" max="12033" width="14.140625" style="94" customWidth="1"/>
    <col min="12034" max="12034" width="66.28515625" style="94" bestFit="1" customWidth="1"/>
    <col min="12035" max="12035" width="10" style="94" bestFit="1" customWidth="1"/>
    <col min="12036" max="12037" width="8.5703125" style="94" bestFit="1" customWidth="1"/>
    <col min="12038" max="12038" width="17.42578125" style="94" bestFit="1" customWidth="1"/>
    <col min="12039" max="12039" width="17.28515625" style="94" bestFit="1" customWidth="1"/>
    <col min="12040" max="12041" width="10.7109375" style="94" customWidth="1"/>
    <col min="12042" max="12043" width="10.7109375" style="94" bestFit="1" customWidth="1"/>
    <col min="12044" max="12044" width="10.7109375" style="94" customWidth="1"/>
    <col min="12045" max="12047" width="10.7109375" style="94" bestFit="1" customWidth="1"/>
    <col min="12048" max="12049" width="10.7109375" style="94" customWidth="1"/>
    <col min="12050" max="12051" width="10.7109375" style="94" bestFit="1" customWidth="1"/>
    <col min="12052" max="12288" width="9.140625" style="94"/>
    <col min="12289" max="12289" width="14.140625" style="94" customWidth="1"/>
    <col min="12290" max="12290" width="66.28515625" style="94" bestFit="1" customWidth="1"/>
    <col min="12291" max="12291" width="10" style="94" bestFit="1" customWidth="1"/>
    <col min="12292" max="12293" width="8.5703125" style="94" bestFit="1" customWidth="1"/>
    <col min="12294" max="12294" width="17.42578125" style="94" bestFit="1" customWidth="1"/>
    <col min="12295" max="12295" width="17.28515625" style="94" bestFit="1" customWidth="1"/>
    <col min="12296" max="12297" width="10.7109375" style="94" customWidth="1"/>
    <col min="12298" max="12299" width="10.7109375" style="94" bestFit="1" customWidth="1"/>
    <col min="12300" max="12300" width="10.7109375" style="94" customWidth="1"/>
    <col min="12301" max="12303" width="10.7109375" style="94" bestFit="1" customWidth="1"/>
    <col min="12304" max="12305" width="10.7109375" style="94" customWidth="1"/>
    <col min="12306" max="12307" width="10.7109375" style="94" bestFit="1" customWidth="1"/>
    <col min="12308" max="12544" width="9.140625" style="94"/>
    <col min="12545" max="12545" width="14.140625" style="94" customWidth="1"/>
    <col min="12546" max="12546" width="66.28515625" style="94" bestFit="1" customWidth="1"/>
    <col min="12547" max="12547" width="10" style="94" bestFit="1" customWidth="1"/>
    <col min="12548" max="12549" width="8.5703125" style="94" bestFit="1" customWidth="1"/>
    <col min="12550" max="12550" width="17.42578125" style="94" bestFit="1" customWidth="1"/>
    <col min="12551" max="12551" width="17.28515625" style="94" bestFit="1" customWidth="1"/>
    <col min="12552" max="12553" width="10.7109375" style="94" customWidth="1"/>
    <col min="12554" max="12555" width="10.7109375" style="94" bestFit="1" customWidth="1"/>
    <col min="12556" max="12556" width="10.7109375" style="94" customWidth="1"/>
    <col min="12557" max="12559" width="10.7109375" style="94" bestFit="1" customWidth="1"/>
    <col min="12560" max="12561" width="10.7109375" style="94" customWidth="1"/>
    <col min="12562" max="12563" width="10.7109375" style="94" bestFit="1" customWidth="1"/>
    <col min="12564" max="12800" width="9.140625" style="94"/>
    <col min="12801" max="12801" width="14.140625" style="94" customWidth="1"/>
    <col min="12802" max="12802" width="66.28515625" style="94" bestFit="1" customWidth="1"/>
    <col min="12803" max="12803" width="10" style="94" bestFit="1" customWidth="1"/>
    <col min="12804" max="12805" width="8.5703125" style="94" bestFit="1" customWidth="1"/>
    <col min="12806" max="12806" width="17.42578125" style="94" bestFit="1" customWidth="1"/>
    <col min="12807" max="12807" width="17.28515625" style="94" bestFit="1" customWidth="1"/>
    <col min="12808" max="12809" width="10.7109375" style="94" customWidth="1"/>
    <col min="12810" max="12811" width="10.7109375" style="94" bestFit="1" customWidth="1"/>
    <col min="12812" max="12812" width="10.7109375" style="94" customWidth="1"/>
    <col min="12813" max="12815" width="10.7109375" style="94" bestFit="1" customWidth="1"/>
    <col min="12816" max="12817" width="10.7109375" style="94" customWidth="1"/>
    <col min="12818" max="12819" width="10.7109375" style="94" bestFit="1" customWidth="1"/>
    <col min="12820" max="13056" width="9.140625" style="94"/>
    <col min="13057" max="13057" width="14.140625" style="94" customWidth="1"/>
    <col min="13058" max="13058" width="66.28515625" style="94" bestFit="1" customWidth="1"/>
    <col min="13059" max="13059" width="10" style="94" bestFit="1" customWidth="1"/>
    <col min="13060" max="13061" width="8.5703125" style="94" bestFit="1" customWidth="1"/>
    <col min="13062" max="13062" width="17.42578125" style="94" bestFit="1" customWidth="1"/>
    <col min="13063" max="13063" width="17.28515625" style="94" bestFit="1" customWidth="1"/>
    <col min="13064" max="13065" width="10.7109375" style="94" customWidth="1"/>
    <col min="13066" max="13067" width="10.7109375" style="94" bestFit="1" customWidth="1"/>
    <col min="13068" max="13068" width="10.7109375" style="94" customWidth="1"/>
    <col min="13069" max="13071" width="10.7109375" style="94" bestFit="1" customWidth="1"/>
    <col min="13072" max="13073" width="10.7109375" style="94" customWidth="1"/>
    <col min="13074" max="13075" width="10.7109375" style="94" bestFit="1" customWidth="1"/>
    <col min="13076" max="13312" width="9.140625" style="94"/>
    <col min="13313" max="13313" width="14.140625" style="94" customWidth="1"/>
    <col min="13314" max="13314" width="66.28515625" style="94" bestFit="1" customWidth="1"/>
    <col min="13315" max="13315" width="10" style="94" bestFit="1" customWidth="1"/>
    <col min="13316" max="13317" width="8.5703125" style="94" bestFit="1" customWidth="1"/>
    <col min="13318" max="13318" width="17.42578125" style="94" bestFit="1" customWidth="1"/>
    <col min="13319" max="13319" width="17.28515625" style="94" bestFit="1" customWidth="1"/>
    <col min="13320" max="13321" width="10.7109375" style="94" customWidth="1"/>
    <col min="13322" max="13323" width="10.7109375" style="94" bestFit="1" customWidth="1"/>
    <col min="13324" max="13324" width="10.7109375" style="94" customWidth="1"/>
    <col min="13325" max="13327" width="10.7109375" style="94" bestFit="1" customWidth="1"/>
    <col min="13328" max="13329" width="10.7109375" style="94" customWidth="1"/>
    <col min="13330" max="13331" width="10.7109375" style="94" bestFit="1" customWidth="1"/>
    <col min="13332" max="13568" width="9.140625" style="94"/>
    <col min="13569" max="13569" width="14.140625" style="94" customWidth="1"/>
    <col min="13570" max="13570" width="66.28515625" style="94" bestFit="1" customWidth="1"/>
    <col min="13571" max="13571" width="10" style="94" bestFit="1" customWidth="1"/>
    <col min="13572" max="13573" width="8.5703125" style="94" bestFit="1" customWidth="1"/>
    <col min="13574" max="13574" width="17.42578125" style="94" bestFit="1" customWidth="1"/>
    <col min="13575" max="13575" width="17.28515625" style="94" bestFit="1" customWidth="1"/>
    <col min="13576" max="13577" width="10.7109375" style="94" customWidth="1"/>
    <col min="13578" max="13579" width="10.7109375" style="94" bestFit="1" customWidth="1"/>
    <col min="13580" max="13580" width="10.7109375" style="94" customWidth="1"/>
    <col min="13581" max="13583" width="10.7109375" style="94" bestFit="1" customWidth="1"/>
    <col min="13584" max="13585" width="10.7109375" style="94" customWidth="1"/>
    <col min="13586" max="13587" width="10.7109375" style="94" bestFit="1" customWidth="1"/>
    <col min="13588" max="13824" width="9.140625" style="94"/>
    <col min="13825" max="13825" width="14.140625" style="94" customWidth="1"/>
    <col min="13826" max="13826" width="66.28515625" style="94" bestFit="1" customWidth="1"/>
    <col min="13827" max="13827" width="10" style="94" bestFit="1" customWidth="1"/>
    <col min="13828" max="13829" width="8.5703125" style="94" bestFit="1" customWidth="1"/>
    <col min="13830" max="13830" width="17.42578125" style="94" bestFit="1" customWidth="1"/>
    <col min="13831" max="13831" width="17.28515625" style="94" bestFit="1" customWidth="1"/>
    <col min="13832" max="13833" width="10.7109375" style="94" customWidth="1"/>
    <col min="13834" max="13835" width="10.7109375" style="94" bestFit="1" customWidth="1"/>
    <col min="13836" max="13836" width="10.7109375" style="94" customWidth="1"/>
    <col min="13837" max="13839" width="10.7109375" style="94" bestFit="1" customWidth="1"/>
    <col min="13840" max="13841" width="10.7109375" style="94" customWidth="1"/>
    <col min="13842" max="13843" width="10.7109375" style="94" bestFit="1" customWidth="1"/>
    <col min="13844" max="14080" width="9.140625" style="94"/>
    <col min="14081" max="14081" width="14.140625" style="94" customWidth="1"/>
    <col min="14082" max="14082" width="66.28515625" style="94" bestFit="1" customWidth="1"/>
    <col min="14083" max="14083" width="10" style="94" bestFit="1" customWidth="1"/>
    <col min="14084" max="14085" width="8.5703125" style="94" bestFit="1" customWidth="1"/>
    <col min="14086" max="14086" width="17.42578125" style="94" bestFit="1" customWidth="1"/>
    <col min="14087" max="14087" width="17.28515625" style="94" bestFit="1" customWidth="1"/>
    <col min="14088" max="14089" width="10.7109375" style="94" customWidth="1"/>
    <col min="14090" max="14091" width="10.7109375" style="94" bestFit="1" customWidth="1"/>
    <col min="14092" max="14092" width="10.7109375" style="94" customWidth="1"/>
    <col min="14093" max="14095" width="10.7109375" style="94" bestFit="1" customWidth="1"/>
    <col min="14096" max="14097" width="10.7109375" style="94" customWidth="1"/>
    <col min="14098" max="14099" width="10.7109375" style="94" bestFit="1" customWidth="1"/>
    <col min="14100" max="14336" width="9.140625" style="94"/>
    <col min="14337" max="14337" width="14.140625" style="94" customWidth="1"/>
    <col min="14338" max="14338" width="66.28515625" style="94" bestFit="1" customWidth="1"/>
    <col min="14339" max="14339" width="10" style="94" bestFit="1" customWidth="1"/>
    <col min="14340" max="14341" width="8.5703125" style="94" bestFit="1" customWidth="1"/>
    <col min="14342" max="14342" width="17.42578125" style="94" bestFit="1" customWidth="1"/>
    <col min="14343" max="14343" width="17.28515625" style="94" bestFit="1" customWidth="1"/>
    <col min="14344" max="14345" width="10.7109375" style="94" customWidth="1"/>
    <col min="14346" max="14347" width="10.7109375" style="94" bestFit="1" customWidth="1"/>
    <col min="14348" max="14348" width="10.7109375" style="94" customWidth="1"/>
    <col min="14349" max="14351" width="10.7109375" style="94" bestFit="1" customWidth="1"/>
    <col min="14352" max="14353" width="10.7109375" style="94" customWidth="1"/>
    <col min="14354" max="14355" width="10.7109375" style="94" bestFit="1" customWidth="1"/>
    <col min="14356" max="14592" width="9.140625" style="94"/>
    <col min="14593" max="14593" width="14.140625" style="94" customWidth="1"/>
    <col min="14594" max="14594" width="66.28515625" style="94" bestFit="1" customWidth="1"/>
    <col min="14595" max="14595" width="10" style="94" bestFit="1" customWidth="1"/>
    <col min="14596" max="14597" width="8.5703125" style="94" bestFit="1" customWidth="1"/>
    <col min="14598" max="14598" width="17.42578125" style="94" bestFit="1" customWidth="1"/>
    <col min="14599" max="14599" width="17.28515625" style="94" bestFit="1" customWidth="1"/>
    <col min="14600" max="14601" width="10.7109375" style="94" customWidth="1"/>
    <col min="14602" max="14603" width="10.7109375" style="94" bestFit="1" customWidth="1"/>
    <col min="14604" max="14604" width="10.7109375" style="94" customWidth="1"/>
    <col min="14605" max="14607" width="10.7109375" style="94" bestFit="1" customWidth="1"/>
    <col min="14608" max="14609" width="10.7109375" style="94" customWidth="1"/>
    <col min="14610" max="14611" width="10.7109375" style="94" bestFit="1" customWidth="1"/>
    <col min="14612" max="14848" width="9.140625" style="94"/>
    <col min="14849" max="14849" width="14.140625" style="94" customWidth="1"/>
    <col min="14850" max="14850" width="66.28515625" style="94" bestFit="1" customWidth="1"/>
    <col min="14851" max="14851" width="10" style="94" bestFit="1" customWidth="1"/>
    <col min="14852" max="14853" width="8.5703125" style="94" bestFit="1" customWidth="1"/>
    <col min="14854" max="14854" width="17.42578125" style="94" bestFit="1" customWidth="1"/>
    <col min="14855" max="14855" width="17.28515625" style="94" bestFit="1" customWidth="1"/>
    <col min="14856" max="14857" width="10.7109375" style="94" customWidth="1"/>
    <col min="14858" max="14859" width="10.7109375" style="94" bestFit="1" customWidth="1"/>
    <col min="14860" max="14860" width="10.7109375" style="94" customWidth="1"/>
    <col min="14861" max="14863" width="10.7109375" style="94" bestFit="1" customWidth="1"/>
    <col min="14864" max="14865" width="10.7109375" style="94" customWidth="1"/>
    <col min="14866" max="14867" width="10.7109375" style="94" bestFit="1" customWidth="1"/>
    <col min="14868" max="15104" width="9.140625" style="94"/>
    <col min="15105" max="15105" width="14.140625" style="94" customWidth="1"/>
    <col min="15106" max="15106" width="66.28515625" style="94" bestFit="1" customWidth="1"/>
    <col min="15107" max="15107" width="10" style="94" bestFit="1" customWidth="1"/>
    <col min="15108" max="15109" width="8.5703125" style="94" bestFit="1" customWidth="1"/>
    <col min="15110" max="15110" width="17.42578125" style="94" bestFit="1" customWidth="1"/>
    <col min="15111" max="15111" width="17.28515625" style="94" bestFit="1" customWidth="1"/>
    <col min="15112" max="15113" width="10.7109375" style="94" customWidth="1"/>
    <col min="15114" max="15115" width="10.7109375" style="94" bestFit="1" customWidth="1"/>
    <col min="15116" max="15116" width="10.7109375" style="94" customWidth="1"/>
    <col min="15117" max="15119" width="10.7109375" style="94" bestFit="1" customWidth="1"/>
    <col min="15120" max="15121" width="10.7109375" style="94" customWidth="1"/>
    <col min="15122" max="15123" width="10.7109375" style="94" bestFit="1" customWidth="1"/>
    <col min="15124" max="15360" width="9.140625" style="94"/>
    <col min="15361" max="15361" width="14.140625" style="94" customWidth="1"/>
    <col min="15362" max="15362" width="66.28515625" style="94" bestFit="1" customWidth="1"/>
    <col min="15363" max="15363" width="10" style="94" bestFit="1" customWidth="1"/>
    <col min="15364" max="15365" width="8.5703125" style="94" bestFit="1" customWidth="1"/>
    <col min="15366" max="15366" width="17.42578125" style="94" bestFit="1" customWidth="1"/>
    <col min="15367" max="15367" width="17.28515625" style="94" bestFit="1" customWidth="1"/>
    <col min="15368" max="15369" width="10.7109375" style="94" customWidth="1"/>
    <col min="15370" max="15371" width="10.7109375" style="94" bestFit="1" customWidth="1"/>
    <col min="15372" max="15372" width="10.7109375" style="94" customWidth="1"/>
    <col min="15373" max="15375" width="10.7109375" style="94" bestFit="1" customWidth="1"/>
    <col min="15376" max="15377" width="10.7109375" style="94" customWidth="1"/>
    <col min="15378" max="15379" width="10.7109375" style="94" bestFit="1" customWidth="1"/>
    <col min="15380" max="15616" width="9.140625" style="94"/>
    <col min="15617" max="15617" width="14.140625" style="94" customWidth="1"/>
    <col min="15618" max="15618" width="66.28515625" style="94" bestFit="1" customWidth="1"/>
    <col min="15619" max="15619" width="10" style="94" bestFit="1" customWidth="1"/>
    <col min="15620" max="15621" width="8.5703125" style="94" bestFit="1" customWidth="1"/>
    <col min="15622" max="15622" width="17.42578125" style="94" bestFit="1" customWidth="1"/>
    <col min="15623" max="15623" width="17.28515625" style="94" bestFit="1" customWidth="1"/>
    <col min="15624" max="15625" width="10.7109375" style="94" customWidth="1"/>
    <col min="15626" max="15627" width="10.7109375" style="94" bestFit="1" customWidth="1"/>
    <col min="15628" max="15628" width="10.7109375" style="94" customWidth="1"/>
    <col min="15629" max="15631" width="10.7109375" style="94" bestFit="1" customWidth="1"/>
    <col min="15632" max="15633" width="10.7109375" style="94" customWidth="1"/>
    <col min="15634" max="15635" width="10.7109375" style="94" bestFit="1" customWidth="1"/>
    <col min="15636" max="15872" width="9.140625" style="94"/>
    <col min="15873" max="15873" width="14.140625" style="94" customWidth="1"/>
    <col min="15874" max="15874" width="66.28515625" style="94" bestFit="1" customWidth="1"/>
    <col min="15875" max="15875" width="10" style="94" bestFit="1" customWidth="1"/>
    <col min="15876" max="15877" width="8.5703125" style="94" bestFit="1" customWidth="1"/>
    <col min="15878" max="15878" width="17.42578125" style="94" bestFit="1" customWidth="1"/>
    <col min="15879" max="15879" width="17.28515625" style="94" bestFit="1" customWidth="1"/>
    <col min="15880" max="15881" width="10.7109375" style="94" customWidth="1"/>
    <col min="15882" max="15883" width="10.7109375" style="94" bestFit="1" customWidth="1"/>
    <col min="15884" max="15884" width="10.7109375" style="94" customWidth="1"/>
    <col min="15885" max="15887" width="10.7109375" style="94" bestFit="1" customWidth="1"/>
    <col min="15888" max="15889" width="10.7109375" style="94" customWidth="1"/>
    <col min="15890" max="15891" width="10.7109375" style="94" bestFit="1" customWidth="1"/>
    <col min="15892" max="16128" width="9.140625" style="94"/>
    <col min="16129" max="16129" width="14.140625" style="94" customWidth="1"/>
    <col min="16130" max="16130" width="66.28515625" style="94" bestFit="1" customWidth="1"/>
    <col min="16131" max="16131" width="10" style="94" bestFit="1" customWidth="1"/>
    <col min="16132" max="16133" width="8.5703125" style="94" bestFit="1" customWidth="1"/>
    <col min="16134" max="16134" width="17.42578125" style="94" bestFit="1" customWidth="1"/>
    <col min="16135" max="16135" width="17.28515625" style="94" bestFit="1" customWidth="1"/>
    <col min="16136" max="16137" width="10.7109375" style="94" customWidth="1"/>
    <col min="16138" max="16139" width="10.7109375" style="94" bestFit="1" customWidth="1"/>
    <col min="16140" max="16140" width="10.7109375" style="94" customWidth="1"/>
    <col min="16141" max="16143" width="10.7109375" style="94" bestFit="1" customWidth="1"/>
    <col min="16144" max="16145" width="10.7109375" style="94" customWidth="1"/>
    <col min="16146" max="16147" width="10.7109375" style="94" bestFit="1" customWidth="1"/>
    <col min="16148" max="16384" width="9.140625" style="94"/>
  </cols>
  <sheetData>
    <row r="1" spans="1:33" s="217" customFormat="1" ht="24.95" customHeight="1">
      <c r="B1" s="2272" t="str">
        <f>IF(dms_DataQuality="backcast",INDEX(dms_Worksheet_List,MATCH(dms_Model,dms_Model_List))&amp;" BACKCAST",INDEX(dms_Worksheet_List,MATCH(dms_Model,dms_Model_List)))</f>
        <v>REGULATORY REPORTING STATEMENT</v>
      </c>
      <c r="C1" s="518"/>
      <c r="D1" s="518"/>
      <c r="E1" s="518"/>
      <c r="F1" s="518"/>
      <c r="G1" s="518"/>
      <c r="H1" s="518"/>
      <c r="I1" s="518"/>
      <c r="J1" s="518"/>
      <c r="K1" s="518"/>
      <c r="L1" s="518"/>
      <c r="M1" s="518"/>
      <c r="N1" s="518"/>
      <c r="O1" s="518"/>
      <c r="P1" s="518"/>
      <c r="Q1" s="518"/>
      <c r="R1" s="518"/>
      <c r="S1" s="518"/>
      <c r="T1" s="518"/>
      <c r="U1" s="518"/>
      <c r="V1" s="518"/>
      <c r="W1" s="518"/>
      <c r="X1" s="518"/>
      <c r="Y1" s="518"/>
      <c r="Z1" s="518"/>
      <c r="AA1" s="518"/>
      <c r="AB1" s="518"/>
      <c r="AC1" s="518"/>
      <c r="AD1" s="518"/>
      <c r="AE1" s="518"/>
      <c r="AF1" s="518"/>
      <c r="AG1" s="518"/>
    </row>
    <row r="2" spans="1:33" s="217" customFormat="1" ht="24.95" customHeight="1">
      <c r="B2" s="2277" t="str">
        <f>INDEX(dms_TradingNameFull_List,MATCH(dms_TradingName,dms_TradingName_List))</f>
        <v>Multinet Gas (DB No.1) Pty Ltd (ACN 086 026 986), Multinet Gas (DB No.2) Pty Ltd (ACN 086 230 122)</v>
      </c>
      <c r="C2" s="220"/>
      <c r="D2" s="220"/>
      <c r="E2" s="220"/>
      <c r="F2" s="220"/>
      <c r="G2" s="220"/>
      <c r="H2" s="220"/>
      <c r="I2" s="220"/>
      <c r="J2" s="220"/>
      <c r="K2" s="220"/>
      <c r="L2" s="220"/>
      <c r="M2" s="220"/>
      <c r="N2" s="220"/>
      <c r="O2" s="220"/>
      <c r="P2" s="220"/>
      <c r="Q2" s="220"/>
      <c r="R2" s="220"/>
      <c r="S2" s="220"/>
      <c r="T2" s="220"/>
      <c r="U2" s="220"/>
      <c r="V2" s="220"/>
      <c r="W2" s="220"/>
      <c r="X2" s="220"/>
      <c r="Y2" s="220"/>
      <c r="Z2" s="220"/>
      <c r="AA2" s="220"/>
      <c r="AB2" s="1267"/>
      <c r="AC2" s="1267"/>
      <c r="AD2" s="1267"/>
      <c r="AE2" s="1267"/>
      <c r="AF2" s="1267"/>
      <c r="AG2" s="1267"/>
    </row>
    <row r="3" spans="1:33" s="217" customFormat="1" ht="24.95" customHeight="1">
      <c r="B3" s="2277" t="str">
        <f ca="1">IF(SUM(dms_SingleYear_Model)&gt;0,CRY,CONCATENATE(FRCP_y1," to ",dms_MultiYear_FinalYear_Result))</f>
        <v>2018 to 2022</v>
      </c>
      <c r="C3" s="221"/>
      <c r="D3" s="221"/>
      <c r="E3" s="221"/>
      <c r="F3" s="221"/>
      <c r="G3" s="221"/>
      <c r="H3" s="221"/>
      <c r="I3" s="221"/>
      <c r="J3" s="221"/>
      <c r="K3" s="221"/>
      <c r="L3" s="221"/>
      <c r="M3" s="221"/>
      <c r="N3" s="221"/>
      <c r="O3" s="221"/>
      <c r="P3" s="221"/>
      <c r="Q3" s="221"/>
      <c r="R3" s="221"/>
      <c r="S3" s="221"/>
      <c r="T3" s="221"/>
      <c r="U3" s="221"/>
      <c r="V3" s="221"/>
      <c r="W3" s="221"/>
      <c r="X3" s="221"/>
      <c r="Y3" s="221"/>
      <c r="Z3" s="221"/>
      <c r="AA3" s="221"/>
      <c r="AB3" s="1265"/>
      <c r="AC3" s="1265"/>
      <c r="AD3" s="1265"/>
      <c r="AE3" s="1265"/>
      <c r="AF3" s="1265"/>
      <c r="AG3" s="1265"/>
    </row>
    <row r="4" spans="1:33" s="159" customFormat="1" ht="24" customHeight="1">
      <c r="B4" s="10" t="s">
        <v>1466</v>
      </c>
      <c r="C4" s="12"/>
      <c r="D4" s="12"/>
      <c r="E4" s="12"/>
      <c r="F4" s="12"/>
      <c r="G4" s="12"/>
      <c r="H4" s="12"/>
      <c r="I4" s="12"/>
      <c r="J4" s="12"/>
      <c r="K4" s="12"/>
      <c r="L4" s="12"/>
      <c r="M4" s="12"/>
      <c r="N4" s="12"/>
      <c r="O4" s="12"/>
      <c r="P4" s="12"/>
      <c r="Q4" s="12"/>
      <c r="R4" s="12"/>
      <c r="S4" s="12"/>
      <c r="T4" s="12"/>
      <c r="U4" s="12"/>
      <c r="V4" s="12"/>
      <c r="W4" s="12"/>
      <c r="X4" s="12"/>
      <c r="Y4" s="12"/>
      <c r="Z4" s="12"/>
      <c r="AA4" s="12"/>
      <c r="AB4" s="12"/>
      <c r="AC4" s="12"/>
      <c r="AD4" s="12"/>
      <c r="AE4" s="12"/>
      <c r="AF4" s="12"/>
      <c r="AG4" s="12"/>
    </row>
    <row r="5" spans="1:33">
      <c r="A5" s="391"/>
      <c r="B5" s="725"/>
      <c r="C5" s="725"/>
      <c r="D5" s="725"/>
      <c r="E5" s="725"/>
      <c r="F5" s="725"/>
      <c r="G5" s="725"/>
      <c r="H5" s="725"/>
      <c r="I5" s="725"/>
      <c r="J5" s="725"/>
      <c r="K5" s="725"/>
      <c r="L5" s="725"/>
      <c r="M5" s="725"/>
      <c r="N5" s="725"/>
      <c r="O5" s="725"/>
      <c r="P5" s="725"/>
      <c r="Q5" s="725"/>
      <c r="R5" s="725"/>
      <c r="S5" s="725"/>
      <c r="T5" s="725"/>
      <c r="U5" s="725"/>
      <c r="V5" s="725"/>
      <c r="W5" s="725"/>
      <c r="X5" s="725"/>
      <c r="Y5" s="725"/>
      <c r="Z5" s="725"/>
      <c r="AA5" s="725"/>
      <c r="AE5" s="1268"/>
      <c r="AF5" s="1268"/>
      <c r="AG5" s="1268"/>
    </row>
    <row r="6" spans="1:33">
      <c r="A6" s="725"/>
      <c r="B6" s="725"/>
      <c r="C6" s="725"/>
      <c r="D6" s="725"/>
      <c r="E6" s="725"/>
      <c r="F6" s="725"/>
      <c r="G6" s="725"/>
      <c r="H6" s="725"/>
      <c r="I6" s="725"/>
      <c r="J6" s="725"/>
      <c r="K6" s="725"/>
      <c r="L6" s="725"/>
      <c r="M6" s="725"/>
      <c r="N6" s="725"/>
      <c r="O6" s="725"/>
      <c r="P6" s="725"/>
      <c r="Q6" s="725"/>
      <c r="R6" s="725"/>
      <c r="S6" s="725"/>
      <c r="T6" s="725"/>
      <c r="U6" s="725"/>
      <c r="V6" s="725"/>
      <c r="W6" s="725"/>
      <c r="X6" s="725"/>
      <c r="Y6" s="725"/>
      <c r="Z6" s="725"/>
      <c r="AA6" s="725"/>
      <c r="AE6" s="1268"/>
      <c r="AF6" s="1268"/>
      <c r="AG6" s="1268"/>
    </row>
    <row r="7" spans="1:33" ht="21.75" customHeight="1">
      <c r="A7" s="725"/>
      <c r="B7" s="4814" t="s">
        <v>61</v>
      </c>
      <c r="C7" s="4814"/>
      <c r="D7" s="4814"/>
      <c r="E7" s="4814"/>
      <c r="F7" s="4814"/>
      <c r="G7" s="4814"/>
      <c r="H7" s="725"/>
      <c r="I7" s="725"/>
      <c r="J7" s="725"/>
      <c r="K7" s="725"/>
      <c r="L7" s="725"/>
      <c r="M7" s="725"/>
      <c r="N7" s="725"/>
      <c r="O7" s="725"/>
      <c r="P7" s="725"/>
      <c r="Q7" s="725"/>
      <c r="R7" s="725"/>
      <c r="S7" s="725"/>
      <c r="T7" s="725"/>
      <c r="U7" s="725"/>
      <c r="V7" s="725"/>
      <c r="W7" s="725"/>
      <c r="X7" s="725"/>
      <c r="Y7" s="725"/>
      <c r="Z7" s="725"/>
      <c r="AA7" s="725"/>
      <c r="AE7" s="94"/>
      <c r="AF7" s="94"/>
      <c r="AG7" s="94"/>
    </row>
    <row r="8" spans="1:33" ht="21.75" customHeight="1">
      <c r="A8" s="725"/>
      <c r="B8" s="4815" t="s">
        <v>239</v>
      </c>
      <c r="C8" s="4815"/>
      <c r="D8" s="4815"/>
      <c r="E8" s="4815"/>
      <c r="F8" s="4815"/>
      <c r="G8" s="4815"/>
      <c r="H8" s="725"/>
      <c r="I8" s="725"/>
      <c r="J8" s="725"/>
      <c r="K8" s="725"/>
      <c r="L8" s="725"/>
      <c r="M8" s="725"/>
      <c r="N8" s="725"/>
      <c r="O8" s="725"/>
      <c r="P8" s="725"/>
      <c r="Q8" s="725"/>
      <c r="R8" s="725"/>
      <c r="S8" s="725"/>
      <c r="T8" s="725"/>
      <c r="U8" s="725"/>
      <c r="V8" s="725"/>
      <c r="W8" s="725"/>
      <c r="X8" s="725"/>
      <c r="Y8" s="725"/>
      <c r="Z8" s="725"/>
      <c r="AA8" s="725"/>
      <c r="AE8" s="94"/>
      <c r="AF8" s="94"/>
      <c r="AG8" s="94"/>
    </row>
    <row r="9" spans="1:33" ht="21.75" customHeight="1">
      <c r="A9" s="725"/>
      <c r="B9" s="4815" t="s">
        <v>491</v>
      </c>
      <c r="C9" s="4815"/>
      <c r="D9" s="4815"/>
      <c r="E9" s="4815"/>
      <c r="F9" s="4815"/>
      <c r="G9" s="4815"/>
      <c r="H9" s="725"/>
      <c r="I9" s="725"/>
      <c r="J9" s="725"/>
      <c r="K9" s="725"/>
      <c r="L9" s="725"/>
      <c r="M9" s="725"/>
      <c r="N9" s="725"/>
      <c r="O9" s="725"/>
      <c r="P9" s="725"/>
      <c r="Q9" s="725"/>
      <c r="R9" s="725"/>
      <c r="S9" s="725"/>
      <c r="T9" s="725"/>
      <c r="U9" s="725"/>
      <c r="V9" s="725"/>
      <c r="W9" s="725"/>
      <c r="X9" s="725"/>
      <c r="Y9" s="725"/>
      <c r="Z9" s="725"/>
      <c r="AA9" s="725"/>
      <c r="AE9" s="94"/>
      <c r="AF9" s="94"/>
      <c r="AG9" s="94"/>
    </row>
    <row r="10" spans="1:33" ht="21.75" customHeight="1">
      <c r="A10" s="725"/>
      <c r="B10" s="4813" t="s">
        <v>402</v>
      </c>
      <c r="C10" s="4789"/>
      <c r="D10" s="4789"/>
      <c r="E10" s="4789"/>
      <c r="F10" s="4789"/>
      <c r="G10" s="4789"/>
      <c r="H10" s="725"/>
      <c r="I10" s="725"/>
      <c r="J10" s="725"/>
      <c r="K10" s="725"/>
      <c r="L10" s="725"/>
      <c r="M10" s="725"/>
      <c r="N10" s="725"/>
      <c r="O10" s="725"/>
      <c r="P10" s="725"/>
      <c r="Q10" s="725"/>
      <c r="R10" s="725"/>
      <c r="S10" s="725"/>
      <c r="T10" s="725"/>
      <c r="U10" s="725"/>
      <c r="V10" s="725"/>
      <c r="W10" s="725"/>
      <c r="X10" s="725"/>
      <c r="Y10" s="725"/>
      <c r="Z10" s="725"/>
      <c r="AA10" s="725"/>
      <c r="AE10" s="94"/>
      <c r="AF10" s="94"/>
      <c r="AG10" s="94"/>
    </row>
    <row r="11" spans="1:33">
      <c r="A11" s="299"/>
      <c r="B11" s="299"/>
      <c r="C11" s="299"/>
      <c r="D11" s="299"/>
      <c r="E11" s="299"/>
      <c r="F11" s="299"/>
      <c r="G11" s="299"/>
      <c r="H11" s="299"/>
      <c r="I11" s="299"/>
      <c r="J11" s="299"/>
      <c r="K11" s="299"/>
      <c r="L11" s="299"/>
      <c r="M11" s="299"/>
      <c r="N11" s="299"/>
      <c r="O11" s="299"/>
      <c r="P11" s="299"/>
      <c r="Q11" s="299"/>
      <c r="R11" s="299"/>
      <c r="S11" s="299"/>
      <c r="T11" s="299"/>
      <c r="U11" s="299"/>
      <c r="V11" s="299"/>
      <c r="W11" s="299"/>
      <c r="X11" s="299"/>
      <c r="Y11" s="299"/>
      <c r="Z11" s="299"/>
      <c r="AA11" s="299"/>
      <c r="AE11" s="299"/>
      <c r="AF11" s="299"/>
      <c r="AG11" s="299"/>
    </row>
    <row r="12" spans="1:33" ht="13.5" thickBot="1">
      <c r="A12" s="299"/>
      <c r="B12" s="299"/>
      <c r="C12" s="299"/>
      <c r="D12" s="299"/>
      <c r="E12" s="299"/>
      <c r="F12" s="299"/>
      <c r="G12" s="299"/>
      <c r="H12" s="299"/>
      <c r="I12" s="299"/>
      <c r="J12" s="299"/>
      <c r="K12" s="299"/>
      <c r="L12" s="299"/>
      <c r="M12" s="299"/>
      <c r="N12" s="299"/>
      <c r="O12" s="299"/>
      <c r="P12" s="299"/>
      <c r="Q12" s="299"/>
      <c r="R12" s="299"/>
      <c r="S12" s="299"/>
      <c r="T12" s="299"/>
      <c r="U12" s="299"/>
      <c r="V12" s="299"/>
      <c r="W12" s="299"/>
      <c r="X12" s="299"/>
      <c r="Y12" s="299"/>
      <c r="Z12" s="299"/>
      <c r="AA12" s="299"/>
      <c r="AE12" s="299"/>
      <c r="AF12" s="299"/>
      <c r="AG12" s="299"/>
    </row>
    <row r="13" spans="1:33">
      <c r="A13" s="299"/>
      <c r="B13" s="862" t="s">
        <v>265</v>
      </c>
      <c r="C13" s="299"/>
      <c r="D13" s="299"/>
      <c r="E13" s="299"/>
      <c r="F13" s="299"/>
      <c r="G13" s="299"/>
      <c r="H13" s="299"/>
      <c r="I13" s="299"/>
      <c r="J13" s="299"/>
      <c r="K13" s="299"/>
      <c r="L13" s="299"/>
      <c r="M13" s="299"/>
      <c r="N13" s="299"/>
      <c r="O13" s="299"/>
      <c r="P13" s="299"/>
      <c r="Q13" s="299"/>
      <c r="R13" s="299"/>
      <c r="S13" s="299"/>
      <c r="T13" s="299"/>
      <c r="U13" s="299"/>
      <c r="V13" s="299"/>
      <c r="W13" s="299"/>
      <c r="X13" s="299"/>
      <c r="Y13" s="299"/>
      <c r="Z13" s="299"/>
      <c r="AA13" s="299"/>
      <c r="AE13" s="299"/>
      <c r="AF13" s="299"/>
      <c r="AG13" s="299"/>
    </row>
    <row r="14" spans="1:33" ht="25.5" customHeight="1" thickBot="1">
      <c r="A14" s="299"/>
      <c r="B14" s="898"/>
      <c r="C14" s="299"/>
      <c r="D14" s="299"/>
      <c r="E14" s="299"/>
      <c r="F14" s="299"/>
      <c r="G14" s="299"/>
      <c r="H14" s="299"/>
      <c r="I14" s="299"/>
      <c r="J14" s="299"/>
      <c r="K14" s="299"/>
      <c r="L14" s="299"/>
      <c r="M14" s="299"/>
      <c r="N14" s="299"/>
      <c r="O14" s="299"/>
      <c r="P14" s="299"/>
      <c r="Q14" s="299"/>
      <c r="R14" s="299"/>
      <c r="S14" s="299"/>
      <c r="T14" s="299"/>
      <c r="U14" s="299"/>
      <c r="V14" s="299"/>
      <c r="W14" s="299"/>
      <c r="X14" s="299"/>
      <c r="Y14" s="299"/>
      <c r="Z14" s="299"/>
      <c r="AA14" s="299"/>
      <c r="AE14" s="299"/>
      <c r="AF14" s="299"/>
      <c r="AG14" s="299"/>
    </row>
    <row r="15" spans="1:33" ht="13.5" thickBot="1">
      <c r="A15" s="299"/>
      <c r="B15" s="299"/>
      <c r="C15" s="299"/>
      <c r="D15" s="299"/>
      <c r="E15" s="299"/>
      <c r="F15" s="299"/>
      <c r="G15" s="299"/>
      <c r="H15" s="299"/>
      <c r="I15" s="299"/>
      <c r="J15" s="299"/>
      <c r="K15" s="299"/>
      <c r="L15" s="299"/>
      <c r="M15" s="299"/>
      <c r="N15" s="299"/>
      <c r="O15" s="299"/>
      <c r="P15" s="299"/>
      <c r="Q15" s="299"/>
      <c r="R15" s="299"/>
      <c r="S15" s="299"/>
      <c r="T15" s="299"/>
      <c r="U15" s="299"/>
      <c r="V15" s="299"/>
      <c r="W15" s="299"/>
      <c r="X15" s="299"/>
      <c r="Y15" s="299"/>
      <c r="Z15" s="299"/>
      <c r="AA15" s="299"/>
      <c r="AE15" s="299"/>
      <c r="AF15" s="299"/>
      <c r="AG15" s="299"/>
    </row>
    <row r="16" spans="1:33">
      <c r="A16" s="299"/>
      <c r="B16" s="862" t="s">
        <v>266</v>
      </c>
      <c r="C16" s="299"/>
      <c r="D16" s="299"/>
      <c r="E16" s="299"/>
      <c r="F16" s="299"/>
      <c r="G16" s="299"/>
      <c r="H16" s="299"/>
      <c r="I16" s="299"/>
      <c r="J16" s="299"/>
      <c r="K16" s="299"/>
      <c r="L16" s="299"/>
      <c r="M16" s="299"/>
      <c r="N16" s="299"/>
      <c r="O16" s="299"/>
      <c r="P16" s="299"/>
      <c r="Q16" s="299"/>
      <c r="R16" s="299"/>
      <c r="S16" s="299"/>
      <c r="T16" s="299"/>
      <c r="U16" s="299"/>
      <c r="V16" s="299"/>
      <c r="W16" s="299"/>
      <c r="X16" s="299"/>
      <c r="Y16" s="299"/>
      <c r="Z16" s="299"/>
      <c r="AA16" s="299"/>
      <c r="AE16" s="299"/>
      <c r="AF16" s="299"/>
      <c r="AG16" s="299"/>
    </row>
    <row r="17" spans="1:134" ht="25.5" customHeight="1" thickBot="1">
      <c r="A17" s="299"/>
      <c r="B17" s="898"/>
      <c r="C17" s="299"/>
      <c r="D17" s="299"/>
      <c r="E17" s="299"/>
      <c r="F17" s="299"/>
      <c r="G17" s="299"/>
      <c r="H17" s="299"/>
      <c r="I17" s="299"/>
      <c r="J17" s="299"/>
      <c r="K17" s="299"/>
      <c r="L17" s="299"/>
      <c r="M17" s="299"/>
      <c r="N17" s="299"/>
      <c r="O17" s="299"/>
      <c r="P17" s="299"/>
      <c r="Q17" s="299"/>
      <c r="R17" s="299"/>
      <c r="S17" s="299"/>
      <c r="T17" s="299"/>
      <c r="U17" s="299"/>
      <c r="V17" s="299"/>
      <c r="W17" s="299"/>
      <c r="X17" s="299"/>
      <c r="Y17" s="299"/>
      <c r="Z17" s="299"/>
      <c r="AA17" s="299"/>
      <c r="AE17" s="299"/>
      <c r="AF17" s="299"/>
      <c r="AG17" s="299"/>
    </row>
    <row r="18" spans="1:134" ht="50.25" customHeight="1" thickBot="1">
      <c r="A18" s="299"/>
      <c r="B18" s="299"/>
      <c r="C18" s="299"/>
      <c r="D18" s="299"/>
      <c r="E18" s="299"/>
      <c r="F18" s="299"/>
      <c r="G18" s="299"/>
      <c r="H18" s="299"/>
      <c r="I18" s="299"/>
      <c r="J18" s="299"/>
      <c r="K18" s="299"/>
      <c r="L18" s="299"/>
      <c r="M18" s="299"/>
      <c r="N18" s="299"/>
      <c r="O18" s="299"/>
      <c r="P18" s="299"/>
      <c r="Q18" s="299"/>
      <c r="R18" s="299"/>
      <c r="S18" s="299"/>
      <c r="T18" s="299"/>
      <c r="U18" s="299"/>
      <c r="V18" s="299"/>
      <c r="W18" s="299"/>
      <c r="X18" s="299"/>
      <c r="Y18" s="299"/>
      <c r="Z18" s="299"/>
      <c r="AA18" s="299"/>
      <c r="AE18" s="299"/>
      <c r="AF18" s="299"/>
      <c r="AG18" s="299"/>
    </row>
    <row r="19" spans="1:134" s="1266" customFormat="1" ht="34.5" customHeight="1" thickBot="1">
      <c r="A19" s="1268"/>
      <c r="B19" s="833" t="s">
        <v>499</v>
      </c>
      <c r="C19" s="863"/>
      <c r="D19" s="863"/>
      <c r="E19" s="863"/>
      <c r="F19" s="863"/>
      <c r="G19" s="863"/>
      <c r="H19" s="863"/>
      <c r="I19" s="863"/>
      <c r="J19" s="864"/>
      <c r="K19" s="864"/>
      <c r="L19" s="864"/>
      <c r="M19" s="864"/>
      <c r="N19" s="864"/>
      <c r="O19" s="864"/>
      <c r="P19" s="864"/>
      <c r="Q19" s="864"/>
      <c r="R19" s="864"/>
      <c r="S19" s="864"/>
      <c r="T19" s="864"/>
      <c r="U19" s="864"/>
      <c r="V19" s="864"/>
      <c r="W19" s="864"/>
      <c r="X19" s="864"/>
      <c r="Y19" s="864"/>
      <c r="Z19" s="864"/>
      <c r="AA19" s="864"/>
      <c r="AE19" s="769" t="s">
        <v>674</v>
      </c>
      <c r="AF19" s="863"/>
      <c r="AG19" s="864"/>
    </row>
    <row r="20" spans="1:134" s="92" customFormat="1" ht="24" customHeight="1" thickBot="1">
      <c r="A20" s="299"/>
      <c r="B20" s="771" t="s">
        <v>492</v>
      </c>
      <c r="C20" s="772"/>
      <c r="D20" s="772"/>
      <c r="E20" s="772"/>
      <c r="F20" s="772"/>
      <c r="G20" s="772"/>
      <c r="H20" s="772"/>
      <c r="I20" s="772"/>
      <c r="J20" s="772"/>
      <c r="K20" s="772"/>
      <c r="L20" s="772"/>
      <c r="M20" s="772"/>
      <c r="N20" s="772"/>
      <c r="O20" s="772"/>
      <c r="P20" s="772"/>
      <c r="Q20" s="772"/>
      <c r="R20" s="772"/>
      <c r="S20" s="772"/>
      <c r="T20" s="772"/>
      <c r="U20" s="772"/>
      <c r="V20" s="772"/>
      <c r="W20" s="772"/>
      <c r="X20" s="772"/>
      <c r="Y20" s="772"/>
      <c r="Z20" s="772"/>
      <c r="AA20" s="773"/>
      <c r="AB20" s="1266"/>
      <c r="AC20" s="1266"/>
      <c r="AD20" s="1266"/>
      <c r="AE20" s="771"/>
      <c r="AF20" s="772"/>
      <c r="AG20" s="773"/>
      <c r="AH20"/>
      <c r="AI20"/>
      <c r="AJ20"/>
      <c r="AK20"/>
      <c r="DE20" s="1266"/>
      <c r="DF20" s="1266"/>
      <c r="DG20" s="1266"/>
      <c r="DH20" s="1266"/>
      <c r="DI20" s="1266"/>
      <c r="DJ20" s="1266"/>
      <c r="DK20" s="1266"/>
      <c r="DL20" s="1266"/>
      <c r="DM20" s="1266"/>
      <c r="DN20" s="1266"/>
      <c r="DO20" s="1266"/>
      <c r="DP20" s="1266"/>
      <c r="DQ20" s="1266"/>
      <c r="DR20" s="1266"/>
      <c r="DS20" s="1266"/>
      <c r="DT20" s="1266"/>
      <c r="DU20" s="1266"/>
      <c r="DV20" s="1266"/>
      <c r="DW20" s="1266"/>
      <c r="DX20" s="1266"/>
      <c r="DY20" s="1266"/>
      <c r="DZ20" s="1266"/>
      <c r="EA20" s="1266"/>
      <c r="EB20" s="1266"/>
      <c r="EC20" s="1266"/>
      <c r="ED20" s="1266"/>
    </row>
    <row r="21" spans="1:134" ht="20.25" customHeight="1">
      <c r="A21" s="725"/>
      <c r="B21" s="4818"/>
      <c r="C21" s="4816" t="s">
        <v>37</v>
      </c>
      <c r="D21" s="4817"/>
      <c r="E21" s="4817"/>
      <c r="F21" s="4817"/>
      <c r="G21" s="4817"/>
      <c r="H21" s="4810" t="s">
        <v>75</v>
      </c>
      <c r="I21" s="4810"/>
      <c r="J21" s="4810"/>
      <c r="K21" s="4810"/>
      <c r="L21" s="4810"/>
      <c r="M21" s="4811" t="s">
        <v>267</v>
      </c>
      <c r="N21" s="4811"/>
      <c r="O21" s="4811"/>
      <c r="P21" s="4811"/>
      <c r="Q21" s="4811"/>
      <c r="R21" s="4811"/>
      <c r="S21" s="4811"/>
      <c r="T21" s="4811"/>
      <c r="U21" s="4811"/>
      <c r="V21" s="4811"/>
      <c r="W21" s="4811"/>
      <c r="X21" s="4811"/>
      <c r="Y21" s="4811"/>
      <c r="Z21" s="4811"/>
      <c r="AA21" s="4812"/>
      <c r="AE21" s="4822" t="s">
        <v>37</v>
      </c>
      <c r="AF21" s="4823"/>
      <c r="AG21" s="4824"/>
      <c r="AH21"/>
      <c r="AI21"/>
      <c r="AJ21"/>
      <c r="AK21"/>
    </row>
    <row r="22" spans="1:134" customFormat="1" ht="20.25" customHeight="1">
      <c r="B22" s="4819"/>
      <c r="C22" s="4804" t="s">
        <v>569</v>
      </c>
      <c r="D22" s="4805"/>
      <c r="E22" s="4806"/>
      <c r="F22" s="4807" t="str">
        <f>CONCATENATE("$0's, real ",dms_DollarReal)</f>
        <v>$0's, real December 2017</v>
      </c>
      <c r="G22" s="4808"/>
      <c r="H22" s="4808"/>
      <c r="I22" s="4808"/>
      <c r="J22" s="4808"/>
      <c r="K22" s="4808"/>
      <c r="L22" s="4808"/>
      <c r="M22" s="4808"/>
      <c r="N22" s="4808"/>
      <c r="O22" s="4808"/>
      <c r="P22" s="4808"/>
      <c r="Q22" s="4808"/>
      <c r="R22" s="4808"/>
      <c r="S22" s="4808"/>
      <c r="T22" s="4808"/>
      <c r="U22" s="4808"/>
      <c r="V22" s="4808"/>
      <c r="W22" s="4808"/>
      <c r="X22" s="4808"/>
      <c r="Y22" s="4808"/>
      <c r="Z22" s="4808"/>
      <c r="AA22" s="4809"/>
      <c r="AE22" s="4804" t="str">
        <f>CONCATENATE("$0's, real ",dms_DollarReal)</f>
        <v>$0's, real December 2017</v>
      </c>
      <c r="AF22" s="4805"/>
      <c r="AG22" s="4821"/>
    </row>
    <row r="23" spans="1:134" customFormat="1" ht="20.25" customHeight="1">
      <c r="B23" s="4819"/>
      <c r="C23" s="4804" t="s">
        <v>56</v>
      </c>
      <c r="D23" s="4805"/>
      <c r="E23" s="4806"/>
      <c r="F23" s="4807" t="s">
        <v>397</v>
      </c>
      <c r="G23" s="4808"/>
      <c r="H23" s="4808"/>
      <c r="I23" s="4808"/>
      <c r="J23" s="4808"/>
      <c r="K23" s="4808"/>
      <c r="L23" s="4808"/>
      <c r="M23" s="4808"/>
      <c r="N23" s="4808"/>
      <c r="O23" s="4808"/>
      <c r="P23" s="4808"/>
      <c r="Q23" s="4808"/>
      <c r="R23" s="4808"/>
      <c r="S23" s="4808"/>
      <c r="T23" s="4808"/>
      <c r="U23" s="4808"/>
      <c r="V23" s="4808"/>
      <c r="W23" s="4808"/>
      <c r="X23" s="4808"/>
      <c r="Y23" s="4808"/>
      <c r="Z23" s="4808"/>
      <c r="AA23" s="4809"/>
      <c r="AE23" s="4804" t="s">
        <v>56</v>
      </c>
      <c r="AF23" s="4805"/>
      <c r="AG23" s="4821"/>
    </row>
    <row r="24" spans="1:134" customFormat="1" ht="20.25" customHeight="1" thickBot="1">
      <c r="B24" s="4819"/>
      <c r="C24" s="860">
        <f>CRCP_y1</f>
        <v>2013</v>
      </c>
      <c r="D24" s="860">
        <f>CRCP_y2</f>
        <v>2014</v>
      </c>
      <c r="E24" s="860">
        <f>CRCP_y3</f>
        <v>2015</v>
      </c>
      <c r="F24" s="860">
        <f>CRCP_y4</f>
        <v>2016</v>
      </c>
      <c r="G24" s="860">
        <f>CRCP_y5</f>
        <v>2017</v>
      </c>
      <c r="H24" s="859" t="str">
        <f>CONCATENATE(IF(dms_RPT="Calendar",G24+1,(LEFT(G24,4)+1&amp;"-"&amp;IF(MID(G24,6,2)&lt;"09","0"&amp;RIGHT(G24,1)+1,RIGHT(G24,2)+1))))</f>
        <v>2018</v>
      </c>
      <c r="I24" s="859" t="str">
        <f t="shared" ref="I24:AA24" si="0">CONCATENATE(IF(dms_RPT="Calendar",H24+1,(LEFT(H24,4)+1&amp;"-"&amp;IF(MID(H24,6,2)&lt;"09","0"&amp;RIGHT(H24,1)+1,RIGHT(H24,2)+1))))</f>
        <v>2019</v>
      </c>
      <c r="J24" s="859" t="str">
        <f t="shared" si="0"/>
        <v>2020</v>
      </c>
      <c r="K24" s="859" t="str">
        <f t="shared" si="0"/>
        <v>2021</v>
      </c>
      <c r="L24" s="859" t="str">
        <f t="shared" si="0"/>
        <v>2022</v>
      </c>
      <c r="M24" s="860" t="str">
        <f t="shared" si="0"/>
        <v>2023</v>
      </c>
      <c r="N24" s="860" t="str">
        <f t="shared" si="0"/>
        <v>2024</v>
      </c>
      <c r="O24" s="860" t="str">
        <f t="shared" si="0"/>
        <v>2025</v>
      </c>
      <c r="P24" s="860" t="str">
        <f t="shared" si="0"/>
        <v>2026</v>
      </c>
      <c r="Q24" s="860" t="str">
        <f t="shared" si="0"/>
        <v>2027</v>
      </c>
      <c r="R24" s="860" t="str">
        <f t="shared" si="0"/>
        <v>2028</v>
      </c>
      <c r="S24" s="860" t="str">
        <f t="shared" si="0"/>
        <v>2029</v>
      </c>
      <c r="T24" s="860" t="str">
        <f t="shared" si="0"/>
        <v>2030</v>
      </c>
      <c r="U24" s="860" t="str">
        <f t="shared" si="0"/>
        <v>2031</v>
      </c>
      <c r="V24" s="860" t="str">
        <f t="shared" si="0"/>
        <v>2032</v>
      </c>
      <c r="W24" s="860" t="str">
        <f t="shared" si="0"/>
        <v>2033</v>
      </c>
      <c r="X24" s="860" t="str">
        <f t="shared" si="0"/>
        <v>2034</v>
      </c>
      <c r="Y24" s="860" t="str">
        <f t="shared" si="0"/>
        <v>2035</v>
      </c>
      <c r="Z24" s="860" t="str">
        <f t="shared" si="0"/>
        <v>2036</v>
      </c>
      <c r="AA24" s="860" t="str">
        <f t="shared" si="0"/>
        <v>2037</v>
      </c>
      <c r="AE24" s="1921">
        <f>CRCP_y1</f>
        <v>2013</v>
      </c>
      <c r="AF24" s="860">
        <f>CRCP_y2</f>
        <v>2014</v>
      </c>
      <c r="AG24" s="1305">
        <f>CRCP_y3</f>
        <v>2015</v>
      </c>
    </row>
    <row r="25" spans="1:134" s="1266" customFormat="1">
      <c r="A25" s="1268"/>
      <c r="B25" s="2931" t="s">
        <v>1469</v>
      </c>
      <c r="C25" s="794"/>
      <c r="D25" s="788"/>
      <c r="E25" s="788"/>
      <c r="F25" s="788"/>
      <c r="G25" s="788"/>
      <c r="H25" s="1594"/>
      <c r="I25" s="788"/>
      <c r="J25" s="788"/>
      <c r="K25" s="788"/>
      <c r="L25" s="789"/>
      <c r="M25" s="1594"/>
      <c r="N25" s="788"/>
      <c r="O25" s="788"/>
      <c r="P25" s="788"/>
      <c r="Q25" s="788"/>
      <c r="R25" s="788"/>
      <c r="S25" s="788"/>
      <c r="T25" s="788"/>
      <c r="U25" s="788"/>
      <c r="V25" s="788"/>
      <c r="W25" s="788"/>
      <c r="X25" s="788"/>
      <c r="Y25" s="788"/>
      <c r="Z25" s="788"/>
      <c r="AA25" s="789"/>
      <c r="AE25" s="1855"/>
      <c r="AF25" s="1856"/>
      <c r="AG25" s="1857"/>
    </row>
    <row r="26" spans="1:134" s="1266" customFormat="1">
      <c r="A26" s="1268"/>
      <c r="B26" s="2932" t="s">
        <v>1469</v>
      </c>
      <c r="C26" s="786"/>
      <c r="D26" s="708"/>
      <c r="E26" s="708"/>
      <c r="F26" s="708"/>
      <c r="G26" s="708"/>
      <c r="H26" s="738"/>
      <c r="I26" s="708"/>
      <c r="J26" s="708"/>
      <c r="K26" s="708"/>
      <c r="L26" s="790"/>
      <c r="M26" s="738"/>
      <c r="N26" s="708"/>
      <c r="O26" s="708"/>
      <c r="P26" s="708"/>
      <c r="Q26" s="708"/>
      <c r="R26" s="708"/>
      <c r="S26" s="708"/>
      <c r="T26" s="708"/>
      <c r="U26" s="708"/>
      <c r="V26" s="708"/>
      <c r="W26" s="708"/>
      <c r="X26" s="708"/>
      <c r="Y26" s="708"/>
      <c r="Z26" s="708"/>
      <c r="AA26" s="790"/>
      <c r="AE26" s="1858"/>
      <c r="AF26" s="1859"/>
      <c r="AG26" s="1860"/>
    </row>
    <row r="27" spans="1:134" s="1266" customFormat="1">
      <c r="A27" s="1268"/>
      <c r="B27" s="2932" t="s">
        <v>1469</v>
      </c>
      <c r="C27" s="786"/>
      <c r="D27" s="708"/>
      <c r="E27" s="708"/>
      <c r="F27" s="708"/>
      <c r="G27" s="708"/>
      <c r="H27" s="738"/>
      <c r="I27" s="708"/>
      <c r="J27" s="708"/>
      <c r="K27" s="708"/>
      <c r="L27" s="790"/>
      <c r="M27" s="738"/>
      <c r="N27" s="708"/>
      <c r="O27" s="708"/>
      <c r="P27" s="708"/>
      <c r="Q27" s="708"/>
      <c r="R27" s="708"/>
      <c r="S27" s="708"/>
      <c r="T27" s="708"/>
      <c r="U27" s="708"/>
      <c r="V27" s="708"/>
      <c r="W27" s="708"/>
      <c r="X27" s="708"/>
      <c r="Y27" s="708"/>
      <c r="Z27" s="708"/>
      <c r="AA27" s="790"/>
      <c r="AE27" s="1858"/>
      <c r="AF27" s="1859"/>
      <c r="AG27" s="1860"/>
    </row>
    <row r="28" spans="1:134" s="1266" customFormat="1">
      <c r="A28" s="1268"/>
      <c r="B28" s="2932" t="s">
        <v>1469</v>
      </c>
      <c r="C28" s="1600"/>
      <c r="D28" s="1598"/>
      <c r="E28" s="1598"/>
      <c r="F28" s="1598"/>
      <c r="G28" s="1598"/>
      <c r="H28" s="1597"/>
      <c r="I28" s="1598"/>
      <c r="J28" s="1598"/>
      <c r="K28" s="1598"/>
      <c r="L28" s="1599"/>
      <c r="M28" s="1597"/>
      <c r="N28" s="1598"/>
      <c r="O28" s="1598"/>
      <c r="P28" s="1598"/>
      <c r="Q28" s="1598"/>
      <c r="R28" s="1598"/>
      <c r="S28" s="1598"/>
      <c r="T28" s="1598"/>
      <c r="U28" s="1598"/>
      <c r="V28" s="1598"/>
      <c r="W28" s="1598"/>
      <c r="X28" s="1598"/>
      <c r="Y28" s="1598"/>
      <c r="Z28" s="1598"/>
      <c r="AA28" s="1599"/>
      <c r="AE28" s="1922"/>
      <c r="AF28" s="1923"/>
      <c r="AG28" s="1924"/>
    </row>
    <row r="29" spans="1:134">
      <c r="A29" s="725"/>
      <c r="B29" s="2932" t="s">
        <v>1469</v>
      </c>
      <c r="C29" s="1613"/>
      <c r="D29" s="1614"/>
      <c r="E29" s="1614"/>
      <c r="F29" s="1614"/>
      <c r="G29" s="1614"/>
      <c r="H29" s="1615"/>
      <c r="I29" s="1614"/>
      <c r="J29" s="1614"/>
      <c r="K29" s="1614"/>
      <c r="L29" s="1616"/>
      <c r="M29" s="1615"/>
      <c r="N29" s="1614"/>
      <c r="O29" s="1614"/>
      <c r="P29" s="1614"/>
      <c r="Q29" s="1614"/>
      <c r="R29" s="1614"/>
      <c r="S29" s="1614"/>
      <c r="T29" s="1614"/>
      <c r="U29" s="1614"/>
      <c r="V29" s="1614"/>
      <c r="W29" s="1614"/>
      <c r="X29" s="1614"/>
      <c r="Y29" s="1614"/>
      <c r="Z29" s="1614"/>
      <c r="AA29" s="1616"/>
      <c r="AE29" s="1925"/>
      <c r="AF29" s="1926"/>
      <c r="AG29" s="1927"/>
    </row>
    <row r="30" spans="1:134">
      <c r="A30" s="725"/>
      <c r="B30" s="2932" t="s">
        <v>1469</v>
      </c>
      <c r="C30" s="786"/>
      <c r="D30" s="708"/>
      <c r="E30" s="708"/>
      <c r="F30" s="708"/>
      <c r="G30" s="708"/>
      <c r="H30" s="738"/>
      <c r="I30" s="708"/>
      <c r="J30" s="708"/>
      <c r="K30" s="708"/>
      <c r="L30" s="790"/>
      <c r="M30" s="738"/>
      <c r="N30" s="708"/>
      <c r="O30" s="708"/>
      <c r="P30" s="708"/>
      <c r="Q30" s="708"/>
      <c r="R30" s="708"/>
      <c r="S30" s="708"/>
      <c r="T30" s="708"/>
      <c r="U30" s="708"/>
      <c r="V30" s="708"/>
      <c r="W30" s="708"/>
      <c r="X30" s="708"/>
      <c r="Y30" s="708"/>
      <c r="Z30" s="708"/>
      <c r="AA30" s="790"/>
      <c r="AE30" s="1858"/>
      <c r="AF30" s="1859"/>
      <c r="AG30" s="1860"/>
    </row>
    <row r="31" spans="1:134">
      <c r="A31" s="725"/>
      <c r="B31" s="2932" t="s">
        <v>1469</v>
      </c>
      <c r="C31" s="786"/>
      <c r="D31" s="708"/>
      <c r="E31" s="708"/>
      <c r="F31" s="708"/>
      <c r="G31" s="708"/>
      <c r="H31" s="738"/>
      <c r="I31" s="708"/>
      <c r="J31" s="708"/>
      <c r="K31" s="708"/>
      <c r="L31" s="790"/>
      <c r="M31" s="738"/>
      <c r="N31" s="708"/>
      <c r="O31" s="708"/>
      <c r="P31" s="708"/>
      <c r="Q31" s="708"/>
      <c r="R31" s="708"/>
      <c r="S31" s="708"/>
      <c r="T31" s="708"/>
      <c r="U31" s="708"/>
      <c r="V31" s="708"/>
      <c r="W31" s="708"/>
      <c r="X31" s="708"/>
      <c r="Y31" s="708"/>
      <c r="Z31" s="708"/>
      <c r="AA31" s="790"/>
      <c r="AE31" s="1858"/>
      <c r="AF31" s="1859"/>
      <c r="AG31" s="1860"/>
    </row>
    <row r="32" spans="1:134" s="1266" customFormat="1">
      <c r="A32" s="1268"/>
      <c r="B32" s="2932" t="s">
        <v>1469</v>
      </c>
      <c r="C32" s="1600"/>
      <c r="D32" s="1598"/>
      <c r="E32" s="1598"/>
      <c r="F32" s="1598"/>
      <c r="G32" s="1598"/>
      <c r="H32" s="1597"/>
      <c r="I32" s="1598"/>
      <c r="J32" s="1598"/>
      <c r="K32" s="1598"/>
      <c r="L32" s="1599"/>
      <c r="M32" s="1597"/>
      <c r="N32" s="1598"/>
      <c r="O32" s="1598"/>
      <c r="P32" s="1598"/>
      <c r="Q32" s="1598"/>
      <c r="R32" s="1598"/>
      <c r="S32" s="1598"/>
      <c r="T32" s="1598"/>
      <c r="U32" s="1598"/>
      <c r="V32" s="1598"/>
      <c r="W32" s="1598"/>
      <c r="X32" s="1598"/>
      <c r="Y32" s="1598"/>
      <c r="Z32" s="1598"/>
      <c r="AA32" s="1599"/>
      <c r="AE32" s="1922"/>
      <c r="AF32" s="1923"/>
      <c r="AG32" s="1924"/>
    </row>
    <row r="33" spans="1:134">
      <c r="A33" s="725"/>
      <c r="B33" s="1612" t="s">
        <v>658</v>
      </c>
      <c r="C33" s="1611"/>
      <c r="D33" s="1019"/>
      <c r="E33" s="1019"/>
      <c r="F33" s="1019"/>
      <c r="G33" s="1019"/>
      <c r="H33" s="1018"/>
      <c r="I33" s="1019"/>
      <c r="J33" s="1019"/>
      <c r="K33" s="1019"/>
      <c r="L33" s="1020"/>
      <c r="M33" s="1018"/>
      <c r="N33" s="1019"/>
      <c r="O33" s="1019"/>
      <c r="P33" s="1019"/>
      <c r="Q33" s="1019"/>
      <c r="R33" s="1019"/>
      <c r="S33" s="1019"/>
      <c r="T33" s="1019"/>
      <c r="U33" s="1019"/>
      <c r="V33" s="1019"/>
      <c r="W33" s="1019"/>
      <c r="X33" s="1019"/>
      <c r="Y33" s="1019"/>
      <c r="Z33" s="1019"/>
      <c r="AA33" s="1020"/>
      <c r="AE33" s="1928"/>
      <c r="AF33" s="1929"/>
      <c r="AG33" s="1930"/>
    </row>
    <row r="34" spans="1:134">
      <c r="A34" s="725"/>
      <c r="B34" s="906" t="s">
        <v>218</v>
      </c>
      <c r="C34" s="907">
        <f t="shared" ref="C34:AA34" si="1">SUM(C29:C33)</f>
        <v>0</v>
      </c>
      <c r="D34" s="908">
        <f t="shared" si="1"/>
        <v>0</v>
      </c>
      <c r="E34" s="908">
        <f t="shared" si="1"/>
        <v>0</v>
      </c>
      <c r="F34" s="908">
        <f t="shared" si="1"/>
        <v>0</v>
      </c>
      <c r="G34" s="908">
        <f t="shared" si="1"/>
        <v>0</v>
      </c>
      <c r="H34" s="907">
        <f t="shared" si="1"/>
        <v>0</v>
      </c>
      <c r="I34" s="908">
        <f t="shared" si="1"/>
        <v>0</v>
      </c>
      <c r="J34" s="908">
        <f t="shared" si="1"/>
        <v>0</v>
      </c>
      <c r="K34" s="908">
        <f t="shared" si="1"/>
        <v>0</v>
      </c>
      <c r="L34" s="909">
        <f t="shared" si="1"/>
        <v>0</v>
      </c>
      <c r="M34" s="907">
        <f t="shared" si="1"/>
        <v>0</v>
      </c>
      <c r="N34" s="908">
        <f t="shared" si="1"/>
        <v>0</v>
      </c>
      <c r="O34" s="908">
        <f t="shared" si="1"/>
        <v>0</v>
      </c>
      <c r="P34" s="908">
        <f t="shared" si="1"/>
        <v>0</v>
      </c>
      <c r="Q34" s="908">
        <f t="shared" si="1"/>
        <v>0</v>
      </c>
      <c r="R34" s="908">
        <f t="shared" si="1"/>
        <v>0</v>
      </c>
      <c r="S34" s="908">
        <f t="shared" si="1"/>
        <v>0</v>
      </c>
      <c r="T34" s="908">
        <f t="shared" si="1"/>
        <v>0</v>
      </c>
      <c r="U34" s="908">
        <f t="shared" si="1"/>
        <v>0</v>
      </c>
      <c r="V34" s="908">
        <f t="shared" si="1"/>
        <v>0</v>
      </c>
      <c r="W34" s="908">
        <f t="shared" si="1"/>
        <v>0</v>
      </c>
      <c r="X34" s="908">
        <f t="shared" si="1"/>
        <v>0</v>
      </c>
      <c r="Y34" s="908">
        <f t="shared" si="1"/>
        <v>0</v>
      </c>
      <c r="Z34" s="908">
        <f t="shared" si="1"/>
        <v>0</v>
      </c>
      <c r="AA34" s="909">
        <f t="shared" si="1"/>
        <v>0</v>
      </c>
      <c r="AE34" s="907">
        <f t="shared" ref="AE34:AG34" si="2">SUM(AE29:AE33)</f>
        <v>0</v>
      </c>
      <c r="AF34" s="908">
        <f t="shared" si="2"/>
        <v>0</v>
      </c>
      <c r="AG34" s="909">
        <f t="shared" si="2"/>
        <v>0</v>
      </c>
    </row>
    <row r="35" spans="1:134" ht="18.75" customHeight="1" thickBot="1">
      <c r="A35" s="725"/>
      <c r="B35" s="905" t="s">
        <v>219</v>
      </c>
      <c r="C35" s="902"/>
      <c r="D35" s="903"/>
      <c r="E35" s="903"/>
      <c r="F35" s="903"/>
      <c r="G35" s="903"/>
      <c r="H35" s="902"/>
      <c r="I35" s="903"/>
      <c r="J35" s="903"/>
      <c r="K35" s="903"/>
      <c r="L35" s="910"/>
      <c r="M35" s="902"/>
      <c r="N35" s="903"/>
      <c r="O35" s="903"/>
      <c r="P35" s="903"/>
      <c r="Q35" s="903"/>
      <c r="R35" s="903"/>
      <c r="S35" s="903"/>
      <c r="T35" s="903"/>
      <c r="U35" s="903"/>
      <c r="V35" s="903"/>
      <c r="W35" s="903"/>
      <c r="X35" s="903"/>
      <c r="Y35" s="903"/>
      <c r="Z35" s="903"/>
      <c r="AA35" s="910"/>
      <c r="AE35" s="1931"/>
      <c r="AF35" s="1932"/>
      <c r="AG35" s="1933"/>
    </row>
    <row r="36" spans="1:134" ht="36" customHeight="1" thickBot="1">
      <c r="A36" s="725"/>
      <c r="B36" s="1471" t="s">
        <v>127</v>
      </c>
      <c r="C36" s="917"/>
      <c r="D36" s="894"/>
      <c r="E36" s="894"/>
      <c r="F36" s="894"/>
      <c r="G36" s="894"/>
      <c r="H36" s="894"/>
      <c r="I36" s="894"/>
      <c r="J36" s="894"/>
      <c r="K36" s="894"/>
      <c r="L36" s="894"/>
      <c r="M36" s="894"/>
      <c r="N36" s="894"/>
      <c r="O36" s="894"/>
      <c r="P36" s="894"/>
      <c r="Q36" s="894"/>
      <c r="R36" s="894"/>
      <c r="S36" s="894"/>
      <c r="T36" s="894"/>
      <c r="U36" s="894"/>
      <c r="V36" s="894"/>
      <c r="W36" s="894"/>
      <c r="X36" s="894"/>
      <c r="Y36" s="894"/>
      <c r="Z36" s="894"/>
      <c r="AA36" s="895"/>
      <c r="AE36" s="1812"/>
      <c r="AF36" s="1813"/>
      <c r="AG36" s="1814"/>
    </row>
    <row r="37" spans="1:134" ht="45" customHeight="1" thickBot="1">
      <c r="A37" s="725"/>
      <c r="B37" s="517"/>
      <c r="C37" s="725"/>
      <c r="D37" s="725"/>
      <c r="E37" s="725"/>
      <c r="F37" s="725"/>
      <c r="G37" s="725"/>
      <c r="H37" s="725"/>
      <c r="I37" s="725"/>
      <c r="J37" s="725"/>
      <c r="K37" s="725"/>
      <c r="L37" s="725"/>
      <c r="M37" s="725"/>
      <c r="N37" s="725"/>
      <c r="O37" s="725"/>
      <c r="P37" s="725"/>
      <c r="Q37" s="725"/>
      <c r="R37" s="725"/>
      <c r="S37" s="725"/>
      <c r="T37" s="725"/>
      <c r="U37" s="725"/>
      <c r="V37" s="725"/>
      <c r="W37" s="725"/>
      <c r="X37" s="725"/>
      <c r="Y37" s="725"/>
      <c r="Z37" s="725"/>
      <c r="AA37" s="725"/>
      <c r="AE37" s="1268"/>
      <c r="AF37" s="1268"/>
      <c r="AG37" s="1268"/>
    </row>
    <row r="38" spans="1:134" s="92" customFormat="1" ht="18.75" customHeight="1" thickBot="1">
      <c r="A38" s="299"/>
      <c r="B38" s="771" t="s">
        <v>493</v>
      </c>
      <c r="C38" s="772"/>
      <c r="D38" s="772"/>
      <c r="E38" s="772"/>
      <c r="F38" s="772"/>
      <c r="G38" s="772"/>
      <c r="H38" s="772"/>
      <c r="I38" s="772"/>
      <c r="J38" s="772"/>
      <c r="K38" s="772"/>
      <c r="L38" s="772"/>
      <c r="M38" s="772"/>
      <c r="N38" s="772"/>
      <c r="O38" s="772"/>
      <c r="P38" s="772"/>
      <c r="Q38" s="772"/>
      <c r="R38" s="772"/>
      <c r="S38" s="772"/>
      <c r="T38" s="772"/>
      <c r="U38" s="772"/>
      <c r="V38" s="772"/>
      <c r="W38" s="772"/>
      <c r="X38" s="772"/>
      <c r="Y38" s="772"/>
      <c r="Z38" s="772"/>
      <c r="AA38" s="773"/>
      <c r="AB38" s="1266"/>
      <c r="AC38" s="1266"/>
      <c r="AD38" s="1266"/>
      <c r="AE38" s="771"/>
      <c r="AF38" s="772"/>
      <c r="AG38" s="773"/>
      <c r="DE38" s="1266"/>
      <c r="DF38" s="1266"/>
      <c r="DG38" s="1266"/>
      <c r="DH38" s="1266"/>
      <c r="DI38" s="1266"/>
      <c r="DJ38" s="1266"/>
      <c r="DK38" s="1266"/>
      <c r="DL38" s="1266"/>
      <c r="DM38" s="1266"/>
      <c r="DN38" s="1266"/>
      <c r="DO38" s="1266"/>
      <c r="DP38" s="1266"/>
      <c r="DQ38" s="1266"/>
      <c r="DR38" s="1266"/>
      <c r="DS38" s="1266"/>
      <c r="DT38" s="1266"/>
      <c r="DU38" s="1266"/>
      <c r="DV38" s="1266"/>
      <c r="DW38" s="1266"/>
      <c r="DX38" s="1266"/>
      <c r="DY38" s="1266"/>
      <c r="DZ38" s="1266"/>
      <c r="EA38" s="1266"/>
      <c r="EB38" s="1266"/>
      <c r="EC38" s="1266"/>
      <c r="ED38" s="1266"/>
    </row>
    <row r="39" spans="1:134" ht="20.25" customHeight="1">
      <c r="A39" s="725"/>
      <c r="B39" s="4818"/>
      <c r="C39" s="4816" t="s">
        <v>37</v>
      </c>
      <c r="D39" s="4817"/>
      <c r="E39" s="4817"/>
      <c r="F39" s="4817"/>
      <c r="G39" s="4817"/>
      <c r="H39" s="4810" t="s">
        <v>75</v>
      </c>
      <c r="I39" s="4810"/>
      <c r="J39" s="4810"/>
      <c r="K39" s="4810"/>
      <c r="L39" s="4810"/>
      <c r="M39" s="4811" t="s">
        <v>267</v>
      </c>
      <c r="N39" s="4811"/>
      <c r="O39" s="4811"/>
      <c r="P39" s="4811"/>
      <c r="Q39" s="4811"/>
      <c r="R39" s="4811"/>
      <c r="S39" s="4811"/>
      <c r="T39" s="4811"/>
      <c r="U39" s="4811"/>
      <c r="V39" s="4811"/>
      <c r="W39" s="4811"/>
      <c r="X39" s="4811"/>
      <c r="Y39" s="4811"/>
      <c r="Z39" s="4811"/>
      <c r="AA39" s="4812"/>
      <c r="AE39" s="4822" t="s">
        <v>37</v>
      </c>
      <c r="AF39" s="4823"/>
      <c r="AG39" s="4824"/>
    </row>
    <row r="40" spans="1:134" s="65" customFormat="1" ht="20.25" customHeight="1">
      <c r="B40" s="4819"/>
      <c r="C40" s="4804" t="s">
        <v>569</v>
      </c>
      <c r="D40" s="4805"/>
      <c r="E40" s="4806"/>
      <c r="F40" s="4807" t="str">
        <f>CONCATENATE("$0's, real ",dms_DollarReal)</f>
        <v>$0's, real December 2017</v>
      </c>
      <c r="G40" s="4808"/>
      <c r="H40" s="4808"/>
      <c r="I40" s="4808"/>
      <c r="J40" s="4808"/>
      <c r="K40" s="4808"/>
      <c r="L40" s="4808"/>
      <c r="M40" s="4808"/>
      <c r="N40" s="4808"/>
      <c r="O40" s="4808"/>
      <c r="P40" s="4808"/>
      <c r="Q40" s="4808"/>
      <c r="R40" s="4808"/>
      <c r="S40" s="4808"/>
      <c r="T40" s="4808"/>
      <c r="U40" s="4808"/>
      <c r="V40" s="4808"/>
      <c r="W40" s="4808"/>
      <c r="X40" s="4808"/>
      <c r="Y40" s="4808"/>
      <c r="Z40" s="4808"/>
      <c r="AA40" s="4809"/>
      <c r="AB40"/>
      <c r="AC40"/>
      <c r="AD40"/>
      <c r="AE40" s="4804" t="str">
        <f>CONCATENATE("$0's, real ",dms_DollarReal)</f>
        <v>$0's, real December 2017</v>
      </c>
      <c r="AF40" s="4805"/>
      <c r="AG40" s="4821"/>
    </row>
    <row r="41" spans="1:134" s="65" customFormat="1" ht="20.25" customHeight="1">
      <c r="B41" s="4819"/>
      <c r="C41" s="4804" t="s">
        <v>56</v>
      </c>
      <c r="D41" s="4805"/>
      <c r="E41" s="4806"/>
      <c r="F41" s="4807" t="s">
        <v>397</v>
      </c>
      <c r="G41" s="4808"/>
      <c r="H41" s="4808"/>
      <c r="I41" s="4808"/>
      <c r="J41" s="4808"/>
      <c r="K41" s="4808"/>
      <c r="L41" s="4808"/>
      <c r="M41" s="4808"/>
      <c r="N41" s="4808"/>
      <c r="O41" s="4808"/>
      <c r="P41" s="4808"/>
      <c r="Q41" s="4808"/>
      <c r="R41" s="4808"/>
      <c r="S41" s="4808"/>
      <c r="T41" s="4808"/>
      <c r="U41" s="4808"/>
      <c r="V41" s="4808"/>
      <c r="W41" s="4808"/>
      <c r="X41" s="4808"/>
      <c r="Y41" s="4808"/>
      <c r="Z41" s="4808"/>
      <c r="AA41" s="4809"/>
      <c r="AB41"/>
      <c r="AC41"/>
      <c r="AD41"/>
      <c r="AE41" s="4804" t="s">
        <v>56</v>
      </c>
      <c r="AF41" s="4805"/>
      <c r="AG41" s="4821"/>
    </row>
    <row r="42" spans="1:134" s="65" customFormat="1" ht="20.25" customHeight="1" thickBot="1">
      <c r="B42" s="4820"/>
      <c r="C42" s="860">
        <f>CRCP_y1</f>
        <v>2013</v>
      </c>
      <c r="D42" s="860">
        <f>CRCP_y2</f>
        <v>2014</v>
      </c>
      <c r="E42" s="860">
        <f>CRCP_y3</f>
        <v>2015</v>
      </c>
      <c r="F42" s="860">
        <f>CRCP_y4</f>
        <v>2016</v>
      </c>
      <c r="G42" s="860">
        <f>CRCP_y5</f>
        <v>2017</v>
      </c>
      <c r="H42" s="859" t="str">
        <f>CONCATENATE(IF(dms_RPT="Calendar",G42+1,(LEFT(G42,4)+1&amp;"-"&amp;IF(MID(G42,6,2)&lt;"09","0"&amp;RIGHT(G42,1)+1,RIGHT(G42,2)+1))))</f>
        <v>2018</v>
      </c>
      <c r="I42" s="859" t="str">
        <f t="shared" ref="I42" si="3">CONCATENATE(IF(dms_RPT="Calendar",H42+1,(LEFT(H42,4)+1&amp;"-"&amp;IF(MID(H42,6,2)&lt;"09","0"&amp;RIGHT(H42,1)+1,RIGHT(H42,2)+1))))</f>
        <v>2019</v>
      </c>
      <c r="J42" s="859" t="str">
        <f t="shared" ref="J42" si="4">CONCATENATE(IF(dms_RPT="Calendar",I42+1,(LEFT(I42,4)+1&amp;"-"&amp;IF(MID(I42,6,2)&lt;"09","0"&amp;RIGHT(I42,1)+1,RIGHT(I42,2)+1))))</f>
        <v>2020</v>
      </c>
      <c r="K42" s="859" t="str">
        <f t="shared" ref="K42" si="5">CONCATENATE(IF(dms_RPT="Calendar",J42+1,(LEFT(J42,4)+1&amp;"-"&amp;IF(MID(J42,6,2)&lt;"09","0"&amp;RIGHT(J42,1)+1,RIGHT(J42,2)+1))))</f>
        <v>2021</v>
      </c>
      <c r="L42" s="859" t="str">
        <f t="shared" ref="L42" si="6">CONCATENATE(IF(dms_RPT="Calendar",K42+1,(LEFT(K42,4)+1&amp;"-"&amp;IF(MID(K42,6,2)&lt;"09","0"&amp;RIGHT(K42,1)+1,RIGHT(K42,2)+1))))</f>
        <v>2022</v>
      </c>
      <c r="M42" s="860" t="str">
        <f t="shared" ref="M42" si="7">CONCATENATE(IF(dms_RPT="Calendar",L42+1,(LEFT(L42,4)+1&amp;"-"&amp;IF(MID(L42,6,2)&lt;"09","0"&amp;RIGHT(L42,1)+1,RIGHT(L42,2)+1))))</f>
        <v>2023</v>
      </c>
      <c r="N42" s="860" t="str">
        <f t="shared" ref="N42" si="8">CONCATENATE(IF(dms_RPT="Calendar",M42+1,(LEFT(M42,4)+1&amp;"-"&amp;IF(MID(M42,6,2)&lt;"09","0"&amp;RIGHT(M42,1)+1,RIGHT(M42,2)+1))))</f>
        <v>2024</v>
      </c>
      <c r="O42" s="860" t="str">
        <f t="shared" ref="O42" si="9">CONCATENATE(IF(dms_RPT="Calendar",N42+1,(LEFT(N42,4)+1&amp;"-"&amp;IF(MID(N42,6,2)&lt;"09","0"&amp;RIGHT(N42,1)+1,RIGHT(N42,2)+1))))</f>
        <v>2025</v>
      </c>
      <c r="P42" s="860" t="str">
        <f t="shared" ref="P42" si="10">CONCATENATE(IF(dms_RPT="Calendar",O42+1,(LEFT(O42,4)+1&amp;"-"&amp;IF(MID(O42,6,2)&lt;"09","0"&amp;RIGHT(O42,1)+1,RIGHT(O42,2)+1))))</f>
        <v>2026</v>
      </c>
      <c r="Q42" s="860" t="str">
        <f t="shared" ref="Q42" si="11">CONCATENATE(IF(dms_RPT="Calendar",P42+1,(LEFT(P42,4)+1&amp;"-"&amp;IF(MID(P42,6,2)&lt;"09","0"&amp;RIGHT(P42,1)+1,RIGHT(P42,2)+1))))</f>
        <v>2027</v>
      </c>
      <c r="R42" s="860" t="str">
        <f t="shared" ref="R42" si="12">CONCATENATE(IF(dms_RPT="Calendar",Q42+1,(LEFT(Q42,4)+1&amp;"-"&amp;IF(MID(Q42,6,2)&lt;"09","0"&amp;RIGHT(Q42,1)+1,RIGHT(Q42,2)+1))))</f>
        <v>2028</v>
      </c>
      <c r="S42" s="860" t="str">
        <f t="shared" ref="S42" si="13">CONCATENATE(IF(dms_RPT="Calendar",R42+1,(LEFT(R42,4)+1&amp;"-"&amp;IF(MID(R42,6,2)&lt;"09","0"&amp;RIGHT(R42,1)+1,RIGHT(R42,2)+1))))</f>
        <v>2029</v>
      </c>
      <c r="T42" s="860" t="str">
        <f t="shared" ref="T42" si="14">CONCATENATE(IF(dms_RPT="Calendar",S42+1,(LEFT(S42,4)+1&amp;"-"&amp;IF(MID(S42,6,2)&lt;"09","0"&amp;RIGHT(S42,1)+1,RIGHT(S42,2)+1))))</f>
        <v>2030</v>
      </c>
      <c r="U42" s="860" t="str">
        <f t="shared" ref="U42" si="15">CONCATENATE(IF(dms_RPT="Calendar",T42+1,(LEFT(T42,4)+1&amp;"-"&amp;IF(MID(T42,6,2)&lt;"09","0"&amp;RIGHT(T42,1)+1,RIGHT(T42,2)+1))))</f>
        <v>2031</v>
      </c>
      <c r="V42" s="860" t="str">
        <f t="shared" ref="V42" si="16">CONCATENATE(IF(dms_RPT="Calendar",U42+1,(LEFT(U42,4)+1&amp;"-"&amp;IF(MID(U42,6,2)&lt;"09","0"&amp;RIGHT(U42,1)+1,RIGHT(U42,2)+1))))</f>
        <v>2032</v>
      </c>
      <c r="W42" s="860" t="str">
        <f t="shared" ref="W42" si="17">CONCATENATE(IF(dms_RPT="Calendar",V42+1,(LEFT(V42,4)+1&amp;"-"&amp;IF(MID(V42,6,2)&lt;"09","0"&amp;RIGHT(V42,1)+1,RIGHT(V42,2)+1))))</f>
        <v>2033</v>
      </c>
      <c r="X42" s="860" t="str">
        <f t="shared" ref="X42" si="18">CONCATENATE(IF(dms_RPT="Calendar",W42+1,(LEFT(W42,4)+1&amp;"-"&amp;IF(MID(W42,6,2)&lt;"09","0"&amp;RIGHT(W42,1)+1,RIGHT(W42,2)+1))))</f>
        <v>2034</v>
      </c>
      <c r="Y42" s="860" t="str">
        <f t="shared" ref="Y42" si="19">CONCATENATE(IF(dms_RPT="Calendar",X42+1,(LEFT(X42,4)+1&amp;"-"&amp;IF(MID(X42,6,2)&lt;"09","0"&amp;RIGHT(X42,1)+1,RIGHT(X42,2)+1))))</f>
        <v>2035</v>
      </c>
      <c r="Z42" s="860" t="str">
        <f t="shared" ref="Z42" si="20">CONCATENATE(IF(dms_RPT="Calendar",Y42+1,(LEFT(Y42,4)+1&amp;"-"&amp;IF(MID(Y42,6,2)&lt;"09","0"&amp;RIGHT(Y42,1)+1,RIGHT(Y42,2)+1))))</f>
        <v>2036</v>
      </c>
      <c r="AA42" s="860" t="str">
        <f t="shared" ref="AA42" si="21">CONCATENATE(IF(dms_RPT="Calendar",Z42+1,(LEFT(Z42,4)+1&amp;"-"&amp;IF(MID(Z42,6,2)&lt;"09","0"&amp;RIGHT(Z42,1)+1,RIGHT(Z42,2)+1))))</f>
        <v>2037</v>
      </c>
      <c r="AB42"/>
      <c r="AC42"/>
      <c r="AD42"/>
      <c r="AE42" s="1921">
        <f>CRCP_y1</f>
        <v>2013</v>
      </c>
      <c r="AF42" s="860">
        <f>CRCP_y2</f>
        <v>2014</v>
      </c>
      <c r="AG42" s="1305">
        <f>CRCP_y3</f>
        <v>2015</v>
      </c>
    </row>
    <row r="43" spans="1:134" ht="18" customHeight="1">
      <c r="A43" s="725"/>
      <c r="B43" s="918" t="s">
        <v>268</v>
      </c>
      <c r="C43" s="899"/>
      <c r="D43" s="900"/>
      <c r="E43" s="900"/>
      <c r="F43" s="900"/>
      <c r="G43" s="900"/>
      <c r="H43" s="899"/>
      <c r="I43" s="900"/>
      <c r="J43" s="900"/>
      <c r="K43" s="900"/>
      <c r="L43" s="920"/>
      <c r="M43" s="899"/>
      <c r="N43" s="900"/>
      <c r="O43" s="900"/>
      <c r="P43" s="900"/>
      <c r="Q43" s="900"/>
      <c r="R43" s="900"/>
      <c r="S43" s="900"/>
      <c r="T43" s="900"/>
      <c r="U43" s="900"/>
      <c r="V43" s="900"/>
      <c r="W43" s="900"/>
      <c r="X43" s="900"/>
      <c r="Y43" s="900"/>
      <c r="Z43" s="900"/>
      <c r="AA43" s="901"/>
      <c r="AE43" s="1935"/>
      <c r="AF43" s="1936"/>
      <c r="AG43" s="1937"/>
    </row>
    <row r="44" spans="1:134" ht="18" customHeight="1" thickBot="1">
      <c r="A44" s="725"/>
      <c r="B44" s="919" t="s">
        <v>269</v>
      </c>
      <c r="C44" s="902"/>
      <c r="D44" s="903"/>
      <c r="E44" s="903"/>
      <c r="F44" s="903"/>
      <c r="G44" s="903"/>
      <c r="H44" s="902"/>
      <c r="I44" s="903"/>
      <c r="J44" s="903"/>
      <c r="K44" s="903"/>
      <c r="L44" s="921"/>
      <c r="M44" s="902"/>
      <c r="N44" s="903"/>
      <c r="O44" s="903"/>
      <c r="P44" s="903"/>
      <c r="Q44" s="903"/>
      <c r="R44" s="903"/>
      <c r="S44" s="903"/>
      <c r="T44" s="903"/>
      <c r="U44" s="903"/>
      <c r="V44" s="903"/>
      <c r="W44" s="903"/>
      <c r="X44" s="903"/>
      <c r="Y44" s="903"/>
      <c r="Z44" s="903"/>
      <c r="AA44" s="904"/>
      <c r="AE44" s="1931"/>
      <c r="AF44" s="1932"/>
      <c r="AG44" s="1933"/>
    </row>
    <row r="45" spans="1:134" ht="28.5" customHeight="1" thickBot="1">
      <c r="A45" s="725"/>
      <c r="B45" s="1471" t="s">
        <v>127</v>
      </c>
      <c r="C45" s="917"/>
      <c r="D45" s="894"/>
      <c r="E45" s="894"/>
      <c r="F45" s="894"/>
      <c r="G45" s="894"/>
      <c r="H45" s="894"/>
      <c r="I45" s="894"/>
      <c r="J45" s="894"/>
      <c r="K45" s="894"/>
      <c r="L45" s="894"/>
      <c r="M45" s="894"/>
      <c r="N45" s="894"/>
      <c r="O45" s="894"/>
      <c r="P45" s="894"/>
      <c r="Q45" s="894"/>
      <c r="R45" s="894"/>
      <c r="S45" s="894"/>
      <c r="T45" s="894"/>
      <c r="U45" s="894"/>
      <c r="V45" s="894"/>
      <c r="W45" s="894"/>
      <c r="X45" s="894"/>
      <c r="Y45" s="894"/>
      <c r="Z45" s="894"/>
      <c r="AA45" s="895"/>
      <c r="AE45" s="1812"/>
      <c r="AF45" s="1813"/>
      <c r="AG45" s="1814"/>
    </row>
    <row r="46" spans="1:134" ht="30" customHeight="1" thickBot="1">
      <c r="A46" s="725"/>
      <c r="B46" s="517"/>
      <c r="C46" s="517"/>
      <c r="D46" s="517"/>
      <c r="E46" s="517"/>
      <c r="F46" s="517"/>
      <c r="G46" s="517"/>
      <c r="H46" s="517"/>
      <c r="I46" s="517"/>
      <c r="J46" s="517"/>
      <c r="K46" s="517"/>
      <c r="L46" s="517"/>
      <c r="M46" s="517"/>
      <c r="N46" s="517"/>
      <c r="O46" s="517"/>
      <c r="P46" s="517"/>
      <c r="Q46" s="517"/>
      <c r="R46" s="517"/>
      <c r="S46" s="517"/>
      <c r="T46" s="517"/>
      <c r="U46" s="517"/>
      <c r="V46" s="517"/>
      <c r="W46" s="517"/>
      <c r="X46" s="517"/>
      <c r="Y46" s="517"/>
      <c r="Z46" s="517"/>
      <c r="AA46" s="517"/>
      <c r="AE46" s="517"/>
      <c r="AF46" s="517"/>
      <c r="AG46" s="517"/>
    </row>
    <row r="47" spans="1:134" s="92" customFormat="1" ht="18.75" customHeight="1" thickBot="1">
      <c r="A47" s="299"/>
      <c r="B47" s="771" t="s">
        <v>494</v>
      </c>
      <c r="C47" s="772"/>
      <c r="D47" s="772"/>
      <c r="E47" s="772"/>
      <c r="F47" s="772"/>
      <c r="G47" s="772"/>
      <c r="H47" s="772"/>
      <c r="I47" s="772"/>
      <c r="J47" s="772"/>
      <c r="K47" s="772"/>
      <c r="L47" s="772"/>
      <c r="M47" s="772"/>
      <c r="N47" s="772"/>
      <c r="O47" s="772"/>
      <c r="P47" s="772"/>
      <c r="Q47" s="772"/>
      <c r="R47" s="772"/>
      <c r="S47" s="772"/>
      <c r="T47" s="772"/>
      <c r="U47" s="772"/>
      <c r="V47" s="772"/>
      <c r="W47" s="772"/>
      <c r="X47" s="772"/>
      <c r="Y47" s="772"/>
      <c r="Z47" s="772"/>
      <c r="AA47" s="773"/>
      <c r="AB47" s="1266"/>
      <c r="AC47" s="1266"/>
      <c r="AD47" s="1266"/>
      <c r="AE47" s="771"/>
      <c r="AF47" s="772"/>
      <c r="AG47" s="773"/>
      <c r="DE47" s="1266"/>
      <c r="DF47" s="1266"/>
      <c r="DG47" s="1266"/>
      <c r="DH47" s="1266"/>
      <c r="DI47" s="1266"/>
      <c r="DJ47" s="1266"/>
      <c r="DK47" s="1266"/>
      <c r="DL47" s="1266"/>
      <c r="DM47" s="1266"/>
      <c r="DN47" s="1266"/>
      <c r="DO47" s="1266"/>
      <c r="DP47" s="1266"/>
      <c r="DQ47" s="1266"/>
      <c r="DR47" s="1266"/>
      <c r="DS47" s="1266"/>
      <c r="DT47" s="1266"/>
      <c r="DU47" s="1266"/>
      <c r="DV47" s="1266"/>
      <c r="DW47" s="1266"/>
      <c r="DX47" s="1266"/>
      <c r="DY47" s="1266"/>
      <c r="DZ47" s="1266"/>
      <c r="EA47" s="1266"/>
      <c r="EB47" s="1266"/>
      <c r="EC47" s="1266"/>
      <c r="ED47" s="1266"/>
    </row>
    <row r="48" spans="1:134" ht="20.25" customHeight="1">
      <c r="A48" s="725"/>
      <c r="B48" s="4818"/>
      <c r="C48" s="4816" t="s">
        <v>37</v>
      </c>
      <c r="D48" s="4817"/>
      <c r="E48" s="4817"/>
      <c r="F48" s="4817"/>
      <c r="G48" s="4817"/>
      <c r="H48" s="4810" t="s">
        <v>75</v>
      </c>
      <c r="I48" s="4810"/>
      <c r="J48" s="4810"/>
      <c r="K48" s="4810"/>
      <c r="L48" s="4810"/>
      <c r="M48" s="4811" t="s">
        <v>267</v>
      </c>
      <c r="N48" s="4811"/>
      <c r="O48" s="4811"/>
      <c r="P48" s="4811"/>
      <c r="Q48" s="4811"/>
      <c r="R48" s="4811"/>
      <c r="S48" s="4811"/>
      <c r="T48" s="4811"/>
      <c r="U48" s="4811"/>
      <c r="V48" s="4811"/>
      <c r="W48" s="4811"/>
      <c r="X48" s="4811"/>
      <c r="Y48" s="4811"/>
      <c r="Z48" s="4811"/>
      <c r="AA48" s="4812"/>
      <c r="AE48" s="4822" t="s">
        <v>37</v>
      </c>
      <c r="AF48" s="4823"/>
      <c r="AG48" s="4824"/>
    </row>
    <row r="49" spans="1:33" s="65" customFormat="1" ht="20.25" customHeight="1">
      <c r="B49" s="4819"/>
      <c r="C49" s="4804" t="s">
        <v>569</v>
      </c>
      <c r="D49" s="4805"/>
      <c r="E49" s="4806"/>
      <c r="F49" s="4807" t="str">
        <f>CONCATENATE("$0's, real ",dms_DollarReal)</f>
        <v>$0's, real December 2017</v>
      </c>
      <c r="G49" s="4808"/>
      <c r="H49" s="4808"/>
      <c r="I49" s="4808"/>
      <c r="J49" s="4808"/>
      <c r="K49" s="4808"/>
      <c r="L49" s="4808"/>
      <c r="M49" s="4808"/>
      <c r="N49" s="4808"/>
      <c r="O49" s="4808"/>
      <c r="P49" s="4808"/>
      <c r="Q49" s="4808"/>
      <c r="R49" s="4808"/>
      <c r="S49" s="4808"/>
      <c r="T49" s="4808"/>
      <c r="U49" s="4808"/>
      <c r="V49" s="4808"/>
      <c r="W49" s="4808"/>
      <c r="X49" s="4808"/>
      <c r="Y49" s="4808"/>
      <c r="Z49" s="4808"/>
      <c r="AA49" s="4809"/>
      <c r="AB49"/>
      <c r="AC49"/>
      <c r="AD49"/>
      <c r="AE49" s="4804" t="str">
        <f>CONCATENATE("$0's, real ",dms_DollarReal)</f>
        <v>$0's, real December 2017</v>
      </c>
      <c r="AF49" s="4805"/>
      <c r="AG49" s="4821"/>
    </row>
    <row r="50" spans="1:33" s="65" customFormat="1" ht="20.25" customHeight="1">
      <c r="B50" s="4819"/>
      <c r="C50" s="4804" t="s">
        <v>56</v>
      </c>
      <c r="D50" s="4805"/>
      <c r="E50" s="4806"/>
      <c r="F50" s="4807" t="s">
        <v>397</v>
      </c>
      <c r="G50" s="4808"/>
      <c r="H50" s="4808"/>
      <c r="I50" s="4808"/>
      <c r="J50" s="4808"/>
      <c r="K50" s="4808"/>
      <c r="L50" s="4808"/>
      <c r="M50" s="4808"/>
      <c r="N50" s="4808"/>
      <c r="O50" s="4808"/>
      <c r="P50" s="4808"/>
      <c r="Q50" s="4808"/>
      <c r="R50" s="4808"/>
      <c r="S50" s="4808"/>
      <c r="T50" s="4808"/>
      <c r="U50" s="4808"/>
      <c r="V50" s="4808"/>
      <c r="W50" s="4808"/>
      <c r="X50" s="4808"/>
      <c r="Y50" s="4808"/>
      <c r="Z50" s="4808"/>
      <c r="AA50" s="4809"/>
      <c r="AB50"/>
      <c r="AC50"/>
      <c r="AD50"/>
      <c r="AE50" s="4804" t="s">
        <v>56</v>
      </c>
      <c r="AF50" s="4805"/>
      <c r="AG50" s="4821"/>
    </row>
    <row r="51" spans="1:33" s="65" customFormat="1" ht="20.25" customHeight="1" thickBot="1">
      <c r="B51" s="4820"/>
      <c r="C51" s="860">
        <f>CRCP_y1</f>
        <v>2013</v>
      </c>
      <c r="D51" s="860">
        <f>CRCP_y2</f>
        <v>2014</v>
      </c>
      <c r="E51" s="860">
        <f>CRCP_y3</f>
        <v>2015</v>
      </c>
      <c r="F51" s="860">
        <f>CRCP_y4</f>
        <v>2016</v>
      </c>
      <c r="G51" s="860">
        <f>CRCP_y5</f>
        <v>2017</v>
      </c>
      <c r="H51" s="859" t="str">
        <f>CONCATENATE(IF(dms_RPT="Calendar",G51+1,(LEFT(G51,4)+1&amp;"-"&amp;IF(MID(G51,6,2)&lt;"09","0"&amp;RIGHT(G51,1)+1,RIGHT(G51,2)+1))))</f>
        <v>2018</v>
      </c>
      <c r="I51" s="859" t="str">
        <f t="shared" ref="I51" si="22">CONCATENATE(IF(dms_RPT="Calendar",H51+1,(LEFT(H51,4)+1&amp;"-"&amp;IF(MID(H51,6,2)&lt;"09","0"&amp;RIGHT(H51,1)+1,RIGHT(H51,2)+1))))</f>
        <v>2019</v>
      </c>
      <c r="J51" s="859" t="str">
        <f t="shared" ref="J51" si="23">CONCATENATE(IF(dms_RPT="Calendar",I51+1,(LEFT(I51,4)+1&amp;"-"&amp;IF(MID(I51,6,2)&lt;"09","0"&amp;RIGHT(I51,1)+1,RIGHT(I51,2)+1))))</f>
        <v>2020</v>
      </c>
      <c r="K51" s="859" t="str">
        <f t="shared" ref="K51" si="24">CONCATENATE(IF(dms_RPT="Calendar",J51+1,(LEFT(J51,4)+1&amp;"-"&amp;IF(MID(J51,6,2)&lt;"09","0"&amp;RIGHT(J51,1)+1,RIGHT(J51,2)+1))))</f>
        <v>2021</v>
      </c>
      <c r="L51" s="859" t="str">
        <f t="shared" ref="L51" si="25">CONCATENATE(IF(dms_RPT="Calendar",K51+1,(LEFT(K51,4)+1&amp;"-"&amp;IF(MID(K51,6,2)&lt;"09","0"&amp;RIGHT(K51,1)+1,RIGHT(K51,2)+1))))</f>
        <v>2022</v>
      </c>
      <c r="M51" s="860" t="str">
        <f t="shared" ref="M51" si="26">CONCATENATE(IF(dms_RPT="Calendar",L51+1,(LEFT(L51,4)+1&amp;"-"&amp;IF(MID(L51,6,2)&lt;"09","0"&amp;RIGHT(L51,1)+1,RIGHT(L51,2)+1))))</f>
        <v>2023</v>
      </c>
      <c r="N51" s="860" t="str">
        <f t="shared" ref="N51" si="27">CONCATENATE(IF(dms_RPT="Calendar",M51+1,(LEFT(M51,4)+1&amp;"-"&amp;IF(MID(M51,6,2)&lt;"09","0"&amp;RIGHT(M51,1)+1,RIGHT(M51,2)+1))))</f>
        <v>2024</v>
      </c>
      <c r="O51" s="860" t="str">
        <f t="shared" ref="O51" si="28">CONCATENATE(IF(dms_RPT="Calendar",N51+1,(LEFT(N51,4)+1&amp;"-"&amp;IF(MID(N51,6,2)&lt;"09","0"&amp;RIGHT(N51,1)+1,RIGHT(N51,2)+1))))</f>
        <v>2025</v>
      </c>
      <c r="P51" s="860" t="str">
        <f t="shared" ref="P51" si="29">CONCATENATE(IF(dms_RPT="Calendar",O51+1,(LEFT(O51,4)+1&amp;"-"&amp;IF(MID(O51,6,2)&lt;"09","0"&amp;RIGHT(O51,1)+1,RIGHT(O51,2)+1))))</f>
        <v>2026</v>
      </c>
      <c r="Q51" s="860" t="str">
        <f t="shared" ref="Q51" si="30">CONCATENATE(IF(dms_RPT="Calendar",P51+1,(LEFT(P51,4)+1&amp;"-"&amp;IF(MID(P51,6,2)&lt;"09","0"&amp;RIGHT(P51,1)+1,RIGHT(P51,2)+1))))</f>
        <v>2027</v>
      </c>
      <c r="R51" s="860" t="str">
        <f t="shared" ref="R51" si="31">CONCATENATE(IF(dms_RPT="Calendar",Q51+1,(LEFT(Q51,4)+1&amp;"-"&amp;IF(MID(Q51,6,2)&lt;"09","0"&amp;RIGHT(Q51,1)+1,RIGHT(Q51,2)+1))))</f>
        <v>2028</v>
      </c>
      <c r="S51" s="860" t="str">
        <f t="shared" ref="S51" si="32">CONCATENATE(IF(dms_RPT="Calendar",R51+1,(LEFT(R51,4)+1&amp;"-"&amp;IF(MID(R51,6,2)&lt;"09","0"&amp;RIGHT(R51,1)+1,RIGHT(R51,2)+1))))</f>
        <v>2029</v>
      </c>
      <c r="T51" s="860" t="str">
        <f t="shared" ref="T51" si="33">CONCATENATE(IF(dms_RPT="Calendar",S51+1,(LEFT(S51,4)+1&amp;"-"&amp;IF(MID(S51,6,2)&lt;"09","0"&amp;RIGHT(S51,1)+1,RIGHT(S51,2)+1))))</f>
        <v>2030</v>
      </c>
      <c r="U51" s="860" t="str">
        <f t="shared" ref="U51" si="34">CONCATENATE(IF(dms_RPT="Calendar",T51+1,(LEFT(T51,4)+1&amp;"-"&amp;IF(MID(T51,6,2)&lt;"09","0"&amp;RIGHT(T51,1)+1,RIGHT(T51,2)+1))))</f>
        <v>2031</v>
      </c>
      <c r="V51" s="860" t="str">
        <f t="shared" ref="V51" si="35">CONCATENATE(IF(dms_RPT="Calendar",U51+1,(LEFT(U51,4)+1&amp;"-"&amp;IF(MID(U51,6,2)&lt;"09","0"&amp;RIGHT(U51,1)+1,RIGHT(U51,2)+1))))</f>
        <v>2032</v>
      </c>
      <c r="W51" s="860" t="str">
        <f t="shared" ref="W51" si="36">CONCATENATE(IF(dms_RPT="Calendar",V51+1,(LEFT(V51,4)+1&amp;"-"&amp;IF(MID(V51,6,2)&lt;"09","0"&amp;RIGHT(V51,1)+1,RIGHT(V51,2)+1))))</f>
        <v>2033</v>
      </c>
      <c r="X51" s="860" t="str">
        <f t="shared" ref="X51" si="37">CONCATENATE(IF(dms_RPT="Calendar",W51+1,(LEFT(W51,4)+1&amp;"-"&amp;IF(MID(W51,6,2)&lt;"09","0"&amp;RIGHT(W51,1)+1,RIGHT(W51,2)+1))))</f>
        <v>2034</v>
      </c>
      <c r="Y51" s="860" t="str">
        <f t="shared" ref="Y51" si="38">CONCATENATE(IF(dms_RPT="Calendar",X51+1,(LEFT(X51,4)+1&amp;"-"&amp;IF(MID(X51,6,2)&lt;"09","0"&amp;RIGHT(X51,1)+1,RIGHT(X51,2)+1))))</f>
        <v>2035</v>
      </c>
      <c r="Z51" s="860" t="str">
        <f t="shared" ref="Z51" si="39">CONCATENATE(IF(dms_RPT="Calendar",Y51+1,(LEFT(Y51,4)+1&amp;"-"&amp;IF(MID(Y51,6,2)&lt;"09","0"&amp;RIGHT(Y51,1)+1,RIGHT(Y51,2)+1))))</f>
        <v>2036</v>
      </c>
      <c r="AA51" s="860" t="str">
        <f t="shared" ref="AA51" si="40">CONCATENATE(IF(dms_RPT="Calendar",Z51+1,(LEFT(Z51,4)+1&amp;"-"&amp;IF(MID(Z51,6,2)&lt;"09","0"&amp;RIGHT(Z51,1)+1,RIGHT(Z51,2)+1))))</f>
        <v>2037</v>
      </c>
      <c r="AB51"/>
      <c r="AC51"/>
      <c r="AD51"/>
      <c r="AE51" s="1921">
        <f>CRCP_y1</f>
        <v>2013</v>
      </c>
      <c r="AF51" s="860">
        <f>CRCP_y2</f>
        <v>2014</v>
      </c>
      <c r="AG51" s="1305">
        <f>CRCP_y3</f>
        <v>2015</v>
      </c>
    </row>
    <row r="52" spans="1:33">
      <c r="A52" s="725"/>
      <c r="B52" s="763" t="s">
        <v>202</v>
      </c>
      <c r="C52" s="787"/>
      <c r="D52" s="788"/>
      <c r="E52" s="788"/>
      <c r="F52" s="788"/>
      <c r="G52" s="788"/>
      <c r="H52" s="787"/>
      <c r="I52" s="788"/>
      <c r="J52" s="788"/>
      <c r="K52" s="788"/>
      <c r="L52" s="789"/>
      <c r="M52" s="787"/>
      <c r="N52" s="788"/>
      <c r="O52" s="788"/>
      <c r="P52" s="788"/>
      <c r="Q52" s="788"/>
      <c r="R52" s="788"/>
      <c r="S52" s="788"/>
      <c r="T52" s="788"/>
      <c r="U52" s="788"/>
      <c r="V52" s="788"/>
      <c r="W52" s="788"/>
      <c r="X52" s="788"/>
      <c r="Y52" s="788"/>
      <c r="Z52" s="788"/>
      <c r="AA52" s="789"/>
      <c r="AE52" s="1855"/>
      <c r="AF52" s="1856"/>
      <c r="AG52" s="1857"/>
    </row>
    <row r="53" spans="1:33">
      <c r="A53" s="725"/>
      <c r="B53" s="707" t="s">
        <v>203</v>
      </c>
      <c r="C53" s="738"/>
      <c r="D53" s="708"/>
      <c r="E53" s="708"/>
      <c r="F53" s="708"/>
      <c r="G53" s="708"/>
      <c r="H53" s="738"/>
      <c r="I53" s="708"/>
      <c r="J53" s="708"/>
      <c r="K53" s="708"/>
      <c r="L53" s="790"/>
      <c r="M53" s="738"/>
      <c r="N53" s="708"/>
      <c r="O53" s="708"/>
      <c r="P53" s="708"/>
      <c r="Q53" s="708"/>
      <c r="R53" s="708"/>
      <c r="S53" s="708"/>
      <c r="T53" s="708"/>
      <c r="U53" s="708"/>
      <c r="V53" s="708"/>
      <c r="W53" s="708"/>
      <c r="X53" s="708"/>
      <c r="Y53" s="708"/>
      <c r="Z53" s="708"/>
      <c r="AA53" s="790"/>
      <c r="AE53" s="1858"/>
      <c r="AF53" s="1859"/>
      <c r="AG53" s="1860"/>
    </row>
    <row r="54" spans="1:33">
      <c r="A54" s="725"/>
      <c r="B54" s="707" t="s">
        <v>204</v>
      </c>
      <c r="C54" s="738"/>
      <c r="D54" s="708"/>
      <c r="E54" s="708"/>
      <c r="F54" s="708"/>
      <c r="G54" s="708"/>
      <c r="H54" s="738"/>
      <c r="I54" s="708"/>
      <c r="J54" s="708"/>
      <c r="K54" s="708"/>
      <c r="L54" s="790"/>
      <c r="M54" s="738"/>
      <c r="N54" s="708"/>
      <c r="O54" s="708"/>
      <c r="P54" s="708"/>
      <c r="Q54" s="708"/>
      <c r="R54" s="708"/>
      <c r="S54" s="708"/>
      <c r="T54" s="708"/>
      <c r="U54" s="708"/>
      <c r="V54" s="708"/>
      <c r="W54" s="708"/>
      <c r="X54" s="708"/>
      <c r="Y54" s="708"/>
      <c r="Z54" s="708"/>
      <c r="AA54" s="790"/>
      <c r="AE54" s="1858"/>
      <c r="AF54" s="1859"/>
      <c r="AG54" s="1860"/>
    </row>
    <row r="55" spans="1:33">
      <c r="A55" s="725"/>
      <c r="B55" s="707" t="s">
        <v>205</v>
      </c>
      <c r="C55" s="738"/>
      <c r="D55" s="708"/>
      <c r="E55" s="708"/>
      <c r="F55" s="708"/>
      <c r="G55" s="708"/>
      <c r="H55" s="738"/>
      <c r="I55" s="708"/>
      <c r="J55" s="708"/>
      <c r="K55" s="708"/>
      <c r="L55" s="790"/>
      <c r="M55" s="738"/>
      <c r="N55" s="708"/>
      <c r="O55" s="708"/>
      <c r="P55" s="708"/>
      <c r="Q55" s="708"/>
      <c r="R55" s="708"/>
      <c r="S55" s="708"/>
      <c r="T55" s="708"/>
      <c r="U55" s="708"/>
      <c r="V55" s="708"/>
      <c r="W55" s="708"/>
      <c r="X55" s="708"/>
      <c r="Y55" s="708"/>
      <c r="Z55" s="708"/>
      <c r="AA55" s="790"/>
      <c r="AE55" s="1858"/>
      <c r="AF55" s="1859"/>
      <c r="AG55" s="1860"/>
    </row>
    <row r="56" spans="1:33">
      <c r="A56" s="725"/>
      <c r="B56" s="707" t="s">
        <v>274</v>
      </c>
      <c r="C56" s="738"/>
      <c r="D56" s="708"/>
      <c r="E56" s="708"/>
      <c r="F56" s="708"/>
      <c r="G56" s="708"/>
      <c r="H56" s="738"/>
      <c r="I56" s="708"/>
      <c r="J56" s="708"/>
      <c r="K56" s="708"/>
      <c r="L56" s="790"/>
      <c r="M56" s="738"/>
      <c r="N56" s="708"/>
      <c r="O56" s="708"/>
      <c r="P56" s="708"/>
      <c r="Q56" s="708"/>
      <c r="R56" s="708"/>
      <c r="S56" s="708"/>
      <c r="T56" s="708"/>
      <c r="U56" s="708"/>
      <c r="V56" s="708"/>
      <c r="W56" s="708"/>
      <c r="X56" s="708"/>
      <c r="Y56" s="708"/>
      <c r="Z56" s="708"/>
      <c r="AA56" s="790"/>
      <c r="AE56" s="1858"/>
      <c r="AF56" s="1859"/>
      <c r="AG56" s="1860"/>
    </row>
    <row r="57" spans="1:33">
      <c r="A57" s="725"/>
      <c r="B57" s="707" t="s">
        <v>201</v>
      </c>
      <c r="C57" s="738"/>
      <c r="D57" s="708"/>
      <c r="E57" s="708"/>
      <c r="F57" s="708"/>
      <c r="G57" s="708"/>
      <c r="H57" s="738"/>
      <c r="I57" s="708"/>
      <c r="J57" s="708"/>
      <c r="K57" s="708"/>
      <c r="L57" s="790"/>
      <c r="M57" s="738"/>
      <c r="N57" s="708"/>
      <c r="O57" s="708"/>
      <c r="P57" s="708"/>
      <c r="Q57" s="708"/>
      <c r="R57" s="708"/>
      <c r="S57" s="708"/>
      <c r="T57" s="708"/>
      <c r="U57" s="708"/>
      <c r="V57" s="708"/>
      <c r="W57" s="708"/>
      <c r="X57" s="708"/>
      <c r="Y57" s="708"/>
      <c r="Z57" s="708"/>
      <c r="AA57" s="790"/>
      <c r="AE57" s="1858"/>
      <c r="AF57" s="1859"/>
      <c r="AG57" s="1860"/>
    </row>
    <row r="58" spans="1:33">
      <c r="A58" s="725"/>
      <c r="B58" s="707" t="s">
        <v>206</v>
      </c>
      <c r="C58" s="738"/>
      <c r="D58" s="708"/>
      <c r="E58" s="708"/>
      <c r="F58" s="708"/>
      <c r="G58" s="708"/>
      <c r="H58" s="738"/>
      <c r="I58" s="708"/>
      <c r="J58" s="708"/>
      <c r="K58" s="708"/>
      <c r="L58" s="790"/>
      <c r="M58" s="738"/>
      <c r="N58" s="708"/>
      <c r="O58" s="708"/>
      <c r="P58" s="708"/>
      <c r="Q58" s="708"/>
      <c r="R58" s="708"/>
      <c r="S58" s="708"/>
      <c r="T58" s="708"/>
      <c r="U58" s="708"/>
      <c r="V58" s="708"/>
      <c r="W58" s="708"/>
      <c r="X58" s="708"/>
      <c r="Y58" s="708"/>
      <c r="Z58" s="708"/>
      <c r="AA58" s="790"/>
      <c r="AE58" s="1858"/>
      <c r="AF58" s="1859"/>
      <c r="AG58" s="1860"/>
    </row>
    <row r="59" spans="1:33">
      <c r="A59" s="725"/>
      <c r="B59" s="707" t="s">
        <v>275</v>
      </c>
      <c r="C59" s="738"/>
      <c r="D59" s="708"/>
      <c r="E59" s="708"/>
      <c r="F59" s="708"/>
      <c r="G59" s="708"/>
      <c r="H59" s="738"/>
      <c r="I59" s="708"/>
      <c r="J59" s="708"/>
      <c r="K59" s="708"/>
      <c r="L59" s="790"/>
      <c r="M59" s="738"/>
      <c r="N59" s="708"/>
      <c r="O59" s="708"/>
      <c r="P59" s="708"/>
      <c r="Q59" s="708"/>
      <c r="R59" s="708"/>
      <c r="S59" s="708"/>
      <c r="T59" s="708"/>
      <c r="U59" s="708"/>
      <c r="V59" s="708"/>
      <c r="W59" s="708"/>
      <c r="X59" s="708"/>
      <c r="Y59" s="708"/>
      <c r="Z59" s="708"/>
      <c r="AA59" s="790"/>
      <c r="AE59" s="1858"/>
      <c r="AF59" s="1859"/>
      <c r="AG59" s="1860"/>
    </row>
    <row r="60" spans="1:33">
      <c r="A60" s="725"/>
      <c r="B60" s="707" t="s">
        <v>283</v>
      </c>
      <c r="C60" s="738"/>
      <c r="D60" s="708"/>
      <c r="E60" s="708"/>
      <c r="F60" s="708"/>
      <c r="G60" s="708"/>
      <c r="H60" s="738"/>
      <c r="I60" s="708"/>
      <c r="J60" s="708"/>
      <c r="K60" s="708"/>
      <c r="L60" s="790"/>
      <c r="M60" s="738"/>
      <c r="N60" s="708"/>
      <c r="O60" s="708"/>
      <c r="P60" s="708"/>
      <c r="Q60" s="708"/>
      <c r="R60" s="708"/>
      <c r="S60" s="708"/>
      <c r="T60" s="708"/>
      <c r="U60" s="708"/>
      <c r="V60" s="708"/>
      <c r="W60" s="708"/>
      <c r="X60" s="708"/>
      <c r="Y60" s="708"/>
      <c r="Z60" s="708"/>
      <c r="AA60" s="790"/>
      <c r="AE60" s="1858"/>
      <c r="AF60" s="1859"/>
      <c r="AG60" s="1860"/>
    </row>
    <row r="61" spans="1:33">
      <c r="A61" s="725"/>
      <c r="B61" s="707" t="s">
        <v>135</v>
      </c>
      <c r="C61" s="738"/>
      <c r="D61" s="708"/>
      <c r="E61" s="708"/>
      <c r="F61" s="708"/>
      <c r="G61" s="708"/>
      <c r="H61" s="738"/>
      <c r="I61" s="708"/>
      <c r="J61" s="708"/>
      <c r="K61" s="708"/>
      <c r="L61" s="790"/>
      <c r="M61" s="738"/>
      <c r="N61" s="708"/>
      <c r="O61" s="708"/>
      <c r="P61" s="708"/>
      <c r="Q61" s="708"/>
      <c r="R61" s="708"/>
      <c r="S61" s="708"/>
      <c r="T61" s="708"/>
      <c r="U61" s="708"/>
      <c r="V61" s="708"/>
      <c r="W61" s="708"/>
      <c r="X61" s="708"/>
      <c r="Y61" s="708"/>
      <c r="Z61" s="708"/>
      <c r="AA61" s="790"/>
      <c r="AE61" s="1858"/>
      <c r="AF61" s="1859"/>
      <c r="AG61" s="1860"/>
    </row>
    <row r="62" spans="1:33">
      <c r="A62" s="725"/>
      <c r="B62" s="912" t="s">
        <v>659</v>
      </c>
      <c r="C62" s="915">
        <f t="shared" ref="C62:AA62" si="41">SUM(C52:C61)</f>
        <v>0</v>
      </c>
      <c r="D62" s="911">
        <f t="shared" si="41"/>
        <v>0</v>
      </c>
      <c r="E62" s="911">
        <f t="shared" si="41"/>
        <v>0</v>
      </c>
      <c r="F62" s="911">
        <f t="shared" si="41"/>
        <v>0</v>
      </c>
      <c r="G62" s="911">
        <f t="shared" si="41"/>
        <v>0</v>
      </c>
      <c r="H62" s="915">
        <f t="shared" si="41"/>
        <v>0</v>
      </c>
      <c r="I62" s="911">
        <f t="shared" si="41"/>
        <v>0</v>
      </c>
      <c r="J62" s="911">
        <f t="shared" si="41"/>
        <v>0</v>
      </c>
      <c r="K62" s="911">
        <f t="shared" si="41"/>
        <v>0</v>
      </c>
      <c r="L62" s="916">
        <f t="shared" si="41"/>
        <v>0</v>
      </c>
      <c r="M62" s="915">
        <f t="shared" si="41"/>
        <v>0</v>
      </c>
      <c r="N62" s="911">
        <f t="shared" si="41"/>
        <v>0</v>
      </c>
      <c r="O62" s="911">
        <f t="shared" si="41"/>
        <v>0</v>
      </c>
      <c r="P62" s="911">
        <f t="shared" si="41"/>
        <v>0</v>
      </c>
      <c r="Q62" s="911">
        <f t="shared" si="41"/>
        <v>0</v>
      </c>
      <c r="R62" s="911">
        <f t="shared" si="41"/>
        <v>0</v>
      </c>
      <c r="S62" s="911">
        <f t="shared" si="41"/>
        <v>0</v>
      </c>
      <c r="T62" s="911">
        <f t="shared" si="41"/>
        <v>0</v>
      </c>
      <c r="U62" s="911">
        <f t="shared" si="41"/>
        <v>0</v>
      </c>
      <c r="V62" s="911">
        <f t="shared" si="41"/>
        <v>0</v>
      </c>
      <c r="W62" s="911">
        <f t="shared" si="41"/>
        <v>0</v>
      </c>
      <c r="X62" s="911">
        <f t="shared" si="41"/>
        <v>0</v>
      </c>
      <c r="Y62" s="911">
        <f t="shared" si="41"/>
        <v>0</v>
      </c>
      <c r="Z62" s="911">
        <f t="shared" si="41"/>
        <v>0</v>
      </c>
      <c r="AA62" s="916">
        <f t="shared" si="41"/>
        <v>0</v>
      </c>
      <c r="AE62" s="915">
        <f t="shared" ref="AE62:AG62" si="42">SUM(AE52:AE61)</f>
        <v>0</v>
      </c>
      <c r="AF62" s="911">
        <f t="shared" si="42"/>
        <v>0</v>
      </c>
      <c r="AG62" s="916">
        <f t="shared" si="42"/>
        <v>0</v>
      </c>
    </row>
    <row r="63" spans="1:33">
      <c r="A63" s="725"/>
      <c r="B63" s="913" t="s">
        <v>220</v>
      </c>
      <c r="C63" s="738"/>
      <c r="D63" s="708"/>
      <c r="E63" s="708"/>
      <c r="F63" s="708"/>
      <c r="G63" s="708"/>
      <c r="H63" s="738"/>
      <c r="I63" s="708"/>
      <c r="J63" s="708"/>
      <c r="K63" s="708"/>
      <c r="L63" s="790"/>
      <c r="M63" s="738"/>
      <c r="N63" s="708"/>
      <c r="O63" s="708"/>
      <c r="P63" s="708"/>
      <c r="Q63" s="708"/>
      <c r="R63" s="708"/>
      <c r="S63" s="708"/>
      <c r="T63" s="708"/>
      <c r="U63" s="708"/>
      <c r="V63" s="708"/>
      <c r="W63" s="708"/>
      <c r="X63" s="708"/>
      <c r="Y63" s="708"/>
      <c r="Z63" s="708"/>
      <c r="AA63" s="790"/>
      <c r="AE63" s="1858"/>
      <c r="AF63" s="1859"/>
      <c r="AG63" s="1860"/>
    </row>
    <row r="64" spans="1:33">
      <c r="A64" s="725"/>
      <c r="B64" s="913" t="s">
        <v>221</v>
      </c>
      <c r="C64" s="738"/>
      <c r="D64" s="708"/>
      <c r="E64" s="708"/>
      <c r="F64" s="708"/>
      <c r="G64" s="708"/>
      <c r="H64" s="738"/>
      <c r="I64" s="708"/>
      <c r="J64" s="708"/>
      <c r="K64" s="708"/>
      <c r="L64" s="790"/>
      <c r="M64" s="738"/>
      <c r="N64" s="708"/>
      <c r="O64" s="708"/>
      <c r="P64" s="708"/>
      <c r="Q64" s="708"/>
      <c r="R64" s="708"/>
      <c r="S64" s="708"/>
      <c r="T64" s="708"/>
      <c r="U64" s="708"/>
      <c r="V64" s="708"/>
      <c r="W64" s="708"/>
      <c r="X64" s="708"/>
      <c r="Y64" s="708"/>
      <c r="Z64" s="708"/>
      <c r="AA64" s="790"/>
      <c r="AE64" s="1858"/>
      <c r="AF64" s="1859"/>
      <c r="AG64" s="1860"/>
    </row>
    <row r="65" spans="1:33">
      <c r="A65" s="725"/>
      <c r="B65" s="912" t="s">
        <v>55</v>
      </c>
      <c r="C65" s="915">
        <f>SUM(C63:C64)</f>
        <v>0</v>
      </c>
      <c r="D65" s="911">
        <f t="shared" ref="D65:AA65" si="43">SUM(D63:D64)</f>
        <v>0</v>
      </c>
      <c r="E65" s="911">
        <f t="shared" si="43"/>
        <v>0</v>
      </c>
      <c r="F65" s="911">
        <f t="shared" ref="F65" si="44">SUM(F63:F64)</f>
        <v>0</v>
      </c>
      <c r="G65" s="911">
        <f t="shared" si="43"/>
        <v>0</v>
      </c>
      <c r="H65" s="915">
        <f t="shared" si="43"/>
        <v>0</v>
      </c>
      <c r="I65" s="911">
        <f t="shared" si="43"/>
        <v>0</v>
      </c>
      <c r="J65" s="911">
        <f t="shared" si="43"/>
        <v>0</v>
      </c>
      <c r="K65" s="911">
        <f t="shared" si="43"/>
        <v>0</v>
      </c>
      <c r="L65" s="916">
        <f t="shared" si="43"/>
        <v>0</v>
      </c>
      <c r="M65" s="915">
        <f t="shared" si="43"/>
        <v>0</v>
      </c>
      <c r="N65" s="911">
        <f t="shared" si="43"/>
        <v>0</v>
      </c>
      <c r="O65" s="911">
        <f t="shared" si="43"/>
        <v>0</v>
      </c>
      <c r="P65" s="911">
        <f t="shared" si="43"/>
        <v>0</v>
      </c>
      <c r="Q65" s="911">
        <f t="shared" si="43"/>
        <v>0</v>
      </c>
      <c r="R65" s="911">
        <f t="shared" si="43"/>
        <v>0</v>
      </c>
      <c r="S65" s="911">
        <f t="shared" si="43"/>
        <v>0</v>
      </c>
      <c r="T65" s="911">
        <f t="shared" si="43"/>
        <v>0</v>
      </c>
      <c r="U65" s="911">
        <f t="shared" si="43"/>
        <v>0</v>
      </c>
      <c r="V65" s="911">
        <f t="shared" si="43"/>
        <v>0</v>
      </c>
      <c r="W65" s="911">
        <f t="shared" si="43"/>
        <v>0</v>
      </c>
      <c r="X65" s="911">
        <f t="shared" si="43"/>
        <v>0</v>
      </c>
      <c r="Y65" s="911">
        <f t="shared" si="43"/>
        <v>0</v>
      </c>
      <c r="Z65" s="911">
        <f t="shared" si="43"/>
        <v>0</v>
      </c>
      <c r="AA65" s="916">
        <f t="shared" si="43"/>
        <v>0</v>
      </c>
      <c r="AE65" s="915">
        <f>SUM(AE63:AE64)</f>
        <v>0</v>
      </c>
      <c r="AF65" s="911">
        <f t="shared" ref="AF65:AG65" si="45">SUM(AF63:AF64)</f>
        <v>0</v>
      </c>
      <c r="AG65" s="916">
        <f t="shared" si="45"/>
        <v>0</v>
      </c>
    </row>
    <row r="66" spans="1:33" s="725" customFormat="1" ht="13.5" thickBot="1">
      <c r="B66" s="914" t="s">
        <v>660</v>
      </c>
      <c r="C66" s="868">
        <f t="shared" ref="C66:AA66" si="46">C62-C65</f>
        <v>0</v>
      </c>
      <c r="D66" s="869">
        <f t="shared" si="46"/>
        <v>0</v>
      </c>
      <c r="E66" s="869">
        <f t="shared" si="46"/>
        <v>0</v>
      </c>
      <c r="F66" s="869">
        <f t="shared" si="46"/>
        <v>0</v>
      </c>
      <c r="G66" s="869">
        <f t="shared" si="46"/>
        <v>0</v>
      </c>
      <c r="H66" s="868">
        <f t="shared" si="46"/>
        <v>0</v>
      </c>
      <c r="I66" s="869">
        <f t="shared" si="46"/>
        <v>0</v>
      </c>
      <c r="J66" s="869">
        <f t="shared" si="46"/>
        <v>0</v>
      </c>
      <c r="K66" s="869">
        <f t="shared" si="46"/>
        <v>0</v>
      </c>
      <c r="L66" s="870">
        <f t="shared" si="46"/>
        <v>0</v>
      </c>
      <c r="M66" s="868">
        <f t="shared" si="46"/>
        <v>0</v>
      </c>
      <c r="N66" s="869">
        <f t="shared" si="46"/>
        <v>0</v>
      </c>
      <c r="O66" s="869">
        <f t="shared" si="46"/>
        <v>0</v>
      </c>
      <c r="P66" s="869">
        <f t="shared" si="46"/>
        <v>0</v>
      </c>
      <c r="Q66" s="869">
        <f t="shared" si="46"/>
        <v>0</v>
      </c>
      <c r="R66" s="869">
        <f t="shared" si="46"/>
        <v>0</v>
      </c>
      <c r="S66" s="869">
        <f t="shared" si="46"/>
        <v>0</v>
      </c>
      <c r="T66" s="869">
        <f t="shared" si="46"/>
        <v>0</v>
      </c>
      <c r="U66" s="869">
        <f t="shared" si="46"/>
        <v>0</v>
      </c>
      <c r="V66" s="869">
        <f t="shared" si="46"/>
        <v>0</v>
      </c>
      <c r="W66" s="869">
        <f t="shared" si="46"/>
        <v>0</v>
      </c>
      <c r="X66" s="869">
        <f t="shared" si="46"/>
        <v>0</v>
      </c>
      <c r="Y66" s="869">
        <f t="shared" si="46"/>
        <v>0</v>
      </c>
      <c r="Z66" s="869">
        <f t="shared" si="46"/>
        <v>0</v>
      </c>
      <c r="AA66" s="870">
        <f t="shared" si="46"/>
        <v>0</v>
      </c>
      <c r="AB66"/>
      <c r="AC66"/>
      <c r="AD66"/>
      <c r="AE66" s="1934">
        <f t="shared" ref="AE66:AG66" si="47">AE62-AE65</f>
        <v>0</v>
      </c>
      <c r="AF66" s="869">
        <f t="shared" si="47"/>
        <v>0</v>
      </c>
      <c r="AG66" s="870">
        <f t="shared" si="47"/>
        <v>0</v>
      </c>
    </row>
    <row r="67" spans="1:33" ht="29.25" customHeight="1" thickBot="1">
      <c r="A67" s="725"/>
      <c r="B67" s="1471" t="s">
        <v>127</v>
      </c>
      <c r="C67" s="917"/>
      <c r="D67" s="894"/>
      <c r="E67" s="894"/>
      <c r="F67" s="894"/>
      <c r="G67" s="894"/>
      <c r="H67" s="894"/>
      <c r="I67" s="894"/>
      <c r="J67" s="894"/>
      <c r="K67" s="894"/>
      <c r="L67" s="894"/>
      <c r="M67" s="894"/>
      <c r="N67" s="894"/>
      <c r="O67" s="894"/>
      <c r="P67" s="894"/>
      <c r="Q67" s="894"/>
      <c r="R67" s="894"/>
      <c r="S67" s="894"/>
      <c r="T67" s="894"/>
      <c r="U67" s="894"/>
      <c r="V67" s="894"/>
      <c r="W67" s="894"/>
      <c r="X67" s="894"/>
      <c r="Y67" s="894"/>
      <c r="Z67" s="894"/>
      <c r="AA67" s="895"/>
      <c r="AE67" s="1812"/>
      <c r="AF67" s="1813"/>
      <c r="AG67" s="1814"/>
    </row>
    <row r="68" spans="1:33">
      <c r="A68" s="725"/>
    </row>
    <row r="69" spans="1:33">
      <c r="A69" s="725"/>
    </row>
  </sheetData>
  <mergeCells count="37">
    <mergeCell ref="AE50:AG50"/>
    <mergeCell ref="AE21:AG21"/>
    <mergeCell ref="AE39:AG39"/>
    <mergeCell ref="AE48:AG48"/>
    <mergeCell ref="AE22:AG22"/>
    <mergeCell ref="AE23:AG23"/>
    <mergeCell ref="AE40:AG40"/>
    <mergeCell ref="AE41:AG41"/>
    <mergeCell ref="AE49:AG49"/>
    <mergeCell ref="B10:G10"/>
    <mergeCell ref="B7:G7"/>
    <mergeCell ref="B8:G8"/>
    <mergeCell ref="B9:G9"/>
    <mergeCell ref="C48:G48"/>
    <mergeCell ref="B39:B42"/>
    <mergeCell ref="B48:B51"/>
    <mergeCell ref="B21:B24"/>
    <mergeCell ref="C21:G21"/>
    <mergeCell ref="C40:E40"/>
    <mergeCell ref="F40:AA40"/>
    <mergeCell ref="C41:E41"/>
    <mergeCell ref="F41:AA41"/>
    <mergeCell ref="H21:L21"/>
    <mergeCell ref="M21:AA21"/>
    <mergeCell ref="C39:G39"/>
    <mergeCell ref="H39:L39"/>
    <mergeCell ref="M39:AA39"/>
    <mergeCell ref="C22:E22"/>
    <mergeCell ref="C23:E23"/>
    <mergeCell ref="F22:AA22"/>
    <mergeCell ref="F23:AA23"/>
    <mergeCell ref="C49:E49"/>
    <mergeCell ref="F49:AA49"/>
    <mergeCell ref="C50:E50"/>
    <mergeCell ref="F50:AA50"/>
    <mergeCell ref="H48:L48"/>
    <mergeCell ref="M48:AA48"/>
  </mergeCells>
  <pageMargins left="0.75" right="0.75" top="1" bottom="1" header="0.5" footer="0.5"/>
  <pageSetup paperSize="9" orientation="portrait" r:id="rId1"/>
  <headerFooter alignWithMargins="0"/>
  <customProperties>
    <customPr name="layoutContexts" r:id="rId2"/>
  </customProperties>
  <drawing r:id="rId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1">
    <tabColor indexed="26"/>
    <pageSetUpPr autoPageBreaks="0"/>
  </sheetPr>
  <dimension ref="A1:EE81"/>
  <sheetViews>
    <sheetView showGridLines="0" zoomScale="70" zoomScaleNormal="70" workbookViewId="0">
      <selection activeCell="B49" sqref="B49:B68"/>
    </sheetView>
  </sheetViews>
  <sheetFormatPr defaultRowHeight="12.75"/>
  <cols>
    <col min="1" max="1" width="14.140625" style="94" customWidth="1"/>
    <col min="2" max="2" width="54.5703125" style="94" customWidth="1"/>
    <col min="3" max="3" width="57.7109375" style="94" customWidth="1"/>
    <col min="4" max="27" width="12.7109375" style="94" customWidth="1"/>
    <col min="32" max="256" width="9.140625" style="94"/>
    <col min="257" max="257" width="14.140625" style="94" customWidth="1"/>
    <col min="258" max="258" width="66.28515625" style="94" bestFit="1" customWidth="1"/>
    <col min="259" max="259" width="10" style="94" bestFit="1" customWidth="1"/>
    <col min="260" max="261" width="8.5703125" style="94" bestFit="1" customWidth="1"/>
    <col min="262" max="262" width="17.42578125" style="94" bestFit="1" customWidth="1"/>
    <col min="263" max="263" width="17.28515625" style="94" bestFit="1" customWidth="1"/>
    <col min="264" max="265" width="10.7109375" style="94" customWidth="1"/>
    <col min="266" max="267" width="10.7109375" style="94" bestFit="1" customWidth="1"/>
    <col min="268" max="268" width="10.7109375" style="94" customWidth="1"/>
    <col min="269" max="271" width="10.7109375" style="94" bestFit="1" customWidth="1"/>
    <col min="272" max="273" width="10.7109375" style="94" customWidth="1"/>
    <col min="274" max="275" width="10.7109375" style="94" bestFit="1" customWidth="1"/>
    <col min="276" max="512" width="9.140625" style="94"/>
    <col min="513" max="513" width="14.140625" style="94" customWidth="1"/>
    <col min="514" max="514" width="66.28515625" style="94" bestFit="1" customWidth="1"/>
    <col min="515" max="515" width="10" style="94" bestFit="1" customWidth="1"/>
    <col min="516" max="517" width="8.5703125" style="94" bestFit="1" customWidth="1"/>
    <col min="518" max="518" width="17.42578125" style="94" bestFit="1" customWidth="1"/>
    <col min="519" max="519" width="17.28515625" style="94" bestFit="1" customWidth="1"/>
    <col min="520" max="521" width="10.7109375" style="94" customWidth="1"/>
    <col min="522" max="523" width="10.7109375" style="94" bestFit="1" customWidth="1"/>
    <col min="524" max="524" width="10.7109375" style="94" customWidth="1"/>
    <col min="525" max="527" width="10.7109375" style="94" bestFit="1" customWidth="1"/>
    <col min="528" max="529" width="10.7109375" style="94" customWidth="1"/>
    <col min="530" max="531" width="10.7109375" style="94" bestFit="1" customWidth="1"/>
    <col min="532" max="768" width="9.140625" style="94"/>
    <col min="769" max="769" width="14.140625" style="94" customWidth="1"/>
    <col min="770" max="770" width="66.28515625" style="94" bestFit="1" customWidth="1"/>
    <col min="771" max="771" width="10" style="94" bestFit="1" customWidth="1"/>
    <col min="772" max="773" width="8.5703125" style="94" bestFit="1" customWidth="1"/>
    <col min="774" max="774" width="17.42578125" style="94" bestFit="1" customWidth="1"/>
    <col min="775" max="775" width="17.28515625" style="94" bestFit="1" customWidth="1"/>
    <col min="776" max="777" width="10.7109375" style="94" customWidth="1"/>
    <col min="778" max="779" width="10.7109375" style="94" bestFit="1" customWidth="1"/>
    <col min="780" max="780" width="10.7109375" style="94" customWidth="1"/>
    <col min="781" max="783" width="10.7109375" style="94" bestFit="1" customWidth="1"/>
    <col min="784" max="785" width="10.7109375" style="94" customWidth="1"/>
    <col min="786" max="787" width="10.7109375" style="94" bestFit="1" customWidth="1"/>
    <col min="788" max="1024" width="9.140625" style="94"/>
    <col min="1025" max="1025" width="14.140625" style="94" customWidth="1"/>
    <col min="1026" max="1026" width="66.28515625" style="94" bestFit="1" customWidth="1"/>
    <col min="1027" max="1027" width="10" style="94" bestFit="1" customWidth="1"/>
    <col min="1028" max="1029" width="8.5703125" style="94" bestFit="1" customWidth="1"/>
    <col min="1030" max="1030" width="17.42578125" style="94" bestFit="1" customWidth="1"/>
    <col min="1031" max="1031" width="17.28515625" style="94" bestFit="1" customWidth="1"/>
    <col min="1032" max="1033" width="10.7109375" style="94" customWidth="1"/>
    <col min="1034" max="1035" width="10.7109375" style="94" bestFit="1" customWidth="1"/>
    <col min="1036" max="1036" width="10.7109375" style="94" customWidth="1"/>
    <col min="1037" max="1039" width="10.7109375" style="94" bestFit="1" customWidth="1"/>
    <col min="1040" max="1041" width="10.7109375" style="94" customWidth="1"/>
    <col min="1042" max="1043" width="10.7109375" style="94" bestFit="1" customWidth="1"/>
    <col min="1044" max="1280" width="9.140625" style="94"/>
    <col min="1281" max="1281" width="14.140625" style="94" customWidth="1"/>
    <col min="1282" max="1282" width="66.28515625" style="94" bestFit="1" customWidth="1"/>
    <col min="1283" max="1283" width="10" style="94" bestFit="1" customWidth="1"/>
    <col min="1284" max="1285" width="8.5703125" style="94" bestFit="1" customWidth="1"/>
    <col min="1286" max="1286" width="17.42578125" style="94" bestFit="1" customWidth="1"/>
    <col min="1287" max="1287" width="17.28515625" style="94" bestFit="1" customWidth="1"/>
    <col min="1288" max="1289" width="10.7109375" style="94" customWidth="1"/>
    <col min="1290" max="1291" width="10.7109375" style="94" bestFit="1" customWidth="1"/>
    <col min="1292" max="1292" width="10.7109375" style="94" customWidth="1"/>
    <col min="1293" max="1295" width="10.7109375" style="94" bestFit="1" customWidth="1"/>
    <col min="1296" max="1297" width="10.7109375" style="94" customWidth="1"/>
    <col min="1298" max="1299" width="10.7109375" style="94" bestFit="1" customWidth="1"/>
    <col min="1300" max="1536" width="9.140625" style="94"/>
    <col min="1537" max="1537" width="14.140625" style="94" customWidth="1"/>
    <col min="1538" max="1538" width="66.28515625" style="94" bestFit="1" customWidth="1"/>
    <col min="1539" max="1539" width="10" style="94" bestFit="1" customWidth="1"/>
    <col min="1540" max="1541" width="8.5703125" style="94" bestFit="1" customWidth="1"/>
    <col min="1542" max="1542" width="17.42578125" style="94" bestFit="1" customWidth="1"/>
    <col min="1543" max="1543" width="17.28515625" style="94" bestFit="1" customWidth="1"/>
    <col min="1544" max="1545" width="10.7109375" style="94" customWidth="1"/>
    <col min="1546" max="1547" width="10.7109375" style="94" bestFit="1" customWidth="1"/>
    <col min="1548" max="1548" width="10.7109375" style="94" customWidth="1"/>
    <col min="1549" max="1551" width="10.7109375" style="94" bestFit="1" customWidth="1"/>
    <col min="1552" max="1553" width="10.7109375" style="94" customWidth="1"/>
    <col min="1554" max="1555" width="10.7109375" style="94" bestFit="1" customWidth="1"/>
    <col min="1556" max="1792" width="9.140625" style="94"/>
    <col min="1793" max="1793" width="14.140625" style="94" customWidth="1"/>
    <col min="1794" max="1794" width="66.28515625" style="94" bestFit="1" customWidth="1"/>
    <col min="1795" max="1795" width="10" style="94" bestFit="1" customWidth="1"/>
    <col min="1796" max="1797" width="8.5703125" style="94" bestFit="1" customWidth="1"/>
    <col min="1798" max="1798" width="17.42578125" style="94" bestFit="1" customWidth="1"/>
    <col min="1799" max="1799" width="17.28515625" style="94" bestFit="1" customWidth="1"/>
    <col min="1800" max="1801" width="10.7109375" style="94" customWidth="1"/>
    <col min="1802" max="1803" width="10.7109375" style="94" bestFit="1" customWidth="1"/>
    <col min="1804" max="1804" width="10.7109375" style="94" customWidth="1"/>
    <col min="1805" max="1807" width="10.7109375" style="94" bestFit="1" customWidth="1"/>
    <col min="1808" max="1809" width="10.7109375" style="94" customWidth="1"/>
    <col min="1810" max="1811" width="10.7109375" style="94" bestFit="1" customWidth="1"/>
    <col min="1812" max="2048" width="9.140625" style="94"/>
    <col min="2049" max="2049" width="14.140625" style="94" customWidth="1"/>
    <col min="2050" max="2050" width="66.28515625" style="94" bestFit="1" customWidth="1"/>
    <col min="2051" max="2051" width="10" style="94" bestFit="1" customWidth="1"/>
    <col min="2052" max="2053" width="8.5703125" style="94" bestFit="1" customWidth="1"/>
    <col min="2054" max="2054" width="17.42578125" style="94" bestFit="1" customWidth="1"/>
    <col min="2055" max="2055" width="17.28515625" style="94" bestFit="1" customWidth="1"/>
    <col min="2056" max="2057" width="10.7109375" style="94" customWidth="1"/>
    <col min="2058" max="2059" width="10.7109375" style="94" bestFit="1" customWidth="1"/>
    <col min="2060" max="2060" width="10.7109375" style="94" customWidth="1"/>
    <col min="2061" max="2063" width="10.7109375" style="94" bestFit="1" customWidth="1"/>
    <col min="2064" max="2065" width="10.7109375" style="94" customWidth="1"/>
    <col min="2066" max="2067" width="10.7109375" style="94" bestFit="1" customWidth="1"/>
    <col min="2068" max="2304" width="9.140625" style="94"/>
    <col min="2305" max="2305" width="14.140625" style="94" customWidth="1"/>
    <col min="2306" max="2306" width="66.28515625" style="94" bestFit="1" customWidth="1"/>
    <col min="2307" max="2307" width="10" style="94" bestFit="1" customWidth="1"/>
    <col min="2308" max="2309" width="8.5703125" style="94" bestFit="1" customWidth="1"/>
    <col min="2310" max="2310" width="17.42578125" style="94" bestFit="1" customWidth="1"/>
    <col min="2311" max="2311" width="17.28515625" style="94" bestFit="1" customWidth="1"/>
    <col min="2312" max="2313" width="10.7109375" style="94" customWidth="1"/>
    <col min="2314" max="2315" width="10.7109375" style="94" bestFit="1" customWidth="1"/>
    <col min="2316" max="2316" width="10.7109375" style="94" customWidth="1"/>
    <col min="2317" max="2319" width="10.7109375" style="94" bestFit="1" customWidth="1"/>
    <col min="2320" max="2321" width="10.7109375" style="94" customWidth="1"/>
    <col min="2322" max="2323" width="10.7109375" style="94" bestFit="1" customWidth="1"/>
    <col min="2324" max="2560" width="9.140625" style="94"/>
    <col min="2561" max="2561" width="14.140625" style="94" customWidth="1"/>
    <col min="2562" max="2562" width="66.28515625" style="94" bestFit="1" customWidth="1"/>
    <col min="2563" max="2563" width="10" style="94" bestFit="1" customWidth="1"/>
    <col min="2564" max="2565" width="8.5703125" style="94" bestFit="1" customWidth="1"/>
    <col min="2566" max="2566" width="17.42578125" style="94" bestFit="1" customWidth="1"/>
    <col min="2567" max="2567" width="17.28515625" style="94" bestFit="1" customWidth="1"/>
    <col min="2568" max="2569" width="10.7109375" style="94" customWidth="1"/>
    <col min="2570" max="2571" width="10.7109375" style="94" bestFit="1" customWidth="1"/>
    <col min="2572" max="2572" width="10.7109375" style="94" customWidth="1"/>
    <col min="2573" max="2575" width="10.7109375" style="94" bestFit="1" customWidth="1"/>
    <col min="2576" max="2577" width="10.7109375" style="94" customWidth="1"/>
    <col min="2578" max="2579" width="10.7109375" style="94" bestFit="1" customWidth="1"/>
    <col min="2580" max="2816" width="9.140625" style="94"/>
    <col min="2817" max="2817" width="14.140625" style="94" customWidth="1"/>
    <col min="2818" max="2818" width="66.28515625" style="94" bestFit="1" customWidth="1"/>
    <col min="2819" max="2819" width="10" style="94" bestFit="1" customWidth="1"/>
    <col min="2820" max="2821" width="8.5703125" style="94" bestFit="1" customWidth="1"/>
    <col min="2822" max="2822" width="17.42578125" style="94" bestFit="1" customWidth="1"/>
    <col min="2823" max="2823" width="17.28515625" style="94" bestFit="1" customWidth="1"/>
    <col min="2824" max="2825" width="10.7109375" style="94" customWidth="1"/>
    <col min="2826" max="2827" width="10.7109375" style="94" bestFit="1" customWidth="1"/>
    <col min="2828" max="2828" width="10.7109375" style="94" customWidth="1"/>
    <col min="2829" max="2831" width="10.7109375" style="94" bestFit="1" customWidth="1"/>
    <col min="2832" max="2833" width="10.7109375" style="94" customWidth="1"/>
    <col min="2834" max="2835" width="10.7109375" style="94" bestFit="1" customWidth="1"/>
    <col min="2836" max="3072" width="9.140625" style="94"/>
    <col min="3073" max="3073" width="14.140625" style="94" customWidth="1"/>
    <col min="3074" max="3074" width="66.28515625" style="94" bestFit="1" customWidth="1"/>
    <col min="3075" max="3075" width="10" style="94" bestFit="1" customWidth="1"/>
    <col min="3076" max="3077" width="8.5703125" style="94" bestFit="1" customWidth="1"/>
    <col min="3078" max="3078" width="17.42578125" style="94" bestFit="1" customWidth="1"/>
    <col min="3079" max="3079" width="17.28515625" style="94" bestFit="1" customWidth="1"/>
    <col min="3080" max="3081" width="10.7109375" style="94" customWidth="1"/>
    <col min="3082" max="3083" width="10.7109375" style="94" bestFit="1" customWidth="1"/>
    <col min="3084" max="3084" width="10.7109375" style="94" customWidth="1"/>
    <col min="3085" max="3087" width="10.7109375" style="94" bestFit="1" customWidth="1"/>
    <col min="3088" max="3089" width="10.7109375" style="94" customWidth="1"/>
    <col min="3090" max="3091" width="10.7109375" style="94" bestFit="1" customWidth="1"/>
    <col min="3092" max="3328" width="9.140625" style="94"/>
    <col min="3329" max="3329" width="14.140625" style="94" customWidth="1"/>
    <col min="3330" max="3330" width="66.28515625" style="94" bestFit="1" customWidth="1"/>
    <col min="3331" max="3331" width="10" style="94" bestFit="1" customWidth="1"/>
    <col min="3332" max="3333" width="8.5703125" style="94" bestFit="1" customWidth="1"/>
    <col min="3334" max="3334" width="17.42578125" style="94" bestFit="1" customWidth="1"/>
    <col min="3335" max="3335" width="17.28515625" style="94" bestFit="1" customWidth="1"/>
    <col min="3336" max="3337" width="10.7109375" style="94" customWidth="1"/>
    <col min="3338" max="3339" width="10.7109375" style="94" bestFit="1" customWidth="1"/>
    <col min="3340" max="3340" width="10.7109375" style="94" customWidth="1"/>
    <col min="3341" max="3343" width="10.7109375" style="94" bestFit="1" customWidth="1"/>
    <col min="3344" max="3345" width="10.7109375" style="94" customWidth="1"/>
    <col min="3346" max="3347" width="10.7109375" style="94" bestFit="1" customWidth="1"/>
    <col min="3348" max="3584" width="9.140625" style="94"/>
    <col min="3585" max="3585" width="14.140625" style="94" customWidth="1"/>
    <col min="3586" max="3586" width="66.28515625" style="94" bestFit="1" customWidth="1"/>
    <col min="3587" max="3587" width="10" style="94" bestFit="1" customWidth="1"/>
    <col min="3588" max="3589" width="8.5703125" style="94" bestFit="1" customWidth="1"/>
    <col min="3590" max="3590" width="17.42578125" style="94" bestFit="1" customWidth="1"/>
    <col min="3591" max="3591" width="17.28515625" style="94" bestFit="1" customWidth="1"/>
    <col min="3592" max="3593" width="10.7109375" style="94" customWidth="1"/>
    <col min="3594" max="3595" width="10.7109375" style="94" bestFit="1" customWidth="1"/>
    <col min="3596" max="3596" width="10.7109375" style="94" customWidth="1"/>
    <col min="3597" max="3599" width="10.7109375" style="94" bestFit="1" customWidth="1"/>
    <col min="3600" max="3601" width="10.7109375" style="94" customWidth="1"/>
    <col min="3602" max="3603" width="10.7109375" style="94" bestFit="1" customWidth="1"/>
    <col min="3604" max="3840" width="9.140625" style="94"/>
    <col min="3841" max="3841" width="14.140625" style="94" customWidth="1"/>
    <col min="3842" max="3842" width="66.28515625" style="94" bestFit="1" customWidth="1"/>
    <col min="3843" max="3843" width="10" style="94" bestFit="1" customWidth="1"/>
    <col min="3844" max="3845" width="8.5703125" style="94" bestFit="1" customWidth="1"/>
    <col min="3846" max="3846" width="17.42578125" style="94" bestFit="1" customWidth="1"/>
    <col min="3847" max="3847" width="17.28515625" style="94" bestFit="1" customWidth="1"/>
    <col min="3848" max="3849" width="10.7109375" style="94" customWidth="1"/>
    <col min="3850" max="3851" width="10.7109375" style="94" bestFit="1" customWidth="1"/>
    <col min="3852" max="3852" width="10.7109375" style="94" customWidth="1"/>
    <col min="3853" max="3855" width="10.7109375" style="94" bestFit="1" customWidth="1"/>
    <col min="3856" max="3857" width="10.7109375" style="94" customWidth="1"/>
    <col min="3858" max="3859" width="10.7109375" style="94" bestFit="1" customWidth="1"/>
    <col min="3860" max="4096" width="9.140625" style="94"/>
    <col min="4097" max="4097" width="14.140625" style="94" customWidth="1"/>
    <col min="4098" max="4098" width="66.28515625" style="94" bestFit="1" customWidth="1"/>
    <col min="4099" max="4099" width="10" style="94" bestFit="1" customWidth="1"/>
    <col min="4100" max="4101" width="8.5703125" style="94" bestFit="1" customWidth="1"/>
    <col min="4102" max="4102" width="17.42578125" style="94" bestFit="1" customWidth="1"/>
    <col min="4103" max="4103" width="17.28515625" style="94" bestFit="1" customWidth="1"/>
    <col min="4104" max="4105" width="10.7109375" style="94" customWidth="1"/>
    <col min="4106" max="4107" width="10.7109375" style="94" bestFit="1" customWidth="1"/>
    <col min="4108" max="4108" width="10.7109375" style="94" customWidth="1"/>
    <col min="4109" max="4111" width="10.7109375" style="94" bestFit="1" customWidth="1"/>
    <col min="4112" max="4113" width="10.7109375" style="94" customWidth="1"/>
    <col min="4114" max="4115" width="10.7109375" style="94" bestFit="1" customWidth="1"/>
    <col min="4116" max="4352" width="9.140625" style="94"/>
    <col min="4353" max="4353" width="14.140625" style="94" customWidth="1"/>
    <col min="4354" max="4354" width="66.28515625" style="94" bestFit="1" customWidth="1"/>
    <col min="4355" max="4355" width="10" style="94" bestFit="1" customWidth="1"/>
    <col min="4356" max="4357" width="8.5703125" style="94" bestFit="1" customWidth="1"/>
    <col min="4358" max="4358" width="17.42578125" style="94" bestFit="1" customWidth="1"/>
    <col min="4359" max="4359" width="17.28515625" style="94" bestFit="1" customWidth="1"/>
    <col min="4360" max="4361" width="10.7109375" style="94" customWidth="1"/>
    <col min="4362" max="4363" width="10.7109375" style="94" bestFit="1" customWidth="1"/>
    <col min="4364" max="4364" width="10.7109375" style="94" customWidth="1"/>
    <col min="4365" max="4367" width="10.7109375" style="94" bestFit="1" customWidth="1"/>
    <col min="4368" max="4369" width="10.7109375" style="94" customWidth="1"/>
    <col min="4370" max="4371" width="10.7109375" style="94" bestFit="1" customWidth="1"/>
    <col min="4372" max="4608" width="9.140625" style="94"/>
    <col min="4609" max="4609" width="14.140625" style="94" customWidth="1"/>
    <col min="4610" max="4610" width="66.28515625" style="94" bestFit="1" customWidth="1"/>
    <col min="4611" max="4611" width="10" style="94" bestFit="1" customWidth="1"/>
    <col min="4612" max="4613" width="8.5703125" style="94" bestFit="1" customWidth="1"/>
    <col min="4614" max="4614" width="17.42578125" style="94" bestFit="1" customWidth="1"/>
    <col min="4615" max="4615" width="17.28515625" style="94" bestFit="1" customWidth="1"/>
    <col min="4616" max="4617" width="10.7109375" style="94" customWidth="1"/>
    <col min="4618" max="4619" width="10.7109375" style="94" bestFit="1" customWidth="1"/>
    <col min="4620" max="4620" width="10.7109375" style="94" customWidth="1"/>
    <col min="4621" max="4623" width="10.7109375" style="94" bestFit="1" customWidth="1"/>
    <col min="4624" max="4625" width="10.7109375" style="94" customWidth="1"/>
    <col min="4626" max="4627" width="10.7109375" style="94" bestFit="1" customWidth="1"/>
    <col min="4628" max="4864" width="9.140625" style="94"/>
    <col min="4865" max="4865" width="14.140625" style="94" customWidth="1"/>
    <col min="4866" max="4866" width="66.28515625" style="94" bestFit="1" customWidth="1"/>
    <col min="4867" max="4867" width="10" style="94" bestFit="1" customWidth="1"/>
    <col min="4868" max="4869" width="8.5703125" style="94" bestFit="1" customWidth="1"/>
    <col min="4870" max="4870" width="17.42578125" style="94" bestFit="1" customWidth="1"/>
    <col min="4871" max="4871" width="17.28515625" style="94" bestFit="1" customWidth="1"/>
    <col min="4872" max="4873" width="10.7109375" style="94" customWidth="1"/>
    <col min="4874" max="4875" width="10.7109375" style="94" bestFit="1" customWidth="1"/>
    <col min="4876" max="4876" width="10.7109375" style="94" customWidth="1"/>
    <col min="4877" max="4879" width="10.7109375" style="94" bestFit="1" customWidth="1"/>
    <col min="4880" max="4881" width="10.7109375" style="94" customWidth="1"/>
    <col min="4882" max="4883" width="10.7109375" style="94" bestFit="1" customWidth="1"/>
    <col min="4884" max="5120" width="9.140625" style="94"/>
    <col min="5121" max="5121" width="14.140625" style="94" customWidth="1"/>
    <col min="5122" max="5122" width="66.28515625" style="94" bestFit="1" customWidth="1"/>
    <col min="5123" max="5123" width="10" style="94" bestFit="1" customWidth="1"/>
    <col min="5124" max="5125" width="8.5703125" style="94" bestFit="1" customWidth="1"/>
    <col min="5126" max="5126" width="17.42578125" style="94" bestFit="1" customWidth="1"/>
    <col min="5127" max="5127" width="17.28515625" style="94" bestFit="1" customWidth="1"/>
    <col min="5128" max="5129" width="10.7109375" style="94" customWidth="1"/>
    <col min="5130" max="5131" width="10.7109375" style="94" bestFit="1" customWidth="1"/>
    <col min="5132" max="5132" width="10.7109375" style="94" customWidth="1"/>
    <col min="5133" max="5135" width="10.7109375" style="94" bestFit="1" customWidth="1"/>
    <col min="5136" max="5137" width="10.7109375" style="94" customWidth="1"/>
    <col min="5138" max="5139" width="10.7109375" style="94" bestFit="1" customWidth="1"/>
    <col min="5140" max="5376" width="9.140625" style="94"/>
    <col min="5377" max="5377" width="14.140625" style="94" customWidth="1"/>
    <col min="5378" max="5378" width="66.28515625" style="94" bestFit="1" customWidth="1"/>
    <col min="5379" max="5379" width="10" style="94" bestFit="1" customWidth="1"/>
    <col min="5380" max="5381" width="8.5703125" style="94" bestFit="1" customWidth="1"/>
    <col min="5382" max="5382" width="17.42578125" style="94" bestFit="1" customWidth="1"/>
    <col min="5383" max="5383" width="17.28515625" style="94" bestFit="1" customWidth="1"/>
    <col min="5384" max="5385" width="10.7109375" style="94" customWidth="1"/>
    <col min="5386" max="5387" width="10.7109375" style="94" bestFit="1" customWidth="1"/>
    <col min="5388" max="5388" width="10.7109375" style="94" customWidth="1"/>
    <col min="5389" max="5391" width="10.7109375" style="94" bestFit="1" customWidth="1"/>
    <col min="5392" max="5393" width="10.7109375" style="94" customWidth="1"/>
    <col min="5394" max="5395" width="10.7109375" style="94" bestFit="1" customWidth="1"/>
    <col min="5396" max="5632" width="9.140625" style="94"/>
    <col min="5633" max="5633" width="14.140625" style="94" customWidth="1"/>
    <col min="5634" max="5634" width="66.28515625" style="94" bestFit="1" customWidth="1"/>
    <col min="5635" max="5635" width="10" style="94" bestFit="1" customWidth="1"/>
    <col min="5636" max="5637" width="8.5703125" style="94" bestFit="1" customWidth="1"/>
    <col min="5638" max="5638" width="17.42578125" style="94" bestFit="1" customWidth="1"/>
    <col min="5639" max="5639" width="17.28515625" style="94" bestFit="1" customWidth="1"/>
    <col min="5640" max="5641" width="10.7109375" style="94" customWidth="1"/>
    <col min="5642" max="5643" width="10.7109375" style="94" bestFit="1" customWidth="1"/>
    <col min="5644" max="5644" width="10.7109375" style="94" customWidth="1"/>
    <col min="5645" max="5647" width="10.7109375" style="94" bestFit="1" customWidth="1"/>
    <col min="5648" max="5649" width="10.7109375" style="94" customWidth="1"/>
    <col min="5650" max="5651" width="10.7109375" style="94" bestFit="1" customWidth="1"/>
    <col min="5652" max="5888" width="9.140625" style="94"/>
    <col min="5889" max="5889" width="14.140625" style="94" customWidth="1"/>
    <col min="5890" max="5890" width="66.28515625" style="94" bestFit="1" customWidth="1"/>
    <col min="5891" max="5891" width="10" style="94" bestFit="1" customWidth="1"/>
    <col min="5892" max="5893" width="8.5703125" style="94" bestFit="1" customWidth="1"/>
    <col min="5894" max="5894" width="17.42578125" style="94" bestFit="1" customWidth="1"/>
    <col min="5895" max="5895" width="17.28515625" style="94" bestFit="1" customWidth="1"/>
    <col min="5896" max="5897" width="10.7109375" style="94" customWidth="1"/>
    <col min="5898" max="5899" width="10.7109375" style="94" bestFit="1" customWidth="1"/>
    <col min="5900" max="5900" width="10.7109375" style="94" customWidth="1"/>
    <col min="5901" max="5903" width="10.7109375" style="94" bestFit="1" customWidth="1"/>
    <col min="5904" max="5905" width="10.7109375" style="94" customWidth="1"/>
    <col min="5906" max="5907" width="10.7109375" style="94" bestFit="1" customWidth="1"/>
    <col min="5908" max="6144" width="9.140625" style="94"/>
    <col min="6145" max="6145" width="14.140625" style="94" customWidth="1"/>
    <col min="6146" max="6146" width="66.28515625" style="94" bestFit="1" customWidth="1"/>
    <col min="6147" max="6147" width="10" style="94" bestFit="1" customWidth="1"/>
    <col min="6148" max="6149" width="8.5703125" style="94" bestFit="1" customWidth="1"/>
    <col min="6150" max="6150" width="17.42578125" style="94" bestFit="1" customWidth="1"/>
    <col min="6151" max="6151" width="17.28515625" style="94" bestFit="1" customWidth="1"/>
    <col min="6152" max="6153" width="10.7109375" style="94" customWidth="1"/>
    <col min="6154" max="6155" width="10.7109375" style="94" bestFit="1" customWidth="1"/>
    <col min="6156" max="6156" width="10.7109375" style="94" customWidth="1"/>
    <col min="6157" max="6159" width="10.7109375" style="94" bestFit="1" customWidth="1"/>
    <col min="6160" max="6161" width="10.7109375" style="94" customWidth="1"/>
    <col min="6162" max="6163" width="10.7109375" style="94" bestFit="1" customWidth="1"/>
    <col min="6164" max="6400" width="9.140625" style="94"/>
    <col min="6401" max="6401" width="14.140625" style="94" customWidth="1"/>
    <col min="6402" max="6402" width="66.28515625" style="94" bestFit="1" customWidth="1"/>
    <col min="6403" max="6403" width="10" style="94" bestFit="1" customWidth="1"/>
    <col min="6404" max="6405" width="8.5703125" style="94" bestFit="1" customWidth="1"/>
    <col min="6406" max="6406" width="17.42578125" style="94" bestFit="1" customWidth="1"/>
    <col min="6407" max="6407" width="17.28515625" style="94" bestFit="1" customWidth="1"/>
    <col min="6408" max="6409" width="10.7109375" style="94" customWidth="1"/>
    <col min="6410" max="6411" width="10.7109375" style="94" bestFit="1" customWidth="1"/>
    <col min="6412" max="6412" width="10.7109375" style="94" customWidth="1"/>
    <col min="6413" max="6415" width="10.7109375" style="94" bestFit="1" customWidth="1"/>
    <col min="6416" max="6417" width="10.7109375" style="94" customWidth="1"/>
    <col min="6418" max="6419" width="10.7109375" style="94" bestFit="1" customWidth="1"/>
    <col min="6420" max="6656" width="9.140625" style="94"/>
    <col min="6657" max="6657" width="14.140625" style="94" customWidth="1"/>
    <col min="6658" max="6658" width="66.28515625" style="94" bestFit="1" customWidth="1"/>
    <col min="6659" max="6659" width="10" style="94" bestFit="1" customWidth="1"/>
    <col min="6660" max="6661" width="8.5703125" style="94" bestFit="1" customWidth="1"/>
    <col min="6662" max="6662" width="17.42578125" style="94" bestFit="1" customWidth="1"/>
    <col min="6663" max="6663" width="17.28515625" style="94" bestFit="1" customWidth="1"/>
    <col min="6664" max="6665" width="10.7109375" style="94" customWidth="1"/>
    <col min="6666" max="6667" width="10.7109375" style="94" bestFit="1" customWidth="1"/>
    <col min="6668" max="6668" width="10.7109375" style="94" customWidth="1"/>
    <col min="6669" max="6671" width="10.7109375" style="94" bestFit="1" customWidth="1"/>
    <col min="6672" max="6673" width="10.7109375" style="94" customWidth="1"/>
    <col min="6674" max="6675" width="10.7109375" style="94" bestFit="1" customWidth="1"/>
    <col min="6676" max="6912" width="9.140625" style="94"/>
    <col min="6913" max="6913" width="14.140625" style="94" customWidth="1"/>
    <col min="6914" max="6914" width="66.28515625" style="94" bestFit="1" customWidth="1"/>
    <col min="6915" max="6915" width="10" style="94" bestFit="1" customWidth="1"/>
    <col min="6916" max="6917" width="8.5703125" style="94" bestFit="1" customWidth="1"/>
    <col min="6918" max="6918" width="17.42578125" style="94" bestFit="1" customWidth="1"/>
    <col min="6919" max="6919" width="17.28515625" style="94" bestFit="1" customWidth="1"/>
    <col min="6920" max="6921" width="10.7109375" style="94" customWidth="1"/>
    <col min="6922" max="6923" width="10.7109375" style="94" bestFit="1" customWidth="1"/>
    <col min="6924" max="6924" width="10.7109375" style="94" customWidth="1"/>
    <col min="6925" max="6927" width="10.7109375" style="94" bestFit="1" customWidth="1"/>
    <col min="6928" max="6929" width="10.7109375" style="94" customWidth="1"/>
    <col min="6930" max="6931" width="10.7109375" style="94" bestFit="1" customWidth="1"/>
    <col min="6932" max="7168" width="9.140625" style="94"/>
    <col min="7169" max="7169" width="14.140625" style="94" customWidth="1"/>
    <col min="7170" max="7170" width="66.28515625" style="94" bestFit="1" customWidth="1"/>
    <col min="7171" max="7171" width="10" style="94" bestFit="1" customWidth="1"/>
    <col min="7172" max="7173" width="8.5703125" style="94" bestFit="1" customWidth="1"/>
    <col min="7174" max="7174" width="17.42578125" style="94" bestFit="1" customWidth="1"/>
    <col min="7175" max="7175" width="17.28515625" style="94" bestFit="1" customWidth="1"/>
    <col min="7176" max="7177" width="10.7109375" style="94" customWidth="1"/>
    <col min="7178" max="7179" width="10.7109375" style="94" bestFit="1" customWidth="1"/>
    <col min="7180" max="7180" width="10.7109375" style="94" customWidth="1"/>
    <col min="7181" max="7183" width="10.7109375" style="94" bestFit="1" customWidth="1"/>
    <col min="7184" max="7185" width="10.7109375" style="94" customWidth="1"/>
    <col min="7186" max="7187" width="10.7109375" style="94" bestFit="1" customWidth="1"/>
    <col min="7188" max="7424" width="9.140625" style="94"/>
    <col min="7425" max="7425" width="14.140625" style="94" customWidth="1"/>
    <col min="7426" max="7426" width="66.28515625" style="94" bestFit="1" customWidth="1"/>
    <col min="7427" max="7427" width="10" style="94" bestFit="1" customWidth="1"/>
    <col min="7428" max="7429" width="8.5703125" style="94" bestFit="1" customWidth="1"/>
    <col min="7430" max="7430" width="17.42578125" style="94" bestFit="1" customWidth="1"/>
    <col min="7431" max="7431" width="17.28515625" style="94" bestFit="1" customWidth="1"/>
    <col min="7432" max="7433" width="10.7109375" style="94" customWidth="1"/>
    <col min="7434" max="7435" width="10.7109375" style="94" bestFit="1" customWidth="1"/>
    <col min="7436" max="7436" width="10.7109375" style="94" customWidth="1"/>
    <col min="7437" max="7439" width="10.7109375" style="94" bestFit="1" customWidth="1"/>
    <col min="7440" max="7441" width="10.7109375" style="94" customWidth="1"/>
    <col min="7442" max="7443" width="10.7109375" style="94" bestFit="1" customWidth="1"/>
    <col min="7444" max="7680" width="9.140625" style="94"/>
    <col min="7681" max="7681" width="14.140625" style="94" customWidth="1"/>
    <col min="7682" max="7682" width="66.28515625" style="94" bestFit="1" customWidth="1"/>
    <col min="7683" max="7683" width="10" style="94" bestFit="1" customWidth="1"/>
    <col min="7684" max="7685" width="8.5703125" style="94" bestFit="1" customWidth="1"/>
    <col min="7686" max="7686" width="17.42578125" style="94" bestFit="1" customWidth="1"/>
    <col min="7687" max="7687" width="17.28515625" style="94" bestFit="1" customWidth="1"/>
    <col min="7688" max="7689" width="10.7109375" style="94" customWidth="1"/>
    <col min="7690" max="7691" width="10.7109375" style="94" bestFit="1" customWidth="1"/>
    <col min="7692" max="7692" width="10.7109375" style="94" customWidth="1"/>
    <col min="7693" max="7695" width="10.7109375" style="94" bestFit="1" customWidth="1"/>
    <col min="7696" max="7697" width="10.7109375" style="94" customWidth="1"/>
    <col min="7698" max="7699" width="10.7109375" style="94" bestFit="1" customWidth="1"/>
    <col min="7700" max="7936" width="9.140625" style="94"/>
    <col min="7937" max="7937" width="14.140625" style="94" customWidth="1"/>
    <col min="7938" max="7938" width="66.28515625" style="94" bestFit="1" customWidth="1"/>
    <col min="7939" max="7939" width="10" style="94" bestFit="1" customWidth="1"/>
    <col min="7940" max="7941" width="8.5703125" style="94" bestFit="1" customWidth="1"/>
    <col min="7942" max="7942" width="17.42578125" style="94" bestFit="1" customWidth="1"/>
    <col min="7943" max="7943" width="17.28515625" style="94" bestFit="1" customWidth="1"/>
    <col min="7944" max="7945" width="10.7109375" style="94" customWidth="1"/>
    <col min="7946" max="7947" width="10.7109375" style="94" bestFit="1" customWidth="1"/>
    <col min="7948" max="7948" width="10.7109375" style="94" customWidth="1"/>
    <col min="7949" max="7951" width="10.7109375" style="94" bestFit="1" customWidth="1"/>
    <col min="7952" max="7953" width="10.7109375" style="94" customWidth="1"/>
    <col min="7954" max="7955" width="10.7109375" style="94" bestFit="1" customWidth="1"/>
    <col min="7956" max="8192" width="9.140625" style="94"/>
    <col min="8193" max="8193" width="14.140625" style="94" customWidth="1"/>
    <col min="8194" max="8194" width="66.28515625" style="94" bestFit="1" customWidth="1"/>
    <col min="8195" max="8195" width="10" style="94" bestFit="1" customWidth="1"/>
    <col min="8196" max="8197" width="8.5703125" style="94" bestFit="1" customWidth="1"/>
    <col min="8198" max="8198" width="17.42578125" style="94" bestFit="1" customWidth="1"/>
    <col min="8199" max="8199" width="17.28515625" style="94" bestFit="1" customWidth="1"/>
    <col min="8200" max="8201" width="10.7109375" style="94" customWidth="1"/>
    <col min="8202" max="8203" width="10.7109375" style="94" bestFit="1" customWidth="1"/>
    <col min="8204" max="8204" width="10.7109375" style="94" customWidth="1"/>
    <col min="8205" max="8207" width="10.7109375" style="94" bestFit="1" customWidth="1"/>
    <col min="8208" max="8209" width="10.7109375" style="94" customWidth="1"/>
    <col min="8210" max="8211" width="10.7109375" style="94" bestFit="1" customWidth="1"/>
    <col min="8212" max="8448" width="9.140625" style="94"/>
    <col min="8449" max="8449" width="14.140625" style="94" customWidth="1"/>
    <col min="8450" max="8450" width="66.28515625" style="94" bestFit="1" customWidth="1"/>
    <col min="8451" max="8451" width="10" style="94" bestFit="1" customWidth="1"/>
    <col min="8452" max="8453" width="8.5703125" style="94" bestFit="1" customWidth="1"/>
    <col min="8454" max="8454" width="17.42578125" style="94" bestFit="1" customWidth="1"/>
    <col min="8455" max="8455" width="17.28515625" style="94" bestFit="1" customWidth="1"/>
    <col min="8456" max="8457" width="10.7109375" style="94" customWidth="1"/>
    <col min="8458" max="8459" width="10.7109375" style="94" bestFit="1" customWidth="1"/>
    <col min="8460" max="8460" width="10.7109375" style="94" customWidth="1"/>
    <col min="8461" max="8463" width="10.7109375" style="94" bestFit="1" customWidth="1"/>
    <col min="8464" max="8465" width="10.7109375" style="94" customWidth="1"/>
    <col min="8466" max="8467" width="10.7109375" style="94" bestFit="1" customWidth="1"/>
    <col min="8468" max="8704" width="9.140625" style="94"/>
    <col min="8705" max="8705" width="14.140625" style="94" customWidth="1"/>
    <col min="8706" max="8706" width="66.28515625" style="94" bestFit="1" customWidth="1"/>
    <col min="8707" max="8707" width="10" style="94" bestFit="1" customWidth="1"/>
    <col min="8708" max="8709" width="8.5703125" style="94" bestFit="1" customWidth="1"/>
    <col min="8710" max="8710" width="17.42578125" style="94" bestFit="1" customWidth="1"/>
    <col min="8711" max="8711" width="17.28515625" style="94" bestFit="1" customWidth="1"/>
    <col min="8712" max="8713" width="10.7109375" style="94" customWidth="1"/>
    <col min="8714" max="8715" width="10.7109375" style="94" bestFit="1" customWidth="1"/>
    <col min="8716" max="8716" width="10.7109375" style="94" customWidth="1"/>
    <col min="8717" max="8719" width="10.7109375" style="94" bestFit="1" customWidth="1"/>
    <col min="8720" max="8721" width="10.7109375" style="94" customWidth="1"/>
    <col min="8722" max="8723" width="10.7109375" style="94" bestFit="1" customWidth="1"/>
    <col min="8724" max="8960" width="9.140625" style="94"/>
    <col min="8961" max="8961" width="14.140625" style="94" customWidth="1"/>
    <col min="8962" max="8962" width="66.28515625" style="94" bestFit="1" customWidth="1"/>
    <col min="8963" max="8963" width="10" style="94" bestFit="1" customWidth="1"/>
    <col min="8964" max="8965" width="8.5703125" style="94" bestFit="1" customWidth="1"/>
    <col min="8966" max="8966" width="17.42578125" style="94" bestFit="1" customWidth="1"/>
    <col min="8967" max="8967" width="17.28515625" style="94" bestFit="1" customWidth="1"/>
    <col min="8968" max="8969" width="10.7109375" style="94" customWidth="1"/>
    <col min="8970" max="8971" width="10.7109375" style="94" bestFit="1" customWidth="1"/>
    <col min="8972" max="8972" width="10.7109375" style="94" customWidth="1"/>
    <col min="8973" max="8975" width="10.7109375" style="94" bestFit="1" customWidth="1"/>
    <col min="8976" max="8977" width="10.7109375" style="94" customWidth="1"/>
    <col min="8978" max="8979" width="10.7109375" style="94" bestFit="1" customWidth="1"/>
    <col min="8980" max="9216" width="9.140625" style="94"/>
    <col min="9217" max="9217" width="14.140625" style="94" customWidth="1"/>
    <col min="9218" max="9218" width="66.28515625" style="94" bestFit="1" customWidth="1"/>
    <col min="9219" max="9219" width="10" style="94" bestFit="1" customWidth="1"/>
    <col min="9220" max="9221" width="8.5703125" style="94" bestFit="1" customWidth="1"/>
    <col min="9222" max="9222" width="17.42578125" style="94" bestFit="1" customWidth="1"/>
    <col min="9223" max="9223" width="17.28515625" style="94" bestFit="1" customWidth="1"/>
    <col min="9224" max="9225" width="10.7109375" style="94" customWidth="1"/>
    <col min="9226" max="9227" width="10.7109375" style="94" bestFit="1" customWidth="1"/>
    <col min="9228" max="9228" width="10.7109375" style="94" customWidth="1"/>
    <col min="9229" max="9231" width="10.7109375" style="94" bestFit="1" customWidth="1"/>
    <col min="9232" max="9233" width="10.7109375" style="94" customWidth="1"/>
    <col min="9234" max="9235" width="10.7109375" style="94" bestFit="1" customWidth="1"/>
    <col min="9236" max="9472" width="9.140625" style="94"/>
    <col min="9473" max="9473" width="14.140625" style="94" customWidth="1"/>
    <col min="9474" max="9474" width="66.28515625" style="94" bestFit="1" customWidth="1"/>
    <col min="9475" max="9475" width="10" style="94" bestFit="1" customWidth="1"/>
    <col min="9476" max="9477" width="8.5703125" style="94" bestFit="1" customWidth="1"/>
    <col min="9478" max="9478" width="17.42578125" style="94" bestFit="1" customWidth="1"/>
    <col min="9479" max="9479" width="17.28515625" style="94" bestFit="1" customWidth="1"/>
    <col min="9480" max="9481" width="10.7109375" style="94" customWidth="1"/>
    <col min="9482" max="9483" width="10.7109375" style="94" bestFit="1" customWidth="1"/>
    <col min="9484" max="9484" width="10.7109375" style="94" customWidth="1"/>
    <col min="9485" max="9487" width="10.7109375" style="94" bestFit="1" customWidth="1"/>
    <col min="9488" max="9489" width="10.7109375" style="94" customWidth="1"/>
    <col min="9490" max="9491" width="10.7109375" style="94" bestFit="1" customWidth="1"/>
    <col min="9492" max="9728" width="9.140625" style="94"/>
    <col min="9729" max="9729" width="14.140625" style="94" customWidth="1"/>
    <col min="9730" max="9730" width="66.28515625" style="94" bestFit="1" customWidth="1"/>
    <col min="9731" max="9731" width="10" style="94" bestFit="1" customWidth="1"/>
    <col min="9732" max="9733" width="8.5703125" style="94" bestFit="1" customWidth="1"/>
    <col min="9734" max="9734" width="17.42578125" style="94" bestFit="1" customWidth="1"/>
    <col min="9735" max="9735" width="17.28515625" style="94" bestFit="1" customWidth="1"/>
    <col min="9736" max="9737" width="10.7109375" style="94" customWidth="1"/>
    <col min="9738" max="9739" width="10.7109375" style="94" bestFit="1" customWidth="1"/>
    <col min="9740" max="9740" width="10.7109375" style="94" customWidth="1"/>
    <col min="9741" max="9743" width="10.7109375" style="94" bestFit="1" customWidth="1"/>
    <col min="9744" max="9745" width="10.7109375" style="94" customWidth="1"/>
    <col min="9746" max="9747" width="10.7109375" style="94" bestFit="1" customWidth="1"/>
    <col min="9748" max="9984" width="9.140625" style="94"/>
    <col min="9985" max="9985" width="14.140625" style="94" customWidth="1"/>
    <col min="9986" max="9986" width="66.28515625" style="94" bestFit="1" customWidth="1"/>
    <col min="9987" max="9987" width="10" style="94" bestFit="1" customWidth="1"/>
    <col min="9988" max="9989" width="8.5703125" style="94" bestFit="1" customWidth="1"/>
    <col min="9990" max="9990" width="17.42578125" style="94" bestFit="1" customWidth="1"/>
    <col min="9991" max="9991" width="17.28515625" style="94" bestFit="1" customWidth="1"/>
    <col min="9992" max="9993" width="10.7109375" style="94" customWidth="1"/>
    <col min="9994" max="9995" width="10.7109375" style="94" bestFit="1" customWidth="1"/>
    <col min="9996" max="9996" width="10.7109375" style="94" customWidth="1"/>
    <col min="9997" max="9999" width="10.7109375" style="94" bestFit="1" customWidth="1"/>
    <col min="10000" max="10001" width="10.7109375" style="94" customWidth="1"/>
    <col min="10002" max="10003" width="10.7109375" style="94" bestFit="1" customWidth="1"/>
    <col min="10004" max="10240" width="9.140625" style="94"/>
    <col min="10241" max="10241" width="14.140625" style="94" customWidth="1"/>
    <col min="10242" max="10242" width="66.28515625" style="94" bestFit="1" customWidth="1"/>
    <col min="10243" max="10243" width="10" style="94" bestFit="1" customWidth="1"/>
    <col min="10244" max="10245" width="8.5703125" style="94" bestFit="1" customWidth="1"/>
    <col min="10246" max="10246" width="17.42578125" style="94" bestFit="1" customWidth="1"/>
    <col min="10247" max="10247" width="17.28515625" style="94" bestFit="1" customWidth="1"/>
    <col min="10248" max="10249" width="10.7109375" style="94" customWidth="1"/>
    <col min="10250" max="10251" width="10.7109375" style="94" bestFit="1" customWidth="1"/>
    <col min="10252" max="10252" width="10.7109375" style="94" customWidth="1"/>
    <col min="10253" max="10255" width="10.7109375" style="94" bestFit="1" customWidth="1"/>
    <col min="10256" max="10257" width="10.7109375" style="94" customWidth="1"/>
    <col min="10258" max="10259" width="10.7109375" style="94" bestFit="1" customWidth="1"/>
    <col min="10260" max="10496" width="9.140625" style="94"/>
    <col min="10497" max="10497" width="14.140625" style="94" customWidth="1"/>
    <col min="10498" max="10498" width="66.28515625" style="94" bestFit="1" customWidth="1"/>
    <col min="10499" max="10499" width="10" style="94" bestFit="1" customWidth="1"/>
    <col min="10500" max="10501" width="8.5703125" style="94" bestFit="1" customWidth="1"/>
    <col min="10502" max="10502" width="17.42578125" style="94" bestFit="1" customWidth="1"/>
    <col min="10503" max="10503" width="17.28515625" style="94" bestFit="1" customWidth="1"/>
    <col min="10504" max="10505" width="10.7109375" style="94" customWidth="1"/>
    <col min="10506" max="10507" width="10.7109375" style="94" bestFit="1" customWidth="1"/>
    <col min="10508" max="10508" width="10.7109375" style="94" customWidth="1"/>
    <col min="10509" max="10511" width="10.7109375" style="94" bestFit="1" customWidth="1"/>
    <col min="10512" max="10513" width="10.7109375" style="94" customWidth="1"/>
    <col min="10514" max="10515" width="10.7109375" style="94" bestFit="1" customWidth="1"/>
    <col min="10516" max="10752" width="9.140625" style="94"/>
    <col min="10753" max="10753" width="14.140625" style="94" customWidth="1"/>
    <col min="10754" max="10754" width="66.28515625" style="94" bestFit="1" customWidth="1"/>
    <col min="10755" max="10755" width="10" style="94" bestFit="1" customWidth="1"/>
    <col min="10756" max="10757" width="8.5703125" style="94" bestFit="1" customWidth="1"/>
    <col min="10758" max="10758" width="17.42578125" style="94" bestFit="1" customWidth="1"/>
    <col min="10759" max="10759" width="17.28515625" style="94" bestFit="1" customWidth="1"/>
    <col min="10760" max="10761" width="10.7109375" style="94" customWidth="1"/>
    <col min="10762" max="10763" width="10.7109375" style="94" bestFit="1" customWidth="1"/>
    <col min="10764" max="10764" width="10.7109375" style="94" customWidth="1"/>
    <col min="10765" max="10767" width="10.7109375" style="94" bestFit="1" customWidth="1"/>
    <col min="10768" max="10769" width="10.7109375" style="94" customWidth="1"/>
    <col min="10770" max="10771" width="10.7109375" style="94" bestFit="1" customWidth="1"/>
    <col min="10772" max="11008" width="9.140625" style="94"/>
    <col min="11009" max="11009" width="14.140625" style="94" customWidth="1"/>
    <col min="11010" max="11010" width="66.28515625" style="94" bestFit="1" customWidth="1"/>
    <col min="11011" max="11011" width="10" style="94" bestFit="1" customWidth="1"/>
    <col min="11012" max="11013" width="8.5703125" style="94" bestFit="1" customWidth="1"/>
    <col min="11014" max="11014" width="17.42578125" style="94" bestFit="1" customWidth="1"/>
    <col min="11015" max="11015" width="17.28515625" style="94" bestFit="1" customWidth="1"/>
    <col min="11016" max="11017" width="10.7109375" style="94" customWidth="1"/>
    <col min="11018" max="11019" width="10.7109375" style="94" bestFit="1" customWidth="1"/>
    <col min="11020" max="11020" width="10.7109375" style="94" customWidth="1"/>
    <col min="11021" max="11023" width="10.7109375" style="94" bestFit="1" customWidth="1"/>
    <col min="11024" max="11025" width="10.7109375" style="94" customWidth="1"/>
    <col min="11026" max="11027" width="10.7109375" style="94" bestFit="1" customWidth="1"/>
    <col min="11028" max="11264" width="9.140625" style="94"/>
    <col min="11265" max="11265" width="14.140625" style="94" customWidth="1"/>
    <col min="11266" max="11266" width="66.28515625" style="94" bestFit="1" customWidth="1"/>
    <col min="11267" max="11267" width="10" style="94" bestFit="1" customWidth="1"/>
    <col min="11268" max="11269" width="8.5703125" style="94" bestFit="1" customWidth="1"/>
    <col min="11270" max="11270" width="17.42578125" style="94" bestFit="1" customWidth="1"/>
    <col min="11271" max="11271" width="17.28515625" style="94" bestFit="1" customWidth="1"/>
    <col min="11272" max="11273" width="10.7109375" style="94" customWidth="1"/>
    <col min="11274" max="11275" width="10.7109375" style="94" bestFit="1" customWidth="1"/>
    <col min="11276" max="11276" width="10.7109375" style="94" customWidth="1"/>
    <col min="11277" max="11279" width="10.7109375" style="94" bestFit="1" customWidth="1"/>
    <col min="11280" max="11281" width="10.7109375" style="94" customWidth="1"/>
    <col min="11282" max="11283" width="10.7109375" style="94" bestFit="1" customWidth="1"/>
    <col min="11284" max="11520" width="9.140625" style="94"/>
    <col min="11521" max="11521" width="14.140625" style="94" customWidth="1"/>
    <col min="11522" max="11522" width="66.28515625" style="94" bestFit="1" customWidth="1"/>
    <col min="11523" max="11523" width="10" style="94" bestFit="1" customWidth="1"/>
    <col min="11524" max="11525" width="8.5703125" style="94" bestFit="1" customWidth="1"/>
    <col min="11526" max="11526" width="17.42578125" style="94" bestFit="1" customWidth="1"/>
    <col min="11527" max="11527" width="17.28515625" style="94" bestFit="1" customWidth="1"/>
    <col min="11528" max="11529" width="10.7109375" style="94" customWidth="1"/>
    <col min="11530" max="11531" width="10.7109375" style="94" bestFit="1" customWidth="1"/>
    <col min="11532" max="11532" width="10.7109375" style="94" customWidth="1"/>
    <col min="11533" max="11535" width="10.7109375" style="94" bestFit="1" customWidth="1"/>
    <col min="11536" max="11537" width="10.7109375" style="94" customWidth="1"/>
    <col min="11538" max="11539" width="10.7109375" style="94" bestFit="1" customWidth="1"/>
    <col min="11540" max="11776" width="9.140625" style="94"/>
    <col min="11777" max="11777" width="14.140625" style="94" customWidth="1"/>
    <col min="11778" max="11778" width="66.28515625" style="94" bestFit="1" customWidth="1"/>
    <col min="11779" max="11779" width="10" style="94" bestFit="1" customWidth="1"/>
    <col min="11780" max="11781" width="8.5703125" style="94" bestFit="1" customWidth="1"/>
    <col min="11782" max="11782" width="17.42578125" style="94" bestFit="1" customWidth="1"/>
    <col min="11783" max="11783" width="17.28515625" style="94" bestFit="1" customWidth="1"/>
    <col min="11784" max="11785" width="10.7109375" style="94" customWidth="1"/>
    <col min="11786" max="11787" width="10.7109375" style="94" bestFit="1" customWidth="1"/>
    <col min="11788" max="11788" width="10.7109375" style="94" customWidth="1"/>
    <col min="11789" max="11791" width="10.7109375" style="94" bestFit="1" customWidth="1"/>
    <col min="11792" max="11793" width="10.7109375" style="94" customWidth="1"/>
    <col min="11794" max="11795" width="10.7109375" style="94" bestFit="1" customWidth="1"/>
    <col min="11796" max="12032" width="9.140625" style="94"/>
    <col min="12033" max="12033" width="14.140625" style="94" customWidth="1"/>
    <col min="12034" max="12034" width="66.28515625" style="94" bestFit="1" customWidth="1"/>
    <col min="12035" max="12035" width="10" style="94" bestFit="1" customWidth="1"/>
    <col min="12036" max="12037" width="8.5703125" style="94" bestFit="1" customWidth="1"/>
    <col min="12038" max="12038" width="17.42578125" style="94" bestFit="1" customWidth="1"/>
    <col min="12039" max="12039" width="17.28515625" style="94" bestFit="1" customWidth="1"/>
    <col min="12040" max="12041" width="10.7109375" style="94" customWidth="1"/>
    <col min="12042" max="12043" width="10.7109375" style="94" bestFit="1" customWidth="1"/>
    <col min="12044" max="12044" width="10.7109375" style="94" customWidth="1"/>
    <col min="12045" max="12047" width="10.7109375" style="94" bestFit="1" customWidth="1"/>
    <col min="12048" max="12049" width="10.7109375" style="94" customWidth="1"/>
    <col min="12050" max="12051" width="10.7109375" style="94" bestFit="1" customWidth="1"/>
    <col min="12052" max="12288" width="9.140625" style="94"/>
    <col min="12289" max="12289" width="14.140625" style="94" customWidth="1"/>
    <col min="12290" max="12290" width="66.28515625" style="94" bestFit="1" customWidth="1"/>
    <col min="12291" max="12291" width="10" style="94" bestFit="1" customWidth="1"/>
    <col min="12292" max="12293" width="8.5703125" style="94" bestFit="1" customWidth="1"/>
    <col min="12294" max="12294" width="17.42578125" style="94" bestFit="1" customWidth="1"/>
    <col min="12295" max="12295" width="17.28515625" style="94" bestFit="1" customWidth="1"/>
    <col min="12296" max="12297" width="10.7109375" style="94" customWidth="1"/>
    <col min="12298" max="12299" width="10.7109375" style="94" bestFit="1" customWidth="1"/>
    <col min="12300" max="12300" width="10.7109375" style="94" customWidth="1"/>
    <col min="12301" max="12303" width="10.7109375" style="94" bestFit="1" customWidth="1"/>
    <col min="12304" max="12305" width="10.7109375" style="94" customWidth="1"/>
    <col min="12306" max="12307" width="10.7109375" style="94" bestFit="1" customWidth="1"/>
    <col min="12308" max="12544" width="9.140625" style="94"/>
    <col min="12545" max="12545" width="14.140625" style="94" customWidth="1"/>
    <col min="12546" max="12546" width="66.28515625" style="94" bestFit="1" customWidth="1"/>
    <col min="12547" max="12547" width="10" style="94" bestFit="1" customWidth="1"/>
    <col min="12548" max="12549" width="8.5703125" style="94" bestFit="1" customWidth="1"/>
    <col min="12550" max="12550" width="17.42578125" style="94" bestFit="1" customWidth="1"/>
    <col min="12551" max="12551" width="17.28515625" style="94" bestFit="1" customWidth="1"/>
    <col min="12552" max="12553" width="10.7109375" style="94" customWidth="1"/>
    <col min="12554" max="12555" width="10.7109375" style="94" bestFit="1" customWidth="1"/>
    <col min="12556" max="12556" width="10.7109375" style="94" customWidth="1"/>
    <col min="12557" max="12559" width="10.7109375" style="94" bestFit="1" customWidth="1"/>
    <col min="12560" max="12561" width="10.7109375" style="94" customWidth="1"/>
    <col min="12562" max="12563" width="10.7109375" style="94" bestFit="1" customWidth="1"/>
    <col min="12564" max="12800" width="9.140625" style="94"/>
    <col min="12801" max="12801" width="14.140625" style="94" customWidth="1"/>
    <col min="12802" max="12802" width="66.28515625" style="94" bestFit="1" customWidth="1"/>
    <col min="12803" max="12803" width="10" style="94" bestFit="1" customWidth="1"/>
    <col min="12804" max="12805" width="8.5703125" style="94" bestFit="1" customWidth="1"/>
    <col min="12806" max="12806" width="17.42578125" style="94" bestFit="1" customWidth="1"/>
    <col min="12807" max="12807" width="17.28515625" style="94" bestFit="1" customWidth="1"/>
    <col min="12808" max="12809" width="10.7109375" style="94" customWidth="1"/>
    <col min="12810" max="12811" width="10.7109375" style="94" bestFit="1" customWidth="1"/>
    <col min="12812" max="12812" width="10.7109375" style="94" customWidth="1"/>
    <col min="12813" max="12815" width="10.7109375" style="94" bestFit="1" customWidth="1"/>
    <col min="12816" max="12817" width="10.7109375" style="94" customWidth="1"/>
    <col min="12818" max="12819" width="10.7109375" style="94" bestFit="1" customWidth="1"/>
    <col min="12820" max="13056" width="9.140625" style="94"/>
    <col min="13057" max="13057" width="14.140625" style="94" customWidth="1"/>
    <col min="13058" max="13058" width="66.28515625" style="94" bestFit="1" customWidth="1"/>
    <col min="13059" max="13059" width="10" style="94" bestFit="1" customWidth="1"/>
    <col min="13060" max="13061" width="8.5703125" style="94" bestFit="1" customWidth="1"/>
    <col min="13062" max="13062" width="17.42578125" style="94" bestFit="1" customWidth="1"/>
    <col min="13063" max="13063" width="17.28515625" style="94" bestFit="1" customWidth="1"/>
    <col min="13064" max="13065" width="10.7109375" style="94" customWidth="1"/>
    <col min="13066" max="13067" width="10.7109375" style="94" bestFit="1" customWidth="1"/>
    <col min="13068" max="13068" width="10.7109375" style="94" customWidth="1"/>
    <col min="13069" max="13071" width="10.7109375" style="94" bestFit="1" customWidth="1"/>
    <col min="13072" max="13073" width="10.7109375" style="94" customWidth="1"/>
    <col min="13074" max="13075" width="10.7109375" style="94" bestFit="1" customWidth="1"/>
    <col min="13076" max="13312" width="9.140625" style="94"/>
    <col min="13313" max="13313" width="14.140625" style="94" customWidth="1"/>
    <col min="13314" max="13314" width="66.28515625" style="94" bestFit="1" customWidth="1"/>
    <col min="13315" max="13315" width="10" style="94" bestFit="1" customWidth="1"/>
    <col min="13316" max="13317" width="8.5703125" style="94" bestFit="1" customWidth="1"/>
    <col min="13318" max="13318" width="17.42578125" style="94" bestFit="1" customWidth="1"/>
    <col min="13319" max="13319" width="17.28515625" style="94" bestFit="1" customWidth="1"/>
    <col min="13320" max="13321" width="10.7109375" style="94" customWidth="1"/>
    <col min="13322" max="13323" width="10.7109375" style="94" bestFit="1" customWidth="1"/>
    <col min="13324" max="13324" width="10.7109375" style="94" customWidth="1"/>
    <col min="13325" max="13327" width="10.7109375" style="94" bestFit="1" customWidth="1"/>
    <col min="13328" max="13329" width="10.7109375" style="94" customWidth="1"/>
    <col min="13330" max="13331" width="10.7109375" style="94" bestFit="1" customWidth="1"/>
    <col min="13332" max="13568" width="9.140625" style="94"/>
    <col min="13569" max="13569" width="14.140625" style="94" customWidth="1"/>
    <col min="13570" max="13570" width="66.28515625" style="94" bestFit="1" customWidth="1"/>
    <col min="13571" max="13571" width="10" style="94" bestFit="1" customWidth="1"/>
    <col min="13572" max="13573" width="8.5703125" style="94" bestFit="1" customWidth="1"/>
    <col min="13574" max="13574" width="17.42578125" style="94" bestFit="1" customWidth="1"/>
    <col min="13575" max="13575" width="17.28515625" style="94" bestFit="1" customWidth="1"/>
    <col min="13576" max="13577" width="10.7109375" style="94" customWidth="1"/>
    <col min="13578" max="13579" width="10.7109375" style="94" bestFit="1" customWidth="1"/>
    <col min="13580" max="13580" width="10.7109375" style="94" customWidth="1"/>
    <col min="13581" max="13583" width="10.7109375" style="94" bestFit="1" customWidth="1"/>
    <col min="13584" max="13585" width="10.7109375" style="94" customWidth="1"/>
    <col min="13586" max="13587" width="10.7109375" style="94" bestFit="1" customWidth="1"/>
    <col min="13588" max="13824" width="9.140625" style="94"/>
    <col min="13825" max="13825" width="14.140625" style="94" customWidth="1"/>
    <col min="13826" max="13826" width="66.28515625" style="94" bestFit="1" customWidth="1"/>
    <col min="13827" max="13827" width="10" style="94" bestFit="1" customWidth="1"/>
    <col min="13828" max="13829" width="8.5703125" style="94" bestFit="1" customWidth="1"/>
    <col min="13830" max="13830" width="17.42578125" style="94" bestFit="1" customWidth="1"/>
    <col min="13831" max="13831" width="17.28515625" style="94" bestFit="1" customWidth="1"/>
    <col min="13832" max="13833" width="10.7109375" style="94" customWidth="1"/>
    <col min="13834" max="13835" width="10.7109375" style="94" bestFit="1" customWidth="1"/>
    <col min="13836" max="13836" width="10.7109375" style="94" customWidth="1"/>
    <col min="13837" max="13839" width="10.7109375" style="94" bestFit="1" customWidth="1"/>
    <col min="13840" max="13841" width="10.7109375" style="94" customWidth="1"/>
    <col min="13842" max="13843" width="10.7109375" style="94" bestFit="1" customWidth="1"/>
    <col min="13844" max="14080" width="9.140625" style="94"/>
    <col min="14081" max="14081" width="14.140625" style="94" customWidth="1"/>
    <col min="14082" max="14082" width="66.28515625" style="94" bestFit="1" customWidth="1"/>
    <col min="14083" max="14083" width="10" style="94" bestFit="1" customWidth="1"/>
    <col min="14084" max="14085" width="8.5703125" style="94" bestFit="1" customWidth="1"/>
    <col min="14086" max="14086" width="17.42578125" style="94" bestFit="1" customWidth="1"/>
    <col min="14087" max="14087" width="17.28515625" style="94" bestFit="1" customWidth="1"/>
    <col min="14088" max="14089" width="10.7109375" style="94" customWidth="1"/>
    <col min="14090" max="14091" width="10.7109375" style="94" bestFit="1" customWidth="1"/>
    <col min="14092" max="14092" width="10.7109375" style="94" customWidth="1"/>
    <col min="14093" max="14095" width="10.7109375" style="94" bestFit="1" customWidth="1"/>
    <col min="14096" max="14097" width="10.7109375" style="94" customWidth="1"/>
    <col min="14098" max="14099" width="10.7109375" style="94" bestFit="1" customWidth="1"/>
    <col min="14100" max="14336" width="9.140625" style="94"/>
    <col min="14337" max="14337" width="14.140625" style="94" customWidth="1"/>
    <col min="14338" max="14338" width="66.28515625" style="94" bestFit="1" customWidth="1"/>
    <col min="14339" max="14339" width="10" style="94" bestFit="1" customWidth="1"/>
    <col min="14340" max="14341" width="8.5703125" style="94" bestFit="1" customWidth="1"/>
    <col min="14342" max="14342" width="17.42578125" style="94" bestFit="1" customWidth="1"/>
    <col min="14343" max="14343" width="17.28515625" style="94" bestFit="1" customWidth="1"/>
    <col min="14344" max="14345" width="10.7109375" style="94" customWidth="1"/>
    <col min="14346" max="14347" width="10.7109375" style="94" bestFit="1" customWidth="1"/>
    <col min="14348" max="14348" width="10.7109375" style="94" customWidth="1"/>
    <col min="14349" max="14351" width="10.7109375" style="94" bestFit="1" customWidth="1"/>
    <col min="14352" max="14353" width="10.7109375" style="94" customWidth="1"/>
    <col min="14354" max="14355" width="10.7109375" style="94" bestFit="1" customWidth="1"/>
    <col min="14356" max="14592" width="9.140625" style="94"/>
    <col min="14593" max="14593" width="14.140625" style="94" customWidth="1"/>
    <col min="14594" max="14594" width="66.28515625" style="94" bestFit="1" customWidth="1"/>
    <col min="14595" max="14595" width="10" style="94" bestFit="1" customWidth="1"/>
    <col min="14596" max="14597" width="8.5703125" style="94" bestFit="1" customWidth="1"/>
    <col min="14598" max="14598" width="17.42578125" style="94" bestFit="1" customWidth="1"/>
    <col min="14599" max="14599" width="17.28515625" style="94" bestFit="1" customWidth="1"/>
    <col min="14600" max="14601" width="10.7109375" style="94" customWidth="1"/>
    <col min="14602" max="14603" width="10.7109375" style="94" bestFit="1" customWidth="1"/>
    <col min="14604" max="14604" width="10.7109375" style="94" customWidth="1"/>
    <col min="14605" max="14607" width="10.7109375" style="94" bestFit="1" customWidth="1"/>
    <col min="14608" max="14609" width="10.7109375" style="94" customWidth="1"/>
    <col min="14610" max="14611" width="10.7109375" style="94" bestFit="1" customWidth="1"/>
    <col min="14612" max="14848" width="9.140625" style="94"/>
    <col min="14849" max="14849" width="14.140625" style="94" customWidth="1"/>
    <col min="14850" max="14850" width="66.28515625" style="94" bestFit="1" customWidth="1"/>
    <col min="14851" max="14851" width="10" style="94" bestFit="1" customWidth="1"/>
    <col min="14852" max="14853" width="8.5703125" style="94" bestFit="1" customWidth="1"/>
    <col min="14854" max="14854" width="17.42578125" style="94" bestFit="1" customWidth="1"/>
    <col min="14855" max="14855" width="17.28515625" style="94" bestFit="1" customWidth="1"/>
    <col min="14856" max="14857" width="10.7109375" style="94" customWidth="1"/>
    <col min="14858" max="14859" width="10.7109375" style="94" bestFit="1" customWidth="1"/>
    <col min="14860" max="14860" width="10.7109375" style="94" customWidth="1"/>
    <col min="14861" max="14863" width="10.7109375" style="94" bestFit="1" customWidth="1"/>
    <col min="14864" max="14865" width="10.7109375" style="94" customWidth="1"/>
    <col min="14866" max="14867" width="10.7109375" style="94" bestFit="1" customWidth="1"/>
    <col min="14868" max="15104" width="9.140625" style="94"/>
    <col min="15105" max="15105" width="14.140625" style="94" customWidth="1"/>
    <col min="15106" max="15106" width="66.28515625" style="94" bestFit="1" customWidth="1"/>
    <col min="15107" max="15107" width="10" style="94" bestFit="1" customWidth="1"/>
    <col min="15108" max="15109" width="8.5703125" style="94" bestFit="1" customWidth="1"/>
    <col min="15110" max="15110" width="17.42578125" style="94" bestFit="1" customWidth="1"/>
    <col min="15111" max="15111" width="17.28515625" style="94" bestFit="1" customWidth="1"/>
    <col min="15112" max="15113" width="10.7109375" style="94" customWidth="1"/>
    <col min="15114" max="15115" width="10.7109375" style="94" bestFit="1" customWidth="1"/>
    <col min="15116" max="15116" width="10.7109375" style="94" customWidth="1"/>
    <col min="15117" max="15119" width="10.7109375" style="94" bestFit="1" customWidth="1"/>
    <col min="15120" max="15121" width="10.7109375" style="94" customWidth="1"/>
    <col min="15122" max="15123" width="10.7109375" style="94" bestFit="1" customWidth="1"/>
    <col min="15124" max="15360" width="9.140625" style="94"/>
    <col min="15361" max="15361" width="14.140625" style="94" customWidth="1"/>
    <col min="15362" max="15362" width="66.28515625" style="94" bestFit="1" customWidth="1"/>
    <col min="15363" max="15363" width="10" style="94" bestFit="1" customWidth="1"/>
    <col min="15364" max="15365" width="8.5703125" style="94" bestFit="1" customWidth="1"/>
    <col min="15366" max="15366" width="17.42578125" style="94" bestFit="1" customWidth="1"/>
    <col min="15367" max="15367" width="17.28515625" style="94" bestFit="1" customWidth="1"/>
    <col min="15368" max="15369" width="10.7109375" style="94" customWidth="1"/>
    <col min="15370" max="15371" width="10.7109375" style="94" bestFit="1" customWidth="1"/>
    <col min="15372" max="15372" width="10.7109375" style="94" customWidth="1"/>
    <col min="15373" max="15375" width="10.7109375" style="94" bestFit="1" customWidth="1"/>
    <col min="15376" max="15377" width="10.7109375" style="94" customWidth="1"/>
    <col min="15378" max="15379" width="10.7109375" style="94" bestFit="1" customWidth="1"/>
    <col min="15380" max="15616" width="9.140625" style="94"/>
    <col min="15617" max="15617" width="14.140625" style="94" customWidth="1"/>
    <col min="15618" max="15618" width="66.28515625" style="94" bestFit="1" customWidth="1"/>
    <col min="15619" max="15619" width="10" style="94" bestFit="1" customWidth="1"/>
    <col min="15620" max="15621" width="8.5703125" style="94" bestFit="1" customWidth="1"/>
    <col min="15622" max="15622" width="17.42578125" style="94" bestFit="1" customWidth="1"/>
    <col min="15623" max="15623" width="17.28515625" style="94" bestFit="1" customWidth="1"/>
    <col min="15624" max="15625" width="10.7109375" style="94" customWidth="1"/>
    <col min="15626" max="15627" width="10.7109375" style="94" bestFit="1" customWidth="1"/>
    <col min="15628" max="15628" width="10.7109375" style="94" customWidth="1"/>
    <col min="15629" max="15631" width="10.7109375" style="94" bestFit="1" customWidth="1"/>
    <col min="15632" max="15633" width="10.7109375" style="94" customWidth="1"/>
    <col min="15634" max="15635" width="10.7109375" style="94" bestFit="1" customWidth="1"/>
    <col min="15636" max="15872" width="9.140625" style="94"/>
    <col min="15873" max="15873" width="14.140625" style="94" customWidth="1"/>
    <col min="15874" max="15874" width="66.28515625" style="94" bestFit="1" customWidth="1"/>
    <col min="15875" max="15875" width="10" style="94" bestFit="1" customWidth="1"/>
    <col min="15876" max="15877" width="8.5703125" style="94" bestFit="1" customWidth="1"/>
    <col min="15878" max="15878" width="17.42578125" style="94" bestFit="1" customWidth="1"/>
    <col min="15879" max="15879" width="17.28515625" style="94" bestFit="1" customWidth="1"/>
    <col min="15880" max="15881" width="10.7109375" style="94" customWidth="1"/>
    <col min="15882" max="15883" width="10.7109375" style="94" bestFit="1" customWidth="1"/>
    <col min="15884" max="15884" width="10.7109375" style="94" customWidth="1"/>
    <col min="15885" max="15887" width="10.7109375" style="94" bestFit="1" customWidth="1"/>
    <col min="15888" max="15889" width="10.7109375" style="94" customWidth="1"/>
    <col min="15890" max="15891" width="10.7109375" style="94" bestFit="1" customWidth="1"/>
    <col min="15892" max="16128" width="9.140625" style="94"/>
    <col min="16129" max="16129" width="14.140625" style="94" customWidth="1"/>
    <col min="16130" max="16130" width="66.28515625" style="94" bestFit="1" customWidth="1"/>
    <col min="16131" max="16131" width="10" style="94" bestFit="1" customWidth="1"/>
    <col min="16132" max="16133" width="8.5703125" style="94" bestFit="1" customWidth="1"/>
    <col min="16134" max="16134" width="17.42578125" style="94" bestFit="1" customWidth="1"/>
    <col min="16135" max="16135" width="17.28515625" style="94" bestFit="1" customWidth="1"/>
    <col min="16136" max="16137" width="10.7109375" style="94" customWidth="1"/>
    <col min="16138" max="16139" width="10.7109375" style="94" bestFit="1" customWidth="1"/>
    <col min="16140" max="16140" width="10.7109375" style="94" customWidth="1"/>
    <col min="16141" max="16143" width="10.7109375" style="94" bestFit="1" customWidth="1"/>
    <col min="16144" max="16145" width="10.7109375" style="94" customWidth="1"/>
    <col min="16146" max="16147" width="10.7109375" style="94" bestFit="1" customWidth="1"/>
    <col min="16148" max="16384" width="9.140625" style="94"/>
  </cols>
  <sheetData>
    <row r="1" spans="1:135" s="217" customFormat="1" ht="24.95" customHeight="1">
      <c r="B1" s="2272" t="str">
        <f>IF(dms_DataQuality="backcast",INDEX(dms_Worksheet_List,MATCH(dms_Model,dms_Model_List))&amp;" BACKCAST",INDEX(dms_Worksheet_List,MATCH(dms_Model,dms_Model_List)))</f>
        <v>REGULATORY REPORTING STATEMENT</v>
      </c>
      <c r="C1" s="518"/>
      <c r="D1" s="518"/>
      <c r="E1" s="518"/>
      <c r="F1" s="518"/>
      <c r="G1" s="518"/>
      <c r="H1" s="518"/>
      <c r="I1" s="518"/>
      <c r="J1" s="518"/>
      <c r="K1" s="518"/>
      <c r="L1" s="518"/>
      <c r="M1" s="518"/>
      <c r="N1" s="518"/>
      <c r="O1" s="518"/>
      <c r="P1" s="518"/>
      <c r="Q1" s="518"/>
      <c r="R1" s="518"/>
      <c r="S1" s="518"/>
      <c r="T1" s="518"/>
      <c r="U1" s="518"/>
      <c r="V1" s="518"/>
      <c r="W1" s="518"/>
      <c r="X1" s="518"/>
      <c r="Y1" s="518"/>
      <c r="Z1" s="518"/>
      <c r="AA1" s="518"/>
      <c r="AB1"/>
      <c r="AC1"/>
      <c r="AD1"/>
      <c r="AE1"/>
    </row>
    <row r="2" spans="1:135" s="217" customFormat="1" ht="24.95" customHeight="1">
      <c r="B2" s="2277" t="str">
        <f>INDEX(dms_TradingNameFull_List,MATCH(dms_TradingName,dms_TradingName_List))</f>
        <v>Multinet Gas (DB No.1) Pty Ltd (ACN 086 026 986), Multinet Gas (DB No.2) Pty Ltd (ACN 086 230 122)</v>
      </c>
      <c r="C2" s="220"/>
      <c r="D2" s="220"/>
      <c r="E2" s="220"/>
      <c r="F2" s="220"/>
      <c r="G2" s="220"/>
      <c r="H2" s="220"/>
      <c r="I2" s="220"/>
      <c r="J2" s="220"/>
      <c r="K2" s="220"/>
      <c r="L2" s="220"/>
      <c r="M2" s="220"/>
      <c r="N2" s="220"/>
      <c r="O2" s="220"/>
      <c r="P2" s="220"/>
      <c r="Q2" s="220"/>
      <c r="R2" s="220"/>
      <c r="S2" s="220"/>
      <c r="T2" s="220"/>
      <c r="U2" s="220"/>
      <c r="V2" s="220"/>
      <c r="W2" s="220"/>
      <c r="X2" s="220"/>
      <c r="Y2" s="220"/>
      <c r="Z2" s="220"/>
      <c r="AA2" s="220"/>
      <c r="AB2"/>
      <c r="AC2"/>
      <c r="AD2"/>
      <c r="AE2"/>
    </row>
    <row r="3" spans="1:135" s="217" customFormat="1" ht="24.95" customHeight="1">
      <c r="B3" s="2277" t="str">
        <f ca="1">IF(SUM(dms_SingleYear_Model)&gt;0,CRY,CONCATENATE(FRCP_y1," to ",dms_MultiYear_FinalYear_Result))</f>
        <v>2018 to 2022</v>
      </c>
      <c r="C3" s="221"/>
      <c r="D3" s="221"/>
      <c r="E3" s="221"/>
      <c r="F3" s="221"/>
      <c r="G3" s="221"/>
      <c r="H3" s="221"/>
      <c r="I3" s="221"/>
      <c r="J3" s="221"/>
      <c r="K3" s="221"/>
      <c r="L3" s="221"/>
      <c r="M3" s="221"/>
      <c r="N3" s="221"/>
      <c r="O3" s="221"/>
      <c r="P3" s="221"/>
      <c r="Q3" s="221"/>
      <c r="R3" s="221"/>
      <c r="S3" s="221"/>
      <c r="T3" s="221"/>
      <c r="U3" s="221"/>
      <c r="V3" s="221"/>
      <c r="W3" s="221"/>
      <c r="X3" s="221"/>
      <c r="Y3" s="221"/>
      <c r="Z3" s="221"/>
      <c r="AA3" s="221"/>
      <c r="AB3"/>
      <c r="AC3"/>
      <c r="AD3"/>
      <c r="AE3"/>
    </row>
    <row r="4" spans="1:135" s="159" customFormat="1" ht="24" customHeight="1">
      <c r="B4" s="10" t="s">
        <v>557</v>
      </c>
      <c r="C4" s="12"/>
      <c r="D4" s="12"/>
      <c r="E4" s="12"/>
      <c r="F4" s="12"/>
      <c r="G4" s="12"/>
      <c r="H4" s="12"/>
      <c r="I4" s="12"/>
      <c r="J4" s="12"/>
      <c r="K4" s="12"/>
      <c r="L4" s="12"/>
      <c r="M4" s="12"/>
      <c r="N4" s="12"/>
      <c r="O4" s="12"/>
      <c r="P4" s="12"/>
      <c r="Q4" s="12"/>
      <c r="R4" s="12"/>
      <c r="S4" s="12"/>
      <c r="T4" s="12"/>
      <c r="U4" s="12"/>
      <c r="V4" s="12"/>
      <c r="W4" s="12"/>
      <c r="X4" s="12"/>
      <c r="Y4" s="12"/>
      <c r="Z4" s="12"/>
      <c r="AA4" s="12"/>
      <c r="AB4"/>
      <c r="AC4"/>
      <c r="AD4"/>
      <c r="AE4"/>
    </row>
    <row r="5" spans="1:135">
      <c r="A5" s="391"/>
      <c r="B5" s="725"/>
      <c r="C5" s="725"/>
      <c r="D5" s="725"/>
      <c r="E5" s="725"/>
      <c r="F5" s="725"/>
      <c r="G5" s="725"/>
      <c r="H5" s="725"/>
      <c r="I5" s="725"/>
      <c r="J5" s="725"/>
      <c r="K5" s="725"/>
      <c r="L5" s="725"/>
      <c r="M5" s="725"/>
      <c r="N5" s="725"/>
      <c r="O5" s="725"/>
      <c r="P5" s="725"/>
      <c r="Q5" s="725"/>
      <c r="R5" s="725"/>
      <c r="S5" s="725"/>
      <c r="T5" s="725"/>
      <c r="U5" s="725"/>
      <c r="V5" s="725"/>
      <c r="W5" s="725"/>
      <c r="X5" s="725"/>
      <c r="Y5" s="725"/>
      <c r="Z5" s="725"/>
      <c r="AA5" s="725"/>
    </row>
    <row r="6" spans="1:135">
      <c r="A6" s="725"/>
      <c r="B6" s="725"/>
      <c r="C6" s="725"/>
      <c r="D6" s="725"/>
      <c r="E6" s="725"/>
      <c r="F6" s="725"/>
      <c r="G6" s="725"/>
      <c r="H6" s="725"/>
      <c r="I6" s="725"/>
      <c r="J6" s="725"/>
      <c r="K6" s="725"/>
      <c r="L6" s="725"/>
      <c r="M6" s="725"/>
      <c r="N6" s="725"/>
      <c r="O6" s="725"/>
      <c r="P6" s="725"/>
      <c r="Q6" s="725"/>
      <c r="R6" s="725"/>
      <c r="S6" s="725"/>
      <c r="T6" s="725"/>
      <c r="U6" s="725"/>
      <c r="V6" s="725"/>
      <c r="W6" s="725"/>
      <c r="X6" s="725"/>
      <c r="Y6" s="725"/>
      <c r="Z6" s="725"/>
      <c r="AA6" s="725"/>
    </row>
    <row r="7" spans="1:135">
      <c r="A7" s="725"/>
      <c r="B7" s="4729" t="s">
        <v>61</v>
      </c>
      <c r="C7" s="4729"/>
      <c r="D7" s="4729"/>
      <c r="E7" s="4729"/>
      <c r="F7" s="4729"/>
      <c r="G7" s="4729"/>
      <c r="H7" s="725"/>
      <c r="I7" s="725"/>
      <c r="J7" s="725"/>
      <c r="K7" s="725"/>
      <c r="L7" s="725"/>
      <c r="M7" s="725"/>
      <c r="N7" s="725"/>
      <c r="O7" s="725"/>
      <c r="P7" s="725"/>
      <c r="Q7" s="725"/>
      <c r="R7" s="725"/>
      <c r="S7" s="725"/>
      <c r="T7" s="725"/>
      <c r="U7" s="725"/>
      <c r="V7" s="725"/>
      <c r="W7" s="725"/>
      <c r="X7" s="725"/>
      <c r="Y7" s="725"/>
      <c r="Z7" s="725"/>
      <c r="AA7" s="725"/>
    </row>
    <row r="8" spans="1:135">
      <c r="A8" s="725"/>
      <c r="B8" s="4693" t="s">
        <v>239</v>
      </c>
      <c r="C8" s="4693"/>
      <c r="D8" s="4693"/>
      <c r="E8" s="4693"/>
      <c r="F8" s="4693"/>
      <c r="G8" s="4693"/>
      <c r="H8" s="725"/>
      <c r="I8" s="725"/>
      <c r="J8" s="725"/>
      <c r="K8" s="725"/>
      <c r="L8" s="725"/>
      <c r="M8" s="725"/>
      <c r="N8" s="725"/>
      <c r="O8" s="725"/>
      <c r="P8" s="725"/>
      <c r="Q8" s="725"/>
      <c r="R8" s="725"/>
      <c r="S8" s="725"/>
      <c r="T8" s="725"/>
      <c r="U8" s="725"/>
      <c r="V8" s="725"/>
      <c r="W8" s="725"/>
      <c r="X8" s="725"/>
      <c r="Y8" s="725"/>
      <c r="Z8" s="725"/>
      <c r="AA8" s="725"/>
    </row>
    <row r="9" spans="1:135" ht="29.25" customHeight="1">
      <c r="A9" s="725"/>
      <c r="B9" s="4693" t="s">
        <v>495</v>
      </c>
      <c r="C9" s="4693"/>
      <c r="D9" s="4693"/>
      <c r="E9" s="4693"/>
      <c r="F9" s="4693"/>
      <c r="G9" s="4693"/>
      <c r="H9" s="725"/>
      <c r="I9" s="725"/>
      <c r="J9" s="725"/>
      <c r="K9" s="725"/>
      <c r="L9" s="725"/>
      <c r="M9" s="725"/>
      <c r="N9" s="725"/>
      <c r="O9" s="725"/>
      <c r="P9" s="725"/>
      <c r="Q9" s="725"/>
      <c r="R9" s="725"/>
      <c r="S9" s="725"/>
      <c r="T9" s="725"/>
      <c r="U9" s="725"/>
      <c r="V9" s="725"/>
      <c r="W9" s="725"/>
      <c r="X9" s="725"/>
      <c r="Y9" s="725"/>
      <c r="Z9" s="725"/>
      <c r="AA9" s="725"/>
    </row>
    <row r="10" spans="1:135" ht="27" customHeight="1">
      <c r="A10" s="725"/>
      <c r="B10" s="4846" t="s">
        <v>407</v>
      </c>
      <c r="C10" s="4847"/>
      <c r="D10" s="4847"/>
      <c r="E10" s="4847"/>
      <c r="F10" s="4847"/>
      <c r="G10" s="4847"/>
      <c r="H10" s="725"/>
      <c r="I10" s="725"/>
      <c r="J10" s="725"/>
      <c r="K10" s="725"/>
      <c r="L10" s="725"/>
      <c r="M10" s="725"/>
      <c r="N10" s="725"/>
      <c r="O10" s="725"/>
      <c r="P10" s="725"/>
      <c r="Q10" s="725"/>
      <c r="R10" s="725"/>
      <c r="S10" s="725"/>
      <c r="T10" s="725"/>
      <c r="U10" s="725"/>
      <c r="V10" s="725"/>
      <c r="W10" s="725"/>
      <c r="X10" s="725"/>
      <c r="Y10" s="725"/>
      <c r="Z10" s="725"/>
      <c r="AA10" s="725"/>
    </row>
    <row r="11" spans="1:135" ht="35.25" customHeight="1">
      <c r="A11" s="725"/>
      <c r="C11" s="725"/>
      <c r="D11" s="725"/>
      <c r="E11" s="725"/>
      <c r="F11" s="725"/>
      <c r="G11" s="725"/>
      <c r="H11" s="725"/>
      <c r="I11" s="725"/>
      <c r="J11" s="725"/>
      <c r="K11" s="725"/>
      <c r="L11" s="725"/>
      <c r="M11" s="725"/>
      <c r="N11" s="725"/>
      <c r="O11" s="725"/>
      <c r="P11" s="725"/>
      <c r="Q11" s="725"/>
      <c r="R11" s="725"/>
      <c r="S11" s="725"/>
      <c r="T11" s="725"/>
      <c r="U11" s="725"/>
      <c r="V11" s="725"/>
      <c r="W11" s="725"/>
      <c r="X11" s="725"/>
      <c r="Y11" s="725"/>
      <c r="Z11" s="725"/>
      <c r="AA11" s="725"/>
    </row>
    <row r="12" spans="1:135">
      <c r="A12" s="725"/>
      <c r="B12" s="922" t="s">
        <v>265</v>
      </c>
      <c r="C12" s="725"/>
      <c r="D12" s="725"/>
      <c r="E12" s="725"/>
      <c r="F12" s="725"/>
      <c r="G12" s="725"/>
      <c r="H12" s="725"/>
      <c r="I12" s="725"/>
      <c r="J12" s="725"/>
      <c r="K12" s="725"/>
      <c r="L12" s="725"/>
      <c r="M12" s="725"/>
      <c r="N12" s="725"/>
      <c r="O12" s="725"/>
      <c r="P12" s="725"/>
      <c r="Q12" s="725"/>
      <c r="R12" s="725"/>
      <c r="S12" s="725"/>
      <c r="T12" s="725"/>
      <c r="U12" s="725"/>
      <c r="V12" s="725"/>
      <c r="W12" s="725"/>
      <c r="X12" s="725"/>
      <c r="Y12" s="725"/>
      <c r="Z12" s="725"/>
      <c r="AA12" s="725"/>
    </row>
    <row r="13" spans="1:135" ht="24.75" customHeight="1">
      <c r="A13" s="725"/>
      <c r="B13" s="923"/>
      <c r="C13" s="725"/>
      <c r="D13" s="725"/>
      <c r="E13" s="725"/>
      <c r="F13" s="725"/>
      <c r="G13" s="725"/>
      <c r="H13" s="725"/>
      <c r="I13" s="725"/>
      <c r="J13" s="725"/>
      <c r="K13" s="725"/>
      <c r="L13" s="725"/>
      <c r="M13" s="725"/>
      <c r="N13" s="725"/>
      <c r="O13" s="725"/>
      <c r="P13" s="725"/>
      <c r="Q13" s="725"/>
      <c r="R13" s="725"/>
      <c r="S13" s="725"/>
      <c r="T13" s="725"/>
      <c r="U13" s="725"/>
      <c r="V13" s="725"/>
      <c r="W13" s="725"/>
      <c r="X13" s="725"/>
      <c r="Y13" s="725"/>
      <c r="Z13" s="725"/>
      <c r="AA13" s="725"/>
    </row>
    <row r="14" spans="1:135" ht="32.25" customHeight="1">
      <c r="A14" s="725"/>
      <c r="C14" s="725"/>
      <c r="D14" s="725"/>
      <c r="E14" s="725"/>
      <c r="F14" s="725"/>
      <c r="G14" s="725"/>
      <c r="H14" s="725"/>
      <c r="I14" s="725"/>
      <c r="J14" s="725"/>
      <c r="K14" s="725"/>
      <c r="L14" s="725"/>
      <c r="M14" s="725"/>
      <c r="N14" s="725"/>
      <c r="O14" s="725"/>
      <c r="P14" s="725"/>
      <c r="Q14" s="725"/>
      <c r="R14" s="725"/>
      <c r="S14" s="725"/>
      <c r="T14" s="725"/>
      <c r="U14" s="725"/>
      <c r="V14" s="725"/>
      <c r="W14" s="725"/>
      <c r="X14" s="725"/>
      <c r="Y14" s="725"/>
      <c r="Z14" s="725"/>
      <c r="AA14" s="725"/>
    </row>
    <row r="15" spans="1:135" ht="13.5" thickBot="1">
      <c r="A15" s="725"/>
    </row>
    <row r="16" spans="1:135" s="92" customFormat="1" ht="18.75" customHeight="1" thickBot="1">
      <c r="A16" s="299"/>
      <c r="B16" s="769" t="s">
        <v>556</v>
      </c>
      <c r="C16" s="1646"/>
      <c r="D16" s="1432"/>
      <c r="E16" s="1432"/>
      <c r="F16" s="1432"/>
      <c r="G16" s="1432"/>
      <c r="H16" s="1432"/>
      <c r="I16" s="1432"/>
      <c r="J16" s="1432"/>
      <c r="K16" s="1432"/>
      <c r="L16" s="1432"/>
      <c r="M16" s="1432"/>
      <c r="N16" s="1432"/>
      <c r="O16" s="1432"/>
      <c r="P16" s="1432"/>
      <c r="Q16" s="1432"/>
      <c r="R16" s="1432"/>
      <c r="S16" s="1432"/>
      <c r="T16" s="1432"/>
      <c r="U16" s="1432"/>
      <c r="V16" s="1432"/>
      <c r="W16" s="1432"/>
      <c r="X16" s="1432"/>
      <c r="Y16" s="1432"/>
      <c r="Z16" s="1432"/>
      <c r="AA16" s="1432"/>
      <c r="AB16" s="1433"/>
      <c r="AC16" s="1266"/>
      <c r="AD16" s="1266"/>
      <c r="AE16" s="1266"/>
      <c r="AF16" s="1266"/>
      <c r="DF16" s="1266"/>
      <c r="DG16" s="1266"/>
      <c r="DH16" s="1266"/>
      <c r="DI16" s="1266"/>
      <c r="DJ16" s="1266"/>
      <c r="DK16" s="1266"/>
      <c r="DL16" s="1266"/>
      <c r="DM16" s="1266"/>
      <c r="DN16" s="1266"/>
      <c r="DO16" s="1266"/>
      <c r="DP16" s="1266"/>
      <c r="DQ16" s="1266"/>
      <c r="DR16" s="1266"/>
      <c r="DS16" s="1266"/>
      <c r="DT16" s="1266"/>
      <c r="DU16" s="1266"/>
      <c r="DV16" s="1266"/>
      <c r="DW16" s="1266"/>
      <c r="DX16" s="1266"/>
      <c r="DY16" s="1266"/>
      <c r="DZ16" s="1266"/>
      <c r="EA16" s="1266"/>
      <c r="EB16" s="1266"/>
      <c r="EC16" s="1266"/>
      <c r="ED16" s="1266"/>
      <c r="EE16" s="1266"/>
    </row>
    <row r="17" spans="1:135" ht="20.25" customHeight="1">
      <c r="A17" s="725"/>
      <c r="B17" s="4850"/>
      <c r="C17" s="4851"/>
      <c r="D17" s="4848" t="s">
        <v>37</v>
      </c>
      <c r="E17" s="4849"/>
      <c r="F17" s="4849"/>
      <c r="G17" s="4849"/>
      <c r="H17" s="4849"/>
      <c r="I17" s="4732" t="s">
        <v>75</v>
      </c>
      <c r="J17" s="4732"/>
      <c r="K17" s="4732"/>
      <c r="L17" s="4732"/>
      <c r="M17" s="4732"/>
      <c r="N17" s="4837" t="s">
        <v>267</v>
      </c>
      <c r="O17" s="4837"/>
      <c r="P17" s="4837"/>
      <c r="Q17" s="4837"/>
      <c r="R17" s="4837"/>
      <c r="S17" s="4837"/>
      <c r="T17" s="4837"/>
      <c r="U17" s="4837"/>
      <c r="V17" s="4837"/>
      <c r="W17" s="4837"/>
      <c r="X17" s="4837"/>
      <c r="Y17" s="4837"/>
      <c r="Z17" s="4837"/>
      <c r="AA17" s="4837"/>
      <c r="AB17" s="4838"/>
      <c r="AF17"/>
    </row>
    <row r="18" spans="1:135" s="65" customFormat="1" ht="20.25" customHeight="1">
      <c r="A18" s="282"/>
      <c r="B18" s="4852"/>
      <c r="C18" s="4853"/>
      <c r="D18" s="4839" t="s">
        <v>357</v>
      </c>
      <c r="E18" s="4840"/>
      <c r="F18" s="4840"/>
      <c r="G18" s="4840"/>
      <c r="H18" s="4840"/>
      <c r="I18" s="4840"/>
      <c r="J18" s="4840"/>
      <c r="K18" s="4840"/>
      <c r="L18" s="4840"/>
      <c r="M18" s="4840"/>
      <c r="N18" s="4840"/>
      <c r="O18" s="4840"/>
      <c r="P18" s="4840"/>
      <c r="Q18" s="4840"/>
      <c r="R18" s="4840"/>
      <c r="S18" s="4840"/>
      <c r="T18" s="4840"/>
      <c r="U18" s="4840"/>
      <c r="V18" s="4840"/>
      <c r="W18" s="4840"/>
      <c r="X18" s="4840"/>
      <c r="Y18" s="4840"/>
      <c r="Z18" s="4840"/>
      <c r="AA18" s="4840"/>
      <c r="AB18" s="4841"/>
      <c r="AC18"/>
      <c r="AD18"/>
      <c r="AE18"/>
      <c r="AF18"/>
    </row>
    <row r="19" spans="1:135" s="65" customFormat="1" ht="20.25" customHeight="1">
      <c r="A19" s="282"/>
      <c r="B19" s="4852"/>
      <c r="C19" s="4853"/>
      <c r="D19" s="4839" t="s">
        <v>56</v>
      </c>
      <c r="E19" s="4840"/>
      <c r="F19" s="4845"/>
      <c r="G19" s="4842" t="s">
        <v>397</v>
      </c>
      <c r="H19" s="4843"/>
      <c r="I19" s="4843"/>
      <c r="J19" s="4843"/>
      <c r="K19" s="4843"/>
      <c r="L19" s="4843"/>
      <c r="M19" s="4843"/>
      <c r="N19" s="4843"/>
      <c r="O19" s="4843"/>
      <c r="P19" s="4843"/>
      <c r="Q19" s="4843"/>
      <c r="R19" s="4843"/>
      <c r="S19" s="4843"/>
      <c r="T19" s="4843"/>
      <c r="U19" s="4843"/>
      <c r="V19" s="4843"/>
      <c r="W19" s="4843"/>
      <c r="X19" s="4843"/>
      <c r="Y19" s="4843"/>
      <c r="Z19" s="4843"/>
      <c r="AA19" s="4843"/>
      <c r="AB19" s="4844"/>
      <c r="AC19"/>
      <c r="AD19"/>
      <c r="AE19"/>
      <c r="AF19"/>
    </row>
    <row r="20" spans="1:135" s="65" customFormat="1" ht="20.25" customHeight="1" thickBot="1">
      <c r="A20" s="282"/>
      <c r="B20" s="4854"/>
      <c r="C20" s="4855"/>
      <c r="D20" s="892">
        <f>CRCP_y1</f>
        <v>2013</v>
      </c>
      <c r="E20" s="892">
        <f>CRCP_y2</f>
        <v>2014</v>
      </c>
      <c r="F20" s="892">
        <f>CRCP_y3</f>
        <v>2015</v>
      </c>
      <c r="G20" s="892">
        <f>CRCP_y4</f>
        <v>2016</v>
      </c>
      <c r="H20" s="892">
        <f>CRCP_y5</f>
        <v>2017</v>
      </c>
      <c r="I20" s="891" t="str">
        <f>CONCATENATE(IF(dms_RPT="Calendar",H20+1,(LEFT(H20,4)+1&amp;"-"&amp;IF(MID(H20,6,2)&lt;"09","0"&amp;RIGHT(H20,1)+1,RIGHT(H20,2)+1))))</f>
        <v>2018</v>
      </c>
      <c r="J20" s="891" t="str">
        <f t="shared" ref="J20:AB20" si="0">CONCATENATE(IF(dms_RPT="Calendar",I20+1,(LEFT(I20,4)+1&amp;"-"&amp;IF(MID(I20,6,2)&lt;"09","0"&amp;RIGHT(I20,1)+1,RIGHT(I20,2)+1))))</f>
        <v>2019</v>
      </c>
      <c r="K20" s="891" t="str">
        <f t="shared" si="0"/>
        <v>2020</v>
      </c>
      <c r="L20" s="891" t="str">
        <f t="shared" si="0"/>
        <v>2021</v>
      </c>
      <c r="M20" s="891" t="str">
        <f t="shared" si="0"/>
        <v>2022</v>
      </c>
      <c r="N20" s="892" t="str">
        <f t="shared" si="0"/>
        <v>2023</v>
      </c>
      <c r="O20" s="892" t="str">
        <f t="shared" si="0"/>
        <v>2024</v>
      </c>
      <c r="P20" s="892" t="str">
        <f t="shared" si="0"/>
        <v>2025</v>
      </c>
      <c r="Q20" s="892" t="str">
        <f t="shared" si="0"/>
        <v>2026</v>
      </c>
      <c r="R20" s="892" t="str">
        <f t="shared" si="0"/>
        <v>2027</v>
      </c>
      <c r="S20" s="892" t="str">
        <f t="shared" si="0"/>
        <v>2028</v>
      </c>
      <c r="T20" s="892" t="str">
        <f t="shared" si="0"/>
        <v>2029</v>
      </c>
      <c r="U20" s="892" t="str">
        <f t="shared" si="0"/>
        <v>2030</v>
      </c>
      <c r="V20" s="892" t="str">
        <f t="shared" si="0"/>
        <v>2031</v>
      </c>
      <c r="W20" s="892" t="str">
        <f t="shared" si="0"/>
        <v>2032</v>
      </c>
      <c r="X20" s="892" t="str">
        <f t="shared" si="0"/>
        <v>2033</v>
      </c>
      <c r="Y20" s="892" t="str">
        <f t="shared" si="0"/>
        <v>2034</v>
      </c>
      <c r="Z20" s="892" t="str">
        <f t="shared" si="0"/>
        <v>2035</v>
      </c>
      <c r="AA20" s="892" t="str">
        <f t="shared" si="0"/>
        <v>2036</v>
      </c>
      <c r="AB20" s="892" t="str">
        <f t="shared" si="0"/>
        <v>2037</v>
      </c>
      <c r="AC20"/>
      <c r="AD20"/>
      <c r="AE20"/>
      <c r="AF20"/>
    </row>
    <row r="21" spans="1:135" s="92" customFormat="1" ht="18.75" customHeight="1" thickBot="1">
      <c r="A21" s="299"/>
      <c r="B21" s="1384" t="s">
        <v>558</v>
      </c>
      <c r="C21" s="1382"/>
      <c r="D21" s="1382"/>
      <c r="E21" s="1382"/>
      <c r="F21" s="1382"/>
      <c r="G21" s="1382"/>
      <c r="H21" s="1382"/>
      <c r="I21" s="1382"/>
      <c r="J21" s="1382"/>
      <c r="K21" s="1382"/>
      <c r="L21" s="1382"/>
      <c r="M21" s="1382"/>
      <c r="N21" s="1382"/>
      <c r="O21" s="1382"/>
      <c r="P21" s="1382"/>
      <c r="Q21" s="1382"/>
      <c r="R21" s="1382"/>
      <c r="S21" s="1382"/>
      <c r="T21" s="1382"/>
      <c r="U21" s="1382"/>
      <c r="V21" s="1382"/>
      <c r="W21" s="1382"/>
      <c r="X21" s="1382"/>
      <c r="Y21" s="1382"/>
      <c r="Z21" s="1382"/>
      <c r="AA21" s="1382"/>
      <c r="AB21" s="1383"/>
      <c r="AC21" s="1266"/>
      <c r="AD21" s="1266"/>
      <c r="AE21" s="1266"/>
      <c r="AF21" s="1266"/>
      <c r="DF21" s="1266"/>
      <c r="DG21" s="1266"/>
      <c r="DH21" s="1266"/>
      <c r="DI21" s="1266"/>
      <c r="DJ21" s="1266"/>
      <c r="DK21" s="1266"/>
      <c r="DL21" s="1266"/>
      <c r="DM21" s="1266"/>
      <c r="DN21" s="1266"/>
      <c r="DO21" s="1266"/>
      <c r="DP21" s="1266"/>
      <c r="DQ21" s="1266"/>
      <c r="DR21" s="1266"/>
      <c r="DS21" s="1266"/>
      <c r="DT21" s="1266"/>
      <c r="DU21" s="1266"/>
      <c r="DV21" s="1266"/>
      <c r="DW21" s="1266"/>
      <c r="DX21" s="1266"/>
      <c r="DY21" s="1266"/>
      <c r="DZ21" s="1266"/>
      <c r="EA21" s="1266"/>
      <c r="EB21" s="1266"/>
      <c r="EC21" s="1266"/>
      <c r="ED21" s="1266"/>
      <c r="EE21" s="1266"/>
    </row>
    <row r="22" spans="1:135" s="1624" customFormat="1" ht="25.5" customHeight="1">
      <c r="A22" s="1622"/>
      <c r="B22" s="1625" t="s">
        <v>668</v>
      </c>
      <c r="C22" s="1645"/>
      <c r="D22" s="1626"/>
      <c r="E22" s="1626"/>
      <c r="F22" s="1626"/>
      <c r="G22" s="1626"/>
      <c r="H22" s="1626"/>
      <c r="I22" s="1626"/>
      <c r="J22" s="1626"/>
      <c r="K22" s="1626"/>
      <c r="L22" s="1626"/>
      <c r="M22" s="1626"/>
      <c r="N22" s="1626"/>
      <c r="O22" s="1626"/>
      <c r="P22" s="1626"/>
      <c r="Q22" s="1626"/>
      <c r="R22" s="1626"/>
      <c r="S22" s="1626"/>
      <c r="T22" s="1626"/>
      <c r="U22" s="1626"/>
      <c r="V22" s="1626"/>
      <c r="W22" s="1626"/>
      <c r="X22" s="1626"/>
      <c r="Y22" s="1626"/>
      <c r="Z22" s="1626"/>
      <c r="AA22" s="1626"/>
      <c r="AB22" s="1627"/>
      <c r="AC22" s="1623"/>
      <c r="AD22" s="1623"/>
      <c r="AE22" s="1623"/>
      <c r="AF22" s="1623"/>
      <c r="DF22" s="1623"/>
      <c r="DG22" s="1623"/>
      <c r="DH22" s="1623"/>
      <c r="DI22" s="1623"/>
      <c r="DJ22" s="1623"/>
      <c r="DK22" s="1623"/>
      <c r="DL22" s="1623"/>
      <c r="DM22" s="1623"/>
      <c r="DN22" s="1623"/>
      <c r="DO22" s="1623"/>
      <c r="DP22" s="1623"/>
      <c r="DQ22" s="1623"/>
      <c r="DR22" s="1623"/>
      <c r="DS22" s="1623"/>
      <c r="DT22" s="1623"/>
      <c r="DU22" s="1623"/>
      <c r="DV22" s="1623"/>
      <c r="DW22" s="1623"/>
      <c r="DX22" s="1623"/>
      <c r="DY22" s="1623"/>
      <c r="DZ22" s="1623"/>
      <c r="EA22" s="1623"/>
      <c r="EB22" s="1623"/>
      <c r="EC22" s="1623"/>
      <c r="ED22" s="1623"/>
      <c r="EE22" s="1623"/>
    </row>
    <row r="23" spans="1:135" s="92" customFormat="1">
      <c r="A23" s="299"/>
      <c r="B23" s="4831" t="s">
        <v>1469</v>
      </c>
      <c r="C23" s="293" t="s">
        <v>194</v>
      </c>
      <c r="D23" s="738"/>
      <c r="E23" s="490">
        <f>D24</f>
        <v>0</v>
      </c>
      <c r="F23" s="490">
        <f t="shared" ref="F23:AB23" si="1">E24</f>
        <v>0</v>
      </c>
      <c r="G23" s="490">
        <f>E24</f>
        <v>0</v>
      </c>
      <c r="H23" s="1292">
        <f>F24</f>
        <v>0</v>
      </c>
      <c r="I23" s="489">
        <f t="shared" si="1"/>
        <v>0</v>
      </c>
      <c r="J23" s="490">
        <f t="shared" si="1"/>
        <v>0</v>
      </c>
      <c r="K23" s="490">
        <f t="shared" si="1"/>
        <v>0</v>
      </c>
      <c r="L23" s="490">
        <f t="shared" si="1"/>
        <v>0</v>
      </c>
      <c r="M23" s="491">
        <f t="shared" si="1"/>
        <v>0</v>
      </c>
      <c r="N23" s="538">
        <f t="shared" si="1"/>
        <v>0</v>
      </c>
      <c r="O23" s="490">
        <f t="shared" si="1"/>
        <v>0</v>
      </c>
      <c r="P23" s="490">
        <f t="shared" si="1"/>
        <v>0</v>
      </c>
      <c r="Q23" s="490">
        <f t="shared" si="1"/>
        <v>0</v>
      </c>
      <c r="R23" s="490">
        <f t="shared" si="1"/>
        <v>0</v>
      </c>
      <c r="S23" s="490">
        <f t="shared" si="1"/>
        <v>0</v>
      </c>
      <c r="T23" s="490">
        <f t="shared" si="1"/>
        <v>0</v>
      </c>
      <c r="U23" s="490">
        <f t="shared" si="1"/>
        <v>0</v>
      </c>
      <c r="V23" s="490">
        <f t="shared" si="1"/>
        <v>0</v>
      </c>
      <c r="W23" s="490">
        <f t="shared" si="1"/>
        <v>0</v>
      </c>
      <c r="X23" s="490">
        <f t="shared" si="1"/>
        <v>0</v>
      </c>
      <c r="Y23" s="490">
        <f t="shared" si="1"/>
        <v>0</v>
      </c>
      <c r="Z23" s="490">
        <f t="shared" si="1"/>
        <v>0</v>
      </c>
      <c r="AA23" s="490">
        <f t="shared" si="1"/>
        <v>0</v>
      </c>
      <c r="AB23" s="491">
        <f t="shared" si="1"/>
        <v>0</v>
      </c>
      <c r="AC23"/>
      <c r="AD23"/>
      <c r="AE23"/>
      <c r="AF23"/>
    </row>
    <row r="24" spans="1:135" s="92" customFormat="1">
      <c r="A24" s="299"/>
      <c r="B24" s="4832"/>
      <c r="C24" s="293" t="s">
        <v>193</v>
      </c>
      <c r="D24" s="738"/>
      <c r="E24" s="708"/>
      <c r="F24" s="708"/>
      <c r="G24" s="708"/>
      <c r="H24" s="851"/>
      <c r="I24" s="738"/>
      <c r="J24" s="708"/>
      <c r="K24" s="708"/>
      <c r="L24" s="708"/>
      <c r="M24" s="790"/>
      <c r="N24" s="786"/>
      <c r="O24" s="708"/>
      <c r="P24" s="708"/>
      <c r="Q24" s="708"/>
      <c r="R24" s="708"/>
      <c r="S24" s="708"/>
      <c r="T24" s="708"/>
      <c r="U24" s="708"/>
      <c r="V24" s="708"/>
      <c r="W24" s="708"/>
      <c r="X24" s="708"/>
      <c r="Y24" s="708"/>
      <c r="Z24" s="708"/>
      <c r="AA24" s="708"/>
      <c r="AB24" s="790"/>
      <c r="AC24"/>
      <c r="AD24"/>
      <c r="AE24"/>
      <c r="AF24"/>
    </row>
    <row r="25" spans="1:135" s="92" customFormat="1">
      <c r="A25" s="299"/>
      <c r="B25" s="4832"/>
      <c r="C25" s="293" t="s">
        <v>70</v>
      </c>
      <c r="D25" s="489">
        <f t="shared" ref="D25:AB25" si="2">IF(ISERROR(AVERAGE(D23:D24)),0,AVERAGE(D23:D24))</f>
        <v>0</v>
      </c>
      <c r="E25" s="490">
        <f t="shared" si="2"/>
        <v>0</v>
      </c>
      <c r="F25" s="490">
        <f t="shared" si="2"/>
        <v>0</v>
      </c>
      <c r="G25" s="490">
        <f t="shared" si="2"/>
        <v>0</v>
      </c>
      <c r="H25" s="1292">
        <f t="shared" si="2"/>
        <v>0</v>
      </c>
      <c r="I25" s="489">
        <f t="shared" si="2"/>
        <v>0</v>
      </c>
      <c r="J25" s="490">
        <f t="shared" si="2"/>
        <v>0</v>
      </c>
      <c r="K25" s="490">
        <f t="shared" si="2"/>
        <v>0</v>
      </c>
      <c r="L25" s="490">
        <f t="shared" si="2"/>
        <v>0</v>
      </c>
      <c r="M25" s="491">
        <f t="shared" si="2"/>
        <v>0</v>
      </c>
      <c r="N25" s="538">
        <f t="shared" si="2"/>
        <v>0</v>
      </c>
      <c r="O25" s="490">
        <f t="shared" si="2"/>
        <v>0</v>
      </c>
      <c r="P25" s="490">
        <f t="shared" si="2"/>
        <v>0</v>
      </c>
      <c r="Q25" s="490">
        <f t="shared" si="2"/>
        <v>0</v>
      </c>
      <c r="R25" s="490">
        <f t="shared" si="2"/>
        <v>0</v>
      </c>
      <c r="S25" s="490">
        <f t="shared" si="2"/>
        <v>0</v>
      </c>
      <c r="T25" s="490">
        <f t="shared" si="2"/>
        <v>0</v>
      </c>
      <c r="U25" s="490">
        <f t="shared" si="2"/>
        <v>0</v>
      </c>
      <c r="V25" s="490">
        <f t="shared" si="2"/>
        <v>0</v>
      </c>
      <c r="W25" s="490">
        <f t="shared" si="2"/>
        <v>0</v>
      </c>
      <c r="X25" s="490">
        <f t="shared" si="2"/>
        <v>0</v>
      </c>
      <c r="Y25" s="490">
        <f t="shared" si="2"/>
        <v>0</v>
      </c>
      <c r="Z25" s="490">
        <f t="shared" si="2"/>
        <v>0</v>
      </c>
      <c r="AA25" s="490">
        <f t="shared" si="2"/>
        <v>0</v>
      </c>
      <c r="AB25" s="491">
        <f t="shared" si="2"/>
        <v>0</v>
      </c>
      <c r="AC25"/>
      <c r="AD25"/>
      <c r="AE25"/>
      <c r="AF25"/>
    </row>
    <row r="26" spans="1:135" s="92" customFormat="1">
      <c r="A26" s="299"/>
      <c r="B26" s="4832"/>
      <c r="C26" s="293" t="s">
        <v>71</v>
      </c>
      <c r="D26" s="738"/>
      <c r="E26" s="708"/>
      <c r="F26" s="708"/>
      <c r="G26" s="708"/>
      <c r="H26" s="851"/>
      <c r="I26" s="738"/>
      <c r="J26" s="708"/>
      <c r="K26" s="708"/>
      <c r="L26" s="708"/>
      <c r="M26" s="790"/>
      <c r="N26" s="786"/>
      <c r="O26" s="708"/>
      <c r="P26" s="708"/>
      <c r="Q26" s="708"/>
      <c r="R26" s="708"/>
      <c r="S26" s="708"/>
      <c r="T26" s="708"/>
      <c r="U26" s="708"/>
      <c r="V26" s="708"/>
      <c r="W26" s="708"/>
      <c r="X26" s="708"/>
      <c r="Y26" s="708"/>
      <c r="Z26" s="708"/>
      <c r="AA26" s="708"/>
      <c r="AB26" s="790"/>
      <c r="AC26"/>
      <c r="AD26"/>
      <c r="AE26"/>
      <c r="AF26"/>
    </row>
    <row r="27" spans="1:135" s="92" customFormat="1" ht="13.5" thickBot="1">
      <c r="A27" s="299"/>
      <c r="B27" s="4833"/>
      <c r="C27" s="1644" t="s">
        <v>60</v>
      </c>
      <c r="D27" s="791"/>
      <c r="E27" s="792"/>
      <c r="F27" s="792"/>
      <c r="G27" s="792"/>
      <c r="H27" s="897"/>
      <c r="I27" s="791"/>
      <c r="J27" s="792"/>
      <c r="K27" s="792"/>
      <c r="L27" s="792"/>
      <c r="M27" s="793"/>
      <c r="N27" s="795"/>
      <c r="O27" s="792"/>
      <c r="P27" s="792"/>
      <c r="Q27" s="792"/>
      <c r="R27" s="792"/>
      <c r="S27" s="792"/>
      <c r="T27" s="792"/>
      <c r="U27" s="792"/>
      <c r="V27" s="792"/>
      <c r="W27" s="792"/>
      <c r="X27" s="792"/>
      <c r="Y27" s="792"/>
      <c r="Z27" s="792"/>
      <c r="AA27" s="792"/>
      <c r="AB27" s="793"/>
      <c r="AC27"/>
      <c r="AD27"/>
      <c r="AE27"/>
      <c r="AF27"/>
    </row>
    <row r="28" spans="1:135" s="92" customFormat="1">
      <c r="A28" s="299"/>
      <c r="B28" s="4831" t="s">
        <v>1469</v>
      </c>
      <c r="C28" s="293" t="s">
        <v>194</v>
      </c>
      <c r="D28" s="738"/>
      <c r="E28" s="490">
        <f>D29</f>
        <v>0</v>
      </c>
      <c r="F28" s="490">
        <f t="shared" ref="F28" si="3">E29</f>
        <v>0</v>
      </c>
      <c r="G28" s="490">
        <f>E29</f>
        <v>0</v>
      </c>
      <c r="H28" s="1292">
        <f>F29</f>
        <v>0</v>
      </c>
      <c r="I28" s="489">
        <f t="shared" ref="I28" si="4">H29</f>
        <v>0</v>
      </c>
      <c r="J28" s="490">
        <f t="shared" ref="J28" si="5">I29</f>
        <v>0</v>
      </c>
      <c r="K28" s="490">
        <f t="shared" ref="K28" si="6">J29</f>
        <v>0</v>
      </c>
      <c r="L28" s="490">
        <f t="shared" ref="L28" si="7">K29</f>
        <v>0</v>
      </c>
      <c r="M28" s="491">
        <f t="shared" ref="M28" si="8">L29</f>
        <v>0</v>
      </c>
      <c r="N28" s="538">
        <f t="shared" ref="N28" si="9">M29</f>
        <v>0</v>
      </c>
      <c r="O28" s="490">
        <f t="shared" ref="O28" si="10">N29</f>
        <v>0</v>
      </c>
      <c r="P28" s="490">
        <f t="shared" ref="P28" si="11">O29</f>
        <v>0</v>
      </c>
      <c r="Q28" s="490">
        <f t="shared" ref="Q28" si="12">P29</f>
        <v>0</v>
      </c>
      <c r="R28" s="490">
        <f t="shared" ref="R28" si="13">Q29</f>
        <v>0</v>
      </c>
      <c r="S28" s="490">
        <f t="shared" ref="S28" si="14">R29</f>
        <v>0</v>
      </c>
      <c r="T28" s="490">
        <f t="shared" ref="T28" si="15">S29</f>
        <v>0</v>
      </c>
      <c r="U28" s="490">
        <f t="shared" ref="U28" si="16">T29</f>
        <v>0</v>
      </c>
      <c r="V28" s="490">
        <f t="shared" ref="V28" si="17">U29</f>
        <v>0</v>
      </c>
      <c r="W28" s="490">
        <f t="shared" ref="W28" si="18">V29</f>
        <v>0</v>
      </c>
      <c r="X28" s="490">
        <f t="shared" ref="X28" si="19">W29</f>
        <v>0</v>
      </c>
      <c r="Y28" s="490">
        <f t="shared" ref="Y28" si="20">X29</f>
        <v>0</v>
      </c>
      <c r="Z28" s="490">
        <f t="shared" ref="Z28" si="21">Y29</f>
        <v>0</v>
      </c>
      <c r="AA28" s="490">
        <f t="shared" ref="AA28" si="22">Z29</f>
        <v>0</v>
      </c>
      <c r="AB28" s="491">
        <f t="shared" ref="AB28" si="23">AA29</f>
        <v>0</v>
      </c>
      <c r="AC28" s="1266"/>
      <c r="AD28" s="1266"/>
      <c r="AE28" s="1266"/>
      <c r="AF28" s="1266"/>
    </row>
    <row r="29" spans="1:135" s="92" customFormat="1">
      <c r="A29" s="299"/>
      <c r="B29" s="4832"/>
      <c r="C29" s="293" t="s">
        <v>193</v>
      </c>
      <c r="D29" s="738"/>
      <c r="E29" s="708"/>
      <c r="F29" s="708"/>
      <c r="G29" s="708"/>
      <c r="H29" s="851"/>
      <c r="I29" s="738"/>
      <c r="J29" s="708"/>
      <c r="K29" s="708"/>
      <c r="L29" s="708"/>
      <c r="M29" s="790"/>
      <c r="N29" s="786"/>
      <c r="O29" s="708"/>
      <c r="P29" s="708"/>
      <c r="Q29" s="708"/>
      <c r="R29" s="708"/>
      <c r="S29" s="708"/>
      <c r="T29" s="708"/>
      <c r="U29" s="708"/>
      <c r="V29" s="708"/>
      <c r="W29" s="708"/>
      <c r="X29" s="708"/>
      <c r="Y29" s="708"/>
      <c r="Z29" s="708"/>
      <c r="AA29" s="708"/>
      <c r="AB29" s="790"/>
      <c r="AC29" s="1266"/>
      <c r="AD29" s="1266"/>
      <c r="AE29" s="1266"/>
      <c r="AF29" s="1266"/>
    </row>
    <row r="30" spans="1:135" s="92" customFormat="1">
      <c r="A30" s="299"/>
      <c r="B30" s="4832"/>
      <c r="C30" s="293" t="s">
        <v>70</v>
      </c>
      <c r="D30" s="489">
        <f t="shared" ref="D30:AB30" si="24">IF(ISERROR(AVERAGE(D28:D29)),0,AVERAGE(D28:D29))</f>
        <v>0</v>
      </c>
      <c r="E30" s="490">
        <f t="shared" si="24"/>
        <v>0</v>
      </c>
      <c r="F30" s="490">
        <f t="shared" si="24"/>
        <v>0</v>
      </c>
      <c r="G30" s="490">
        <f t="shared" si="24"/>
        <v>0</v>
      </c>
      <c r="H30" s="1292">
        <f t="shared" si="24"/>
        <v>0</v>
      </c>
      <c r="I30" s="489">
        <f t="shared" si="24"/>
        <v>0</v>
      </c>
      <c r="J30" s="490">
        <f t="shared" si="24"/>
        <v>0</v>
      </c>
      <c r="K30" s="490">
        <f t="shared" si="24"/>
        <v>0</v>
      </c>
      <c r="L30" s="490">
        <f t="shared" si="24"/>
        <v>0</v>
      </c>
      <c r="M30" s="491">
        <f t="shared" si="24"/>
        <v>0</v>
      </c>
      <c r="N30" s="538">
        <f t="shared" si="24"/>
        <v>0</v>
      </c>
      <c r="O30" s="490">
        <f t="shared" si="24"/>
        <v>0</v>
      </c>
      <c r="P30" s="490">
        <f t="shared" si="24"/>
        <v>0</v>
      </c>
      <c r="Q30" s="490">
        <f t="shared" si="24"/>
        <v>0</v>
      </c>
      <c r="R30" s="490">
        <f t="shared" si="24"/>
        <v>0</v>
      </c>
      <c r="S30" s="490">
        <f t="shared" si="24"/>
        <v>0</v>
      </c>
      <c r="T30" s="490">
        <f t="shared" si="24"/>
        <v>0</v>
      </c>
      <c r="U30" s="490">
        <f t="shared" si="24"/>
        <v>0</v>
      </c>
      <c r="V30" s="490">
        <f t="shared" si="24"/>
        <v>0</v>
      </c>
      <c r="W30" s="490">
        <f t="shared" si="24"/>
        <v>0</v>
      </c>
      <c r="X30" s="490">
        <f t="shared" si="24"/>
        <v>0</v>
      </c>
      <c r="Y30" s="490">
        <f t="shared" si="24"/>
        <v>0</v>
      </c>
      <c r="Z30" s="490">
        <f t="shared" si="24"/>
        <v>0</v>
      </c>
      <c r="AA30" s="490">
        <f t="shared" si="24"/>
        <v>0</v>
      </c>
      <c r="AB30" s="491">
        <f t="shared" si="24"/>
        <v>0</v>
      </c>
      <c r="AC30" s="1266"/>
      <c r="AD30" s="1266"/>
      <c r="AE30" s="1266"/>
      <c r="AF30" s="1266"/>
    </row>
    <row r="31" spans="1:135" s="92" customFormat="1">
      <c r="A31" s="299"/>
      <c r="B31" s="4832"/>
      <c r="C31" s="293" t="s">
        <v>71</v>
      </c>
      <c r="D31" s="738"/>
      <c r="E31" s="708"/>
      <c r="F31" s="708"/>
      <c r="G31" s="708"/>
      <c r="H31" s="851"/>
      <c r="I31" s="738"/>
      <c r="J31" s="708"/>
      <c r="K31" s="708"/>
      <c r="L31" s="708"/>
      <c r="M31" s="790"/>
      <c r="N31" s="786"/>
      <c r="O31" s="708"/>
      <c r="P31" s="708"/>
      <c r="Q31" s="708"/>
      <c r="R31" s="708"/>
      <c r="S31" s="708"/>
      <c r="T31" s="708"/>
      <c r="U31" s="708"/>
      <c r="V31" s="708"/>
      <c r="W31" s="708"/>
      <c r="X31" s="708"/>
      <c r="Y31" s="708"/>
      <c r="Z31" s="708"/>
      <c r="AA31" s="708"/>
      <c r="AB31" s="790"/>
      <c r="AC31" s="1266"/>
      <c r="AD31" s="1266"/>
      <c r="AE31" s="1266"/>
      <c r="AF31" s="1266"/>
    </row>
    <row r="32" spans="1:135" s="92" customFormat="1" ht="13.5" thickBot="1">
      <c r="A32" s="299"/>
      <c r="B32" s="4833"/>
      <c r="C32" s="1644" t="s">
        <v>60</v>
      </c>
      <c r="D32" s="791"/>
      <c r="E32" s="792"/>
      <c r="F32" s="792"/>
      <c r="G32" s="792"/>
      <c r="H32" s="897"/>
      <c r="I32" s="791"/>
      <c r="J32" s="792"/>
      <c r="K32" s="792"/>
      <c r="L32" s="792"/>
      <c r="M32" s="793"/>
      <c r="N32" s="795"/>
      <c r="O32" s="792"/>
      <c r="P32" s="792"/>
      <c r="Q32" s="792"/>
      <c r="R32" s="792"/>
      <c r="S32" s="792"/>
      <c r="T32" s="792"/>
      <c r="U32" s="792"/>
      <c r="V32" s="792"/>
      <c r="W32" s="792"/>
      <c r="X32" s="792"/>
      <c r="Y32" s="792"/>
      <c r="Z32" s="792"/>
      <c r="AA32" s="792"/>
      <c r="AB32" s="793"/>
      <c r="AC32" s="1266"/>
      <c r="AD32" s="1266"/>
      <c r="AE32" s="1266"/>
      <c r="AF32" s="1266"/>
    </row>
    <row r="33" spans="1:135" s="92" customFormat="1">
      <c r="A33" s="299"/>
      <c r="B33" s="4831" t="s">
        <v>1469</v>
      </c>
      <c r="C33" s="293" t="s">
        <v>194</v>
      </c>
      <c r="D33" s="738"/>
      <c r="E33" s="490">
        <f>D34</f>
        <v>0</v>
      </c>
      <c r="F33" s="490">
        <f t="shared" ref="F33" si="25">E34</f>
        <v>0</v>
      </c>
      <c r="G33" s="490">
        <f>E34</f>
        <v>0</v>
      </c>
      <c r="H33" s="1292">
        <f>F34</f>
        <v>0</v>
      </c>
      <c r="I33" s="489">
        <f t="shared" ref="I33" si="26">H34</f>
        <v>0</v>
      </c>
      <c r="J33" s="490">
        <f t="shared" ref="J33" si="27">I34</f>
        <v>0</v>
      </c>
      <c r="K33" s="490">
        <f t="shared" ref="K33" si="28">J34</f>
        <v>0</v>
      </c>
      <c r="L33" s="490">
        <f t="shared" ref="L33" si="29">K34</f>
        <v>0</v>
      </c>
      <c r="M33" s="491">
        <f t="shared" ref="M33" si="30">L34</f>
        <v>0</v>
      </c>
      <c r="N33" s="538">
        <f t="shared" ref="N33" si="31">M34</f>
        <v>0</v>
      </c>
      <c r="O33" s="490">
        <f t="shared" ref="O33" si="32">N34</f>
        <v>0</v>
      </c>
      <c r="P33" s="490">
        <f t="shared" ref="P33" si="33">O34</f>
        <v>0</v>
      </c>
      <c r="Q33" s="490">
        <f t="shared" ref="Q33" si="34">P34</f>
        <v>0</v>
      </c>
      <c r="R33" s="490">
        <f t="shared" ref="R33" si="35">Q34</f>
        <v>0</v>
      </c>
      <c r="S33" s="490">
        <f t="shared" ref="S33" si="36">R34</f>
        <v>0</v>
      </c>
      <c r="T33" s="490">
        <f t="shared" ref="T33" si="37">S34</f>
        <v>0</v>
      </c>
      <c r="U33" s="490">
        <f t="shared" ref="U33" si="38">T34</f>
        <v>0</v>
      </c>
      <c r="V33" s="490">
        <f t="shared" ref="V33" si="39">U34</f>
        <v>0</v>
      </c>
      <c r="W33" s="490">
        <f t="shared" ref="W33" si="40">V34</f>
        <v>0</v>
      </c>
      <c r="X33" s="490">
        <f t="shared" ref="X33" si="41">W34</f>
        <v>0</v>
      </c>
      <c r="Y33" s="490">
        <f t="shared" ref="Y33" si="42">X34</f>
        <v>0</v>
      </c>
      <c r="Z33" s="490">
        <f t="shared" ref="Z33" si="43">Y34</f>
        <v>0</v>
      </c>
      <c r="AA33" s="490">
        <f t="shared" ref="AA33" si="44">Z34</f>
        <v>0</v>
      </c>
      <c r="AB33" s="491">
        <f t="shared" ref="AB33" si="45">AA34</f>
        <v>0</v>
      </c>
      <c r="AC33" s="1266"/>
      <c r="AD33" s="1266"/>
      <c r="AE33" s="1266"/>
      <c r="AF33" s="1266"/>
    </row>
    <row r="34" spans="1:135" s="92" customFormat="1">
      <c r="A34" s="299"/>
      <c r="B34" s="4832"/>
      <c r="C34" s="293" t="s">
        <v>193</v>
      </c>
      <c r="D34" s="738"/>
      <c r="E34" s="708"/>
      <c r="F34" s="708"/>
      <c r="G34" s="708"/>
      <c r="H34" s="851"/>
      <c r="I34" s="738"/>
      <c r="J34" s="708"/>
      <c r="K34" s="708"/>
      <c r="L34" s="708"/>
      <c r="M34" s="790"/>
      <c r="N34" s="786"/>
      <c r="O34" s="708"/>
      <c r="P34" s="708"/>
      <c r="Q34" s="708"/>
      <c r="R34" s="708"/>
      <c r="S34" s="708"/>
      <c r="T34" s="708"/>
      <c r="U34" s="708"/>
      <c r="V34" s="708"/>
      <c r="W34" s="708"/>
      <c r="X34" s="708"/>
      <c r="Y34" s="708"/>
      <c r="Z34" s="708"/>
      <c r="AA34" s="708"/>
      <c r="AB34" s="790"/>
      <c r="AC34" s="1266"/>
      <c r="AD34" s="1266"/>
      <c r="AE34" s="1266"/>
      <c r="AF34" s="1266"/>
    </row>
    <row r="35" spans="1:135" s="92" customFormat="1">
      <c r="A35" s="299"/>
      <c r="B35" s="4832"/>
      <c r="C35" s="293" t="s">
        <v>70</v>
      </c>
      <c r="D35" s="489">
        <f t="shared" ref="D35:AB35" si="46">IF(ISERROR(AVERAGE(D33:D34)),0,AVERAGE(D33:D34))</f>
        <v>0</v>
      </c>
      <c r="E35" s="490">
        <f t="shared" si="46"/>
        <v>0</v>
      </c>
      <c r="F35" s="490">
        <f t="shared" si="46"/>
        <v>0</v>
      </c>
      <c r="G35" s="490">
        <f t="shared" si="46"/>
        <v>0</v>
      </c>
      <c r="H35" s="1292">
        <f t="shared" si="46"/>
        <v>0</v>
      </c>
      <c r="I35" s="489">
        <f t="shared" si="46"/>
        <v>0</v>
      </c>
      <c r="J35" s="490">
        <f t="shared" si="46"/>
        <v>0</v>
      </c>
      <c r="K35" s="490">
        <f t="shared" si="46"/>
        <v>0</v>
      </c>
      <c r="L35" s="490">
        <f t="shared" si="46"/>
        <v>0</v>
      </c>
      <c r="M35" s="491">
        <f t="shared" si="46"/>
        <v>0</v>
      </c>
      <c r="N35" s="538">
        <f t="shared" si="46"/>
        <v>0</v>
      </c>
      <c r="O35" s="490">
        <f t="shared" si="46"/>
        <v>0</v>
      </c>
      <c r="P35" s="490">
        <f t="shared" si="46"/>
        <v>0</v>
      </c>
      <c r="Q35" s="490">
        <f t="shared" si="46"/>
        <v>0</v>
      </c>
      <c r="R35" s="490">
        <f t="shared" si="46"/>
        <v>0</v>
      </c>
      <c r="S35" s="490">
        <f t="shared" si="46"/>
        <v>0</v>
      </c>
      <c r="T35" s="490">
        <f t="shared" si="46"/>
        <v>0</v>
      </c>
      <c r="U35" s="490">
        <f t="shared" si="46"/>
        <v>0</v>
      </c>
      <c r="V35" s="490">
        <f t="shared" si="46"/>
        <v>0</v>
      </c>
      <c r="W35" s="490">
        <f t="shared" si="46"/>
        <v>0</v>
      </c>
      <c r="X35" s="490">
        <f t="shared" si="46"/>
        <v>0</v>
      </c>
      <c r="Y35" s="490">
        <f t="shared" si="46"/>
        <v>0</v>
      </c>
      <c r="Z35" s="490">
        <f t="shared" si="46"/>
        <v>0</v>
      </c>
      <c r="AA35" s="490">
        <f t="shared" si="46"/>
        <v>0</v>
      </c>
      <c r="AB35" s="491">
        <f t="shared" si="46"/>
        <v>0</v>
      </c>
      <c r="AC35" s="1266"/>
      <c r="AD35" s="1266"/>
      <c r="AE35" s="1266"/>
      <c r="AF35" s="1266"/>
    </row>
    <row r="36" spans="1:135" s="92" customFormat="1">
      <c r="A36" s="299"/>
      <c r="B36" s="4832"/>
      <c r="C36" s="293" t="s">
        <v>71</v>
      </c>
      <c r="D36" s="738"/>
      <c r="E36" s="708"/>
      <c r="F36" s="708"/>
      <c r="G36" s="708"/>
      <c r="H36" s="851"/>
      <c r="I36" s="738"/>
      <c r="J36" s="708"/>
      <c r="K36" s="708"/>
      <c r="L36" s="708"/>
      <c r="M36" s="790"/>
      <c r="N36" s="786"/>
      <c r="O36" s="708"/>
      <c r="P36" s="708"/>
      <c r="Q36" s="708"/>
      <c r="R36" s="708"/>
      <c r="S36" s="708"/>
      <c r="T36" s="708"/>
      <c r="U36" s="708"/>
      <c r="V36" s="708"/>
      <c r="W36" s="708"/>
      <c r="X36" s="708"/>
      <c r="Y36" s="708"/>
      <c r="Z36" s="708"/>
      <c r="AA36" s="708"/>
      <c r="AB36" s="790"/>
      <c r="AC36" s="1266"/>
      <c r="AD36" s="1266"/>
      <c r="AE36" s="1266"/>
      <c r="AF36" s="1266"/>
    </row>
    <row r="37" spans="1:135" s="92" customFormat="1" ht="13.5" thickBot="1">
      <c r="A37" s="299"/>
      <c r="B37" s="4833"/>
      <c r="C37" s="1644" t="s">
        <v>60</v>
      </c>
      <c r="D37" s="791"/>
      <c r="E37" s="792"/>
      <c r="F37" s="792"/>
      <c r="G37" s="792"/>
      <c r="H37" s="897"/>
      <c r="I37" s="791"/>
      <c r="J37" s="792"/>
      <c r="K37" s="792"/>
      <c r="L37" s="792"/>
      <c r="M37" s="793"/>
      <c r="N37" s="795"/>
      <c r="O37" s="792"/>
      <c r="P37" s="792"/>
      <c r="Q37" s="792"/>
      <c r="R37" s="792"/>
      <c r="S37" s="792"/>
      <c r="T37" s="792"/>
      <c r="U37" s="792"/>
      <c r="V37" s="792"/>
      <c r="W37" s="792"/>
      <c r="X37" s="792"/>
      <c r="Y37" s="792"/>
      <c r="Z37" s="792"/>
      <c r="AA37" s="792"/>
      <c r="AB37" s="793"/>
      <c r="AC37" s="1266"/>
      <c r="AD37" s="1266"/>
      <c r="AE37" s="1266"/>
      <c r="AF37" s="1266"/>
    </row>
    <row r="38" spans="1:135" s="92" customFormat="1">
      <c r="A38" s="299"/>
      <c r="B38" s="4831" t="s">
        <v>1469</v>
      </c>
      <c r="C38" s="293" t="s">
        <v>194</v>
      </c>
      <c r="D38" s="738"/>
      <c r="E38" s="490">
        <f>D39</f>
        <v>0</v>
      </c>
      <c r="F38" s="490">
        <f t="shared" ref="F38" si="47">E39</f>
        <v>0</v>
      </c>
      <c r="G38" s="490">
        <f>E39</f>
        <v>0</v>
      </c>
      <c r="H38" s="1292">
        <f>F39</f>
        <v>0</v>
      </c>
      <c r="I38" s="489">
        <f t="shared" ref="I38" si="48">H39</f>
        <v>0</v>
      </c>
      <c r="J38" s="490">
        <f t="shared" ref="J38" si="49">I39</f>
        <v>0</v>
      </c>
      <c r="K38" s="490">
        <f t="shared" ref="K38" si="50">J39</f>
        <v>0</v>
      </c>
      <c r="L38" s="490">
        <f t="shared" ref="L38" si="51">K39</f>
        <v>0</v>
      </c>
      <c r="M38" s="491">
        <f t="shared" ref="M38" si="52">L39</f>
        <v>0</v>
      </c>
      <c r="N38" s="538">
        <f t="shared" ref="N38" si="53">M39</f>
        <v>0</v>
      </c>
      <c r="O38" s="490">
        <f t="shared" ref="O38" si="54">N39</f>
        <v>0</v>
      </c>
      <c r="P38" s="490">
        <f t="shared" ref="P38" si="55">O39</f>
        <v>0</v>
      </c>
      <c r="Q38" s="490">
        <f t="shared" ref="Q38" si="56">P39</f>
        <v>0</v>
      </c>
      <c r="R38" s="490">
        <f t="shared" ref="R38" si="57">Q39</f>
        <v>0</v>
      </c>
      <c r="S38" s="490">
        <f t="shared" ref="S38" si="58">R39</f>
        <v>0</v>
      </c>
      <c r="T38" s="490">
        <f t="shared" ref="T38" si="59">S39</f>
        <v>0</v>
      </c>
      <c r="U38" s="490">
        <f t="shared" ref="U38" si="60">T39</f>
        <v>0</v>
      </c>
      <c r="V38" s="490">
        <f t="shared" ref="V38" si="61">U39</f>
        <v>0</v>
      </c>
      <c r="W38" s="490">
        <f t="shared" ref="W38" si="62">V39</f>
        <v>0</v>
      </c>
      <c r="X38" s="490">
        <f t="shared" ref="X38" si="63">W39</f>
        <v>0</v>
      </c>
      <c r="Y38" s="490">
        <f t="shared" ref="Y38" si="64">X39</f>
        <v>0</v>
      </c>
      <c r="Z38" s="490">
        <f t="shared" ref="Z38" si="65">Y39</f>
        <v>0</v>
      </c>
      <c r="AA38" s="490">
        <f t="shared" ref="AA38" si="66">Z39</f>
        <v>0</v>
      </c>
      <c r="AB38" s="491">
        <f t="shared" ref="AB38" si="67">AA39</f>
        <v>0</v>
      </c>
      <c r="AC38" s="1266"/>
      <c r="AD38" s="1266"/>
      <c r="AE38" s="1266"/>
      <c r="AF38" s="1266"/>
    </row>
    <row r="39" spans="1:135" s="92" customFormat="1">
      <c r="A39" s="299"/>
      <c r="B39" s="4832"/>
      <c r="C39" s="293" t="s">
        <v>193</v>
      </c>
      <c r="D39" s="738"/>
      <c r="E39" s="708"/>
      <c r="F39" s="708"/>
      <c r="G39" s="708"/>
      <c r="H39" s="851"/>
      <c r="I39" s="738"/>
      <c r="J39" s="708"/>
      <c r="K39" s="708"/>
      <c r="L39" s="708"/>
      <c r="M39" s="790"/>
      <c r="N39" s="786"/>
      <c r="O39" s="708"/>
      <c r="P39" s="708"/>
      <c r="Q39" s="708"/>
      <c r="R39" s="708"/>
      <c r="S39" s="708"/>
      <c r="T39" s="708"/>
      <c r="U39" s="708"/>
      <c r="V39" s="708"/>
      <c r="W39" s="708"/>
      <c r="X39" s="708"/>
      <c r="Y39" s="708"/>
      <c r="Z39" s="708"/>
      <c r="AA39" s="708"/>
      <c r="AB39" s="790"/>
      <c r="AC39" s="1266"/>
      <c r="AD39" s="1266"/>
      <c r="AE39" s="1266"/>
      <c r="AF39" s="1266"/>
    </row>
    <row r="40" spans="1:135" s="92" customFormat="1">
      <c r="A40" s="299"/>
      <c r="B40" s="4832"/>
      <c r="C40" s="293" t="s">
        <v>70</v>
      </c>
      <c r="D40" s="489">
        <f t="shared" ref="D40:AB40" si="68">IF(ISERROR(AVERAGE(D38:D39)),0,AVERAGE(D38:D39))</f>
        <v>0</v>
      </c>
      <c r="E40" s="490">
        <f t="shared" si="68"/>
        <v>0</v>
      </c>
      <c r="F40" s="490">
        <f t="shared" si="68"/>
        <v>0</v>
      </c>
      <c r="G40" s="490">
        <f t="shared" si="68"/>
        <v>0</v>
      </c>
      <c r="H40" s="1292">
        <f t="shared" si="68"/>
        <v>0</v>
      </c>
      <c r="I40" s="489">
        <f t="shared" si="68"/>
        <v>0</v>
      </c>
      <c r="J40" s="490">
        <f t="shared" si="68"/>
        <v>0</v>
      </c>
      <c r="K40" s="490">
        <f t="shared" si="68"/>
        <v>0</v>
      </c>
      <c r="L40" s="490">
        <f t="shared" si="68"/>
        <v>0</v>
      </c>
      <c r="M40" s="491">
        <f t="shared" si="68"/>
        <v>0</v>
      </c>
      <c r="N40" s="538">
        <f t="shared" si="68"/>
        <v>0</v>
      </c>
      <c r="O40" s="490">
        <f t="shared" si="68"/>
        <v>0</v>
      </c>
      <c r="P40" s="490">
        <f t="shared" si="68"/>
        <v>0</v>
      </c>
      <c r="Q40" s="490">
        <f t="shared" si="68"/>
        <v>0</v>
      </c>
      <c r="R40" s="490">
        <f t="shared" si="68"/>
        <v>0</v>
      </c>
      <c r="S40" s="490">
        <f t="shared" si="68"/>
        <v>0</v>
      </c>
      <c r="T40" s="490">
        <f t="shared" si="68"/>
        <v>0</v>
      </c>
      <c r="U40" s="490">
        <f t="shared" si="68"/>
        <v>0</v>
      </c>
      <c r="V40" s="490">
        <f t="shared" si="68"/>
        <v>0</v>
      </c>
      <c r="W40" s="490">
        <f t="shared" si="68"/>
        <v>0</v>
      </c>
      <c r="X40" s="490">
        <f t="shared" si="68"/>
        <v>0</v>
      </c>
      <c r="Y40" s="490">
        <f t="shared" si="68"/>
        <v>0</v>
      </c>
      <c r="Z40" s="490">
        <f t="shared" si="68"/>
        <v>0</v>
      </c>
      <c r="AA40" s="490">
        <f t="shared" si="68"/>
        <v>0</v>
      </c>
      <c r="AB40" s="491">
        <f t="shared" si="68"/>
        <v>0</v>
      </c>
      <c r="AC40" s="1266"/>
      <c r="AD40" s="1266"/>
      <c r="AE40" s="1266"/>
      <c r="AF40" s="1266"/>
    </row>
    <row r="41" spans="1:135" s="92" customFormat="1">
      <c r="A41" s="299"/>
      <c r="B41" s="4832"/>
      <c r="C41" s="293" t="s">
        <v>71</v>
      </c>
      <c r="D41" s="738"/>
      <c r="E41" s="708"/>
      <c r="F41" s="708"/>
      <c r="G41" s="708"/>
      <c r="H41" s="851"/>
      <c r="I41" s="738"/>
      <c r="J41" s="708"/>
      <c r="K41" s="708"/>
      <c r="L41" s="708"/>
      <c r="M41" s="790"/>
      <c r="N41" s="786"/>
      <c r="O41" s="708"/>
      <c r="P41" s="708"/>
      <c r="Q41" s="708"/>
      <c r="R41" s="708"/>
      <c r="S41" s="708"/>
      <c r="T41" s="708"/>
      <c r="U41" s="708"/>
      <c r="V41" s="708"/>
      <c r="W41" s="708"/>
      <c r="X41" s="708"/>
      <c r="Y41" s="708"/>
      <c r="Z41" s="708"/>
      <c r="AA41" s="708"/>
      <c r="AB41" s="790"/>
      <c r="AC41" s="1266"/>
      <c r="AD41" s="1266"/>
      <c r="AE41" s="1266"/>
      <c r="AF41" s="1266"/>
    </row>
    <row r="42" spans="1:135" s="92" customFormat="1" ht="13.5" thickBot="1">
      <c r="A42" s="299"/>
      <c r="B42" s="4833"/>
      <c r="C42" s="1644" t="s">
        <v>60</v>
      </c>
      <c r="D42" s="791"/>
      <c r="E42" s="792"/>
      <c r="F42" s="792"/>
      <c r="G42" s="792"/>
      <c r="H42" s="897"/>
      <c r="I42" s="791"/>
      <c r="J42" s="792"/>
      <c r="K42" s="792"/>
      <c r="L42" s="792"/>
      <c r="M42" s="793"/>
      <c r="N42" s="795"/>
      <c r="O42" s="792"/>
      <c r="P42" s="792"/>
      <c r="Q42" s="792"/>
      <c r="R42" s="792"/>
      <c r="S42" s="792"/>
      <c r="T42" s="792"/>
      <c r="U42" s="792"/>
      <c r="V42" s="792"/>
      <c r="W42" s="792"/>
      <c r="X42" s="792"/>
      <c r="Y42" s="792"/>
      <c r="Z42" s="792"/>
      <c r="AA42" s="792"/>
      <c r="AB42" s="793"/>
      <c r="AC42" s="1266"/>
      <c r="AD42" s="1266"/>
      <c r="AE42" s="1266"/>
      <c r="AF42" s="1266"/>
    </row>
    <row r="43" spans="1:135" s="92" customFormat="1">
      <c r="A43" s="299"/>
      <c r="B43" s="4834" t="s">
        <v>65</v>
      </c>
      <c r="C43" s="1628" t="s">
        <v>194</v>
      </c>
      <c r="D43" s="1629">
        <f>SUMIF($C$23:$C$42,"Customer numbers as at 1 July",D23:D42)</f>
        <v>0</v>
      </c>
      <c r="E43" s="1630">
        <f t="shared" ref="E43:AB43" si="69">SUMIF($C$23:$C$42,"Customer numbers as at 1 July",E23:E42)</f>
        <v>0</v>
      </c>
      <c r="F43" s="1630">
        <f t="shared" si="69"/>
        <v>0</v>
      </c>
      <c r="G43" s="1630">
        <f t="shared" si="69"/>
        <v>0</v>
      </c>
      <c r="H43" s="1631">
        <f t="shared" si="69"/>
        <v>0</v>
      </c>
      <c r="I43" s="1629">
        <f t="shared" si="69"/>
        <v>0</v>
      </c>
      <c r="J43" s="1630">
        <f t="shared" si="69"/>
        <v>0</v>
      </c>
      <c r="K43" s="1630">
        <f t="shared" si="69"/>
        <v>0</v>
      </c>
      <c r="L43" s="1630">
        <f t="shared" si="69"/>
        <v>0</v>
      </c>
      <c r="M43" s="1632">
        <f t="shared" si="69"/>
        <v>0</v>
      </c>
      <c r="N43" s="1633">
        <f t="shared" si="69"/>
        <v>0</v>
      </c>
      <c r="O43" s="1630">
        <f t="shared" si="69"/>
        <v>0</v>
      </c>
      <c r="P43" s="1630">
        <f t="shared" si="69"/>
        <v>0</v>
      </c>
      <c r="Q43" s="1630">
        <f t="shared" si="69"/>
        <v>0</v>
      </c>
      <c r="R43" s="1630">
        <f t="shared" si="69"/>
        <v>0</v>
      </c>
      <c r="S43" s="1630">
        <f t="shared" si="69"/>
        <v>0</v>
      </c>
      <c r="T43" s="1630">
        <f t="shared" si="69"/>
        <v>0</v>
      </c>
      <c r="U43" s="1630">
        <f t="shared" si="69"/>
        <v>0</v>
      </c>
      <c r="V43" s="1630">
        <f t="shared" si="69"/>
        <v>0</v>
      </c>
      <c r="W43" s="1630">
        <f t="shared" si="69"/>
        <v>0</v>
      </c>
      <c r="X43" s="1630">
        <f t="shared" si="69"/>
        <v>0</v>
      </c>
      <c r="Y43" s="1630">
        <f t="shared" si="69"/>
        <v>0</v>
      </c>
      <c r="Z43" s="1630">
        <f t="shared" si="69"/>
        <v>0</v>
      </c>
      <c r="AA43" s="1630">
        <f t="shared" si="69"/>
        <v>0</v>
      </c>
      <c r="AB43" s="1634">
        <f t="shared" si="69"/>
        <v>0</v>
      </c>
      <c r="AC43"/>
      <c r="AD43"/>
      <c r="AE43"/>
      <c r="AF43"/>
    </row>
    <row r="44" spans="1:135" s="92" customFormat="1">
      <c r="A44" s="299"/>
      <c r="B44" s="4835"/>
      <c r="C44" s="1628" t="s">
        <v>193</v>
      </c>
      <c r="D44" s="1629">
        <f>SUMIF($C$23:$C$42,"Customer numbers as at 30 June",D23:D43)</f>
        <v>0</v>
      </c>
      <c r="E44" s="1630">
        <f t="shared" ref="E44:AB44" si="70">SUMIF($C$23:$C$42,"Customer numbers as at 30 June",E23:E43)</f>
        <v>0</v>
      </c>
      <c r="F44" s="1630">
        <f t="shared" si="70"/>
        <v>0</v>
      </c>
      <c r="G44" s="1630">
        <f t="shared" si="70"/>
        <v>0</v>
      </c>
      <c r="H44" s="1631">
        <f t="shared" si="70"/>
        <v>0</v>
      </c>
      <c r="I44" s="1629">
        <f t="shared" si="70"/>
        <v>0</v>
      </c>
      <c r="J44" s="1630">
        <f t="shared" si="70"/>
        <v>0</v>
      </c>
      <c r="K44" s="1630">
        <f t="shared" si="70"/>
        <v>0</v>
      </c>
      <c r="L44" s="1630">
        <f t="shared" si="70"/>
        <v>0</v>
      </c>
      <c r="M44" s="1632">
        <f t="shared" si="70"/>
        <v>0</v>
      </c>
      <c r="N44" s="1633">
        <f t="shared" si="70"/>
        <v>0</v>
      </c>
      <c r="O44" s="1630">
        <f t="shared" si="70"/>
        <v>0</v>
      </c>
      <c r="P44" s="1630">
        <f t="shared" si="70"/>
        <v>0</v>
      </c>
      <c r="Q44" s="1630">
        <f t="shared" si="70"/>
        <v>0</v>
      </c>
      <c r="R44" s="1630">
        <f t="shared" si="70"/>
        <v>0</v>
      </c>
      <c r="S44" s="1630">
        <f t="shared" si="70"/>
        <v>0</v>
      </c>
      <c r="T44" s="1630">
        <f t="shared" si="70"/>
        <v>0</v>
      </c>
      <c r="U44" s="1630">
        <f t="shared" si="70"/>
        <v>0</v>
      </c>
      <c r="V44" s="1630">
        <f t="shared" si="70"/>
        <v>0</v>
      </c>
      <c r="W44" s="1630">
        <f t="shared" si="70"/>
        <v>0</v>
      </c>
      <c r="X44" s="1630">
        <f t="shared" si="70"/>
        <v>0</v>
      </c>
      <c r="Y44" s="1630">
        <f t="shared" si="70"/>
        <v>0</v>
      </c>
      <c r="Z44" s="1630">
        <f t="shared" si="70"/>
        <v>0</v>
      </c>
      <c r="AA44" s="1630">
        <f t="shared" si="70"/>
        <v>0</v>
      </c>
      <c r="AB44" s="1634">
        <f t="shared" si="70"/>
        <v>0</v>
      </c>
      <c r="AC44"/>
      <c r="AD44"/>
      <c r="AE44"/>
      <c r="AF44"/>
    </row>
    <row r="45" spans="1:135" s="92" customFormat="1">
      <c r="A45" s="299"/>
      <c r="B45" s="4835"/>
      <c r="C45" s="1635" t="s">
        <v>70</v>
      </c>
      <c r="D45" s="505">
        <f t="shared" ref="D45" si="71">IF(ISERROR(AVERAGE(D43:D44)),0,AVERAGE(D43:D44))</f>
        <v>0</v>
      </c>
      <c r="E45" s="506">
        <f t="shared" ref="E45:AB45" si="72">IF(ISERROR(AVERAGE(E43:E44)),0,AVERAGE(E43:E44))</f>
        <v>0</v>
      </c>
      <c r="F45" s="506">
        <f t="shared" si="72"/>
        <v>0</v>
      </c>
      <c r="G45" s="506">
        <f t="shared" si="72"/>
        <v>0</v>
      </c>
      <c r="H45" s="1302">
        <f t="shared" si="72"/>
        <v>0</v>
      </c>
      <c r="I45" s="505">
        <f t="shared" si="72"/>
        <v>0</v>
      </c>
      <c r="J45" s="506">
        <f t="shared" si="72"/>
        <v>0</v>
      </c>
      <c r="K45" s="506">
        <f t="shared" si="72"/>
        <v>0</v>
      </c>
      <c r="L45" s="506">
        <f t="shared" si="72"/>
        <v>0</v>
      </c>
      <c r="M45" s="454">
        <f t="shared" si="72"/>
        <v>0</v>
      </c>
      <c r="N45" s="1136">
        <f t="shared" si="72"/>
        <v>0</v>
      </c>
      <c r="O45" s="506">
        <f t="shared" si="72"/>
        <v>0</v>
      </c>
      <c r="P45" s="506">
        <f t="shared" si="72"/>
        <v>0</v>
      </c>
      <c r="Q45" s="506">
        <f t="shared" si="72"/>
        <v>0</v>
      </c>
      <c r="R45" s="506">
        <f t="shared" si="72"/>
        <v>0</v>
      </c>
      <c r="S45" s="506">
        <f t="shared" si="72"/>
        <v>0</v>
      </c>
      <c r="T45" s="506">
        <f t="shared" si="72"/>
        <v>0</v>
      </c>
      <c r="U45" s="506">
        <f t="shared" si="72"/>
        <v>0</v>
      </c>
      <c r="V45" s="506">
        <f t="shared" si="72"/>
        <v>0</v>
      </c>
      <c r="W45" s="506">
        <f t="shared" si="72"/>
        <v>0</v>
      </c>
      <c r="X45" s="506">
        <f t="shared" si="72"/>
        <v>0</v>
      </c>
      <c r="Y45" s="506">
        <f t="shared" si="72"/>
        <v>0</v>
      </c>
      <c r="Z45" s="506">
        <f t="shared" si="72"/>
        <v>0</v>
      </c>
      <c r="AA45" s="506">
        <f t="shared" si="72"/>
        <v>0</v>
      </c>
      <c r="AB45" s="1636">
        <f t="shared" si="72"/>
        <v>0</v>
      </c>
      <c r="AC45"/>
      <c r="AD45"/>
      <c r="AE45"/>
      <c r="AF45"/>
    </row>
    <row r="46" spans="1:135" s="92" customFormat="1">
      <c r="A46" s="299"/>
      <c r="B46" s="4835"/>
      <c r="C46" s="1635" t="s">
        <v>71</v>
      </c>
      <c r="D46" s="1629">
        <f>SUMIF($C$23:$C$42,"Gross customer connections",D23:D45)</f>
        <v>0</v>
      </c>
      <c r="E46" s="506">
        <f t="shared" ref="E46:AB46" si="73">SUMIF($C$23:$C$42,"Gross customer connections",E23:E45)</f>
        <v>0</v>
      </c>
      <c r="F46" s="506">
        <f t="shared" si="73"/>
        <v>0</v>
      </c>
      <c r="G46" s="506">
        <f t="shared" si="73"/>
        <v>0</v>
      </c>
      <c r="H46" s="1302">
        <f t="shared" si="73"/>
        <v>0</v>
      </c>
      <c r="I46" s="505">
        <f t="shared" si="73"/>
        <v>0</v>
      </c>
      <c r="J46" s="506">
        <f t="shared" si="73"/>
        <v>0</v>
      </c>
      <c r="K46" s="506">
        <f t="shared" si="73"/>
        <v>0</v>
      </c>
      <c r="L46" s="506">
        <f t="shared" si="73"/>
        <v>0</v>
      </c>
      <c r="M46" s="454">
        <f t="shared" si="73"/>
        <v>0</v>
      </c>
      <c r="N46" s="1136">
        <f t="shared" si="73"/>
        <v>0</v>
      </c>
      <c r="O46" s="506">
        <f t="shared" si="73"/>
        <v>0</v>
      </c>
      <c r="P46" s="506">
        <f t="shared" si="73"/>
        <v>0</v>
      </c>
      <c r="Q46" s="506">
        <f t="shared" si="73"/>
        <v>0</v>
      </c>
      <c r="R46" s="506">
        <f t="shared" si="73"/>
        <v>0</v>
      </c>
      <c r="S46" s="506">
        <f t="shared" si="73"/>
        <v>0</v>
      </c>
      <c r="T46" s="506">
        <f t="shared" si="73"/>
        <v>0</v>
      </c>
      <c r="U46" s="506">
        <f t="shared" si="73"/>
        <v>0</v>
      </c>
      <c r="V46" s="506">
        <f t="shared" si="73"/>
        <v>0</v>
      </c>
      <c r="W46" s="506">
        <f t="shared" si="73"/>
        <v>0</v>
      </c>
      <c r="X46" s="506">
        <f t="shared" si="73"/>
        <v>0</v>
      </c>
      <c r="Y46" s="506">
        <f t="shared" si="73"/>
        <v>0</v>
      </c>
      <c r="Z46" s="506">
        <f t="shared" si="73"/>
        <v>0</v>
      </c>
      <c r="AA46" s="506">
        <f t="shared" si="73"/>
        <v>0</v>
      </c>
      <c r="AB46" s="1636">
        <f t="shared" si="73"/>
        <v>0</v>
      </c>
      <c r="AC46"/>
      <c r="AD46"/>
      <c r="AE46"/>
      <c r="AF46"/>
    </row>
    <row r="47" spans="1:135" s="92" customFormat="1" ht="13.5" thickBot="1">
      <c r="A47" s="299"/>
      <c r="B47" s="4836"/>
      <c r="C47" s="1637" t="s">
        <v>60</v>
      </c>
      <c r="D47" s="1629">
        <f>SUMIF($C$23:$C$42,"Gross customer disconnections",D23:D46)</f>
        <v>0</v>
      </c>
      <c r="E47" s="1639">
        <f t="shared" ref="E47:AB47" si="74">SUMIF($C$23:$C$42,"Gross customer disconnections",E23:E46)</f>
        <v>0</v>
      </c>
      <c r="F47" s="1639">
        <f t="shared" si="74"/>
        <v>0</v>
      </c>
      <c r="G47" s="1639">
        <f t="shared" si="74"/>
        <v>0</v>
      </c>
      <c r="H47" s="1640">
        <f t="shared" si="74"/>
        <v>0</v>
      </c>
      <c r="I47" s="1638">
        <f t="shared" si="74"/>
        <v>0</v>
      </c>
      <c r="J47" s="1639">
        <f t="shared" si="74"/>
        <v>0</v>
      </c>
      <c r="K47" s="1639">
        <f t="shared" si="74"/>
        <v>0</v>
      </c>
      <c r="L47" s="1639">
        <f t="shared" si="74"/>
        <v>0</v>
      </c>
      <c r="M47" s="1641">
        <f t="shared" si="74"/>
        <v>0</v>
      </c>
      <c r="N47" s="1642">
        <f t="shared" si="74"/>
        <v>0</v>
      </c>
      <c r="O47" s="1639">
        <f t="shared" si="74"/>
        <v>0</v>
      </c>
      <c r="P47" s="1639">
        <f t="shared" si="74"/>
        <v>0</v>
      </c>
      <c r="Q47" s="1639">
        <f t="shared" si="74"/>
        <v>0</v>
      </c>
      <c r="R47" s="1639">
        <f t="shared" si="74"/>
        <v>0</v>
      </c>
      <c r="S47" s="1639">
        <f t="shared" si="74"/>
        <v>0</v>
      </c>
      <c r="T47" s="1639">
        <f t="shared" si="74"/>
        <v>0</v>
      </c>
      <c r="U47" s="1639">
        <f t="shared" si="74"/>
        <v>0</v>
      </c>
      <c r="V47" s="1639">
        <f t="shared" si="74"/>
        <v>0</v>
      </c>
      <c r="W47" s="1639">
        <f t="shared" si="74"/>
        <v>0</v>
      </c>
      <c r="X47" s="1639">
        <f t="shared" si="74"/>
        <v>0</v>
      </c>
      <c r="Y47" s="1639">
        <f t="shared" si="74"/>
        <v>0</v>
      </c>
      <c r="Z47" s="1639">
        <f t="shared" si="74"/>
        <v>0</v>
      </c>
      <c r="AA47" s="1639">
        <f t="shared" si="74"/>
        <v>0</v>
      </c>
      <c r="AB47" s="1643">
        <f t="shared" si="74"/>
        <v>0</v>
      </c>
      <c r="AC47"/>
      <c r="AD47"/>
      <c r="AE47"/>
      <c r="AF47"/>
    </row>
    <row r="48" spans="1:135" s="1624" customFormat="1" ht="25.5" customHeight="1">
      <c r="A48" s="1622"/>
      <c r="B48" s="1625" t="s">
        <v>669</v>
      </c>
      <c r="C48" s="1645"/>
      <c r="D48" s="1626"/>
      <c r="E48" s="1626"/>
      <c r="F48" s="1626"/>
      <c r="G48" s="1626"/>
      <c r="H48" s="1626"/>
      <c r="I48" s="1626"/>
      <c r="J48" s="1626"/>
      <c r="K48" s="1626"/>
      <c r="L48" s="1626"/>
      <c r="M48" s="1626"/>
      <c r="N48" s="1626"/>
      <c r="O48" s="1626"/>
      <c r="P48" s="1626"/>
      <c r="Q48" s="1626"/>
      <c r="R48" s="1626"/>
      <c r="S48" s="1626"/>
      <c r="T48" s="1626"/>
      <c r="U48" s="1626"/>
      <c r="V48" s="1626"/>
      <c r="W48" s="1626"/>
      <c r="X48" s="1626"/>
      <c r="Y48" s="1626"/>
      <c r="Z48" s="1626"/>
      <c r="AA48" s="1626"/>
      <c r="AB48" s="1627"/>
      <c r="AC48" s="1623"/>
      <c r="AD48" s="1623"/>
      <c r="AE48" s="1623"/>
      <c r="AF48" s="1623"/>
      <c r="DF48" s="1623"/>
      <c r="DG48" s="1623"/>
      <c r="DH48" s="1623"/>
      <c r="DI48" s="1623"/>
      <c r="DJ48" s="1623"/>
      <c r="DK48" s="1623"/>
      <c r="DL48" s="1623"/>
      <c r="DM48" s="1623"/>
      <c r="DN48" s="1623"/>
      <c r="DO48" s="1623"/>
      <c r="DP48" s="1623"/>
      <c r="DQ48" s="1623"/>
      <c r="DR48" s="1623"/>
      <c r="DS48" s="1623"/>
      <c r="DT48" s="1623"/>
      <c r="DU48" s="1623"/>
      <c r="DV48" s="1623"/>
      <c r="DW48" s="1623"/>
      <c r="DX48" s="1623"/>
      <c r="DY48" s="1623"/>
      <c r="DZ48" s="1623"/>
      <c r="EA48" s="1623"/>
      <c r="EB48" s="1623"/>
      <c r="EC48" s="1623"/>
      <c r="ED48" s="1623"/>
      <c r="EE48" s="1623"/>
    </row>
    <row r="49" spans="1:32" s="92" customFormat="1">
      <c r="A49" s="299"/>
      <c r="B49" s="4831" t="s">
        <v>1469</v>
      </c>
      <c r="C49" s="1617" t="s">
        <v>194</v>
      </c>
      <c r="D49" s="1615"/>
      <c r="E49" s="1618">
        <f>D50</f>
        <v>0</v>
      </c>
      <c r="F49" s="1618">
        <f t="shared" ref="F49" si="75">E50</f>
        <v>0</v>
      </c>
      <c r="G49" s="1618">
        <f>E50</f>
        <v>0</v>
      </c>
      <c r="H49" s="1619">
        <f>F50</f>
        <v>0</v>
      </c>
      <c r="I49" s="489">
        <f t="shared" ref="I49" si="76">H50</f>
        <v>0</v>
      </c>
      <c r="J49" s="490">
        <f t="shared" ref="J49" si="77">I50</f>
        <v>0</v>
      </c>
      <c r="K49" s="490">
        <f t="shared" ref="K49" si="78">J50</f>
        <v>0</v>
      </c>
      <c r="L49" s="490">
        <f t="shared" ref="L49" si="79">K50</f>
        <v>0</v>
      </c>
      <c r="M49" s="491">
        <f t="shared" ref="M49" si="80">L50</f>
        <v>0</v>
      </c>
      <c r="N49" s="538">
        <f t="shared" ref="N49" si="81">M50</f>
        <v>0</v>
      </c>
      <c r="O49" s="490">
        <f t="shared" ref="O49" si="82">N50</f>
        <v>0</v>
      </c>
      <c r="P49" s="490">
        <f t="shared" ref="P49" si="83">O50</f>
        <v>0</v>
      </c>
      <c r="Q49" s="490">
        <f t="shared" ref="Q49" si="84">P50</f>
        <v>0</v>
      </c>
      <c r="R49" s="490">
        <f t="shared" ref="R49" si="85">Q50</f>
        <v>0</v>
      </c>
      <c r="S49" s="490">
        <f t="shared" ref="S49" si="86">R50</f>
        <v>0</v>
      </c>
      <c r="T49" s="490">
        <f t="shared" ref="T49" si="87">S50</f>
        <v>0</v>
      </c>
      <c r="U49" s="490">
        <f t="shared" ref="U49" si="88">T50</f>
        <v>0</v>
      </c>
      <c r="V49" s="490">
        <f t="shared" ref="V49" si="89">U50</f>
        <v>0</v>
      </c>
      <c r="W49" s="490">
        <f t="shared" ref="W49" si="90">V50</f>
        <v>0</v>
      </c>
      <c r="X49" s="490">
        <f t="shared" ref="X49" si="91">W50</f>
        <v>0</v>
      </c>
      <c r="Y49" s="490">
        <f t="shared" ref="Y49" si="92">X50</f>
        <v>0</v>
      </c>
      <c r="Z49" s="490">
        <f t="shared" ref="Z49" si="93">Y50</f>
        <v>0</v>
      </c>
      <c r="AA49" s="490">
        <f t="shared" ref="AA49" si="94">Z50</f>
        <v>0</v>
      </c>
      <c r="AB49" s="491">
        <f t="shared" ref="AB49" si="95">AA50</f>
        <v>0</v>
      </c>
      <c r="AC49" s="1266"/>
      <c r="AD49" s="1266"/>
      <c r="AE49" s="1266"/>
      <c r="AF49" s="1266"/>
    </row>
    <row r="50" spans="1:32" s="92" customFormat="1">
      <c r="A50" s="299"/>
      <c r="B50" s="4832"/>
      <c r="C50" s="740" t="s">
        <v>193</v>
      </c>
      <c r="D50" s="738"/>
      <c r="E50" s="708"/>
      <c r="F50" s="708"/>
      <c r="G50" s="708"/>
      <c r="H50" s="790"/>
      <c r="I50" s="738"/>
      <c r="J50" s="708"/>
      <c r="K50" s="708"/>
      <c r="L50" s="708"/>
      <c r="M50" s="790"/>
      <c r="N50" s="786"/>
      <c r="O50" s="708"/>
      <c r="P50" s="708"/>
      <c r="Q50" s="708"/>
      <c r="R50" s="708"/>
      <c r="S50" s="708"/>
      <c r="T50" s="708"/>
      <c r="U50" s="708"/>
      <c r="V50" s="708"/>
      <c r="W50" s="708"/>
      <c r="X50" s="708"/>
      <c r="Y50" s="708"/>
      <c r="Z50" s="708"/>
      <c r="AA50" s="708"/>
      <c r="AB50" s="790"/>
      <c r="AC50" s="1266"/>
      <c r="AD50" s="1266"/>
      <c r="AE50" s="1266"/>
      <c r="AF50" s="1266"/>
    </row>
    <row r="51" spans="1:32" s="92" customFormat="1">
      <c r="A51" s="299"/>
      <c r="B51" s="4832"/>
      <c r="C51" s="740" t="s">
        <v>70</v>
      </c>
      <c r="D51" s="489">
        <f t="shared" ref="D51:AB51" si="96">IF(ISERROR(AVERAGE(D49:D50)),0,AVERAGE(D49:D50))</f>
        <v>0</v>
      </c>
      <c r="E51" s="490">
        <f t="shared" si="96"/>
        <v>0</v>
      </c>
      <c r="F51" s="490">
        <f t="shared" si="96"/>
        <v>0</v>
      </c>
      <c r="G51" s="490">
        <f t="shared" si="96"/>
        <v>0</v>
      </c>
      <c r="H51" s="491">
        <f t="shared" si="96"/>
        <v>0</v>
      </c>
      <c r="I51" s="489">
        <f t="shared" si="96"/>
        <v>0</v>
      </c>
      <c r="J51" s="490">
        <f t="shared" si="96"/>
        <v>0</v>
      </c>
      <c r="K51" s="490">
        <f t="shared" si="96"/>
        <v>0</v>
      </c>
      <c r="L51" s="490">
        <f t="shared" si="96"/>
        <v>0</v>
      </c>
      <c r="M51" s="491">
        <f t="shared" si="96"/>
        <v>0</v>
      </c>
      <c r="N51" s="538">
        <f t="shared" si="96"/>
        <v>0</v>
      </c>
      <c r="O51" s="490">
        <f t="shared" si="96"/>
        <v>0</v>
      </c>
      <c r="P51" s="490">
        <f t="shared" si="96"/>
        <v>0</v>
      </c>
      <c r="Q51" s="490">
        <f t="shared" si="96"/>
        <v>0</v>
      </c>
      <c r="R51" s="490">
        <f t="shared" si="96"/>
        <v>0</v>
      </c>
      <c r="S51" s="490">
        <f t="shared" si="96"/>
        <v>0</v>
      </c>
      <c r="T51" s="490">
        <f t="shared" si="96"/>
        <v>0</v>
      </c>
      <c r="U51" s="490">
        <f t="shared" si="96"/>
        <v>0</v>
      </c>
      <c r="V51" s="490">
        <f t="shared" si="96"/>
        <v>0</v>
      </c>
      <c r="W51" s="490">
        <f t="shared" si="96"/>
        <v>0</v>
      </c>
      <c r="X51" s="490">
        <f t="shared" si="96"/>
        <v>0</v>
      </c>
      <c r="Y51" s="490">
        <f t="shared" si="96"/>
        <v>0</v>
      </c>
      <c r="Z51" s="490">
        <f t="shared" si="96"/>
        <v>0</v>
      </c>
      <c r="AA51" s="490">
        <f t="shared" si="96"/>
        <v>0</v>
      </c>
      <c r="AB51" s="491">
        <f t="shared" si="96"/>
        <v>0</v>
      </c>
      <c r="AC51" s="1266"/>
      <c r="AD51" s="1266"/>
      <c r="AE51" s="1266"/>
      <c r="AF51" s="1266"/>
    </row>
    <row r="52" spans="1:32" s="92" customFormat="1">
      <c r="A52" s="299"/>
      <c r="B52" s="4832"/>
      <c r="C52" s="740" t="s">
        <v>71</v>
      </c>
      <c r="D52" s="738"/>
      <c r="E52" s="708"/>
      <c r="F52" s="708"/>
      <c r="G52" s="708"/>
      <c r="H52" s="790"/>
      <c r="I52" s="738"/>
      <c r="J52" s="708"/>
      <c r="K52" s="708"/>
      <c r="L52" s="708"/>
      <c r="M52" s="790"/>
      <c r="N52" s="786"/>
      <c r="O52" s="708"/>
      <c r="P52" s="708"/>
      <c r="Q52" s="708"/>
      <c r="R52" s="708"/>
      <c r="S52" s="708"/>
      <c r="T52" s="708"/>
      <c r="U52" s="708"/>
      <c r="V52" s="708"/>
      <c r="W52" s="708"/>
      <c r="X52" s="708"/>
      <c r="Y52" s="708"/>
      <c r="Z52" s="708"/>
      <c r="AA52" s="708"/>
      <c r="AB52" s="790"/>
      <c r="AC52" s="1266"/>
      <c r="AD52" s="1266"/>
      <c r="AE52" s="1266"/>
      <c r="AF52" s="1266"/>
    </row>
    <row r="53" spans="1:32" s="92" customFormat="1" ht="13.5" thickBot="1">
      <c r="A53" s="299"/>
      <c r="B53" s="4833"/>
      <c r="C53" s="1620" t="s">
        <v>60</v>
      </c>
      <c r="D53" s="1601"/>
      <c r="E53" s="792"/>
      <c r="F53" s="792"/>
      <c r="G53" s="792"/>
      <c r="H53" s="793"/>
      <c r="I53" s="791"/>
      <c r="J53" s="792"/>
      <c r="K53" s="792"/>
      <c r="L53" s="792"/>
      <c r="M53" s="793"/>
      <c r="N53" s="795"/>
      <c r="O53" s="792"/>
      <c r="P53" s="792"/>
      <c r="Q53" s="792"/>
      <c r="R53" s="792"/>
      <c r="S53" s="792"/>
      <c r="T53" s="792"/>
      <c r="U53" s="792"/>
      <c r="V53" s="792"/>
      <c r="W53" s="792"/>
      <c r="X53" s="792"/>
      <c r="Y53" s="792"/>
      <c r="Z53" s="792"/>
      <c r="AA53" s="792"/>
      <c r="AB53" s="793"/>
      <c r="AC53" s="1266"/>
      <c r="AD53" s="1266"/>
      <c r="AE53" s="1266"/>
      <c r="AF53" s="1266"/>
    </row>
    <row r="54" spans="1:32" s="92" customFormat="1">
      <c r="A54" s="299"/>
      <c r="B54" s="4831" t="s">
        <v>1469</v>
      </c>
      <c r="C54" s="1621" t="s">
        <v>194</v>
      </c>
      <c r="D54" s="1594"/>
      <c r="E54" s="480">
        <f>D55</f>
        <v>0</v>
      </c>
      <c r="F54" s="480">
        <f t="shared" ref="F54" si="97">E55</f>
        <v>0</v>
      </c>
      <c r="G54" s="480">
        <f>E55</f>
        <v>0</v>
      </c>
      <c r="H54" s="552">
        <f>F55</f>
        <v>0</v>
      </c>
      <c r="I54" s="489">
        <f t="shared" ref="I54" si="98">H55</f>
        <v>0</v>
      </c>
      <c r="J54" s="490">
        <f t="shared" ref="J54" si="99">I55</f>
        <v>0</v>
      </c>
      <c r="K54" s="490">
        <f t="shared" ref="K54" si="100">J55</f>
        <v>0</v>
      </c>
      <c r="L54" s="490">
        <f t="shared" ref="L54" si="101">K55</f>
        <v>0</v>
      </c>
      <c r="M54" s="491">
        <f t="shared" ref="M54" si="102">L55</f>
        <v>0</v>
      </c>
      <c r="N54" s="538">
        <f t="shared" ref="N54" si="103">M55</f>
        <v>0</v>
      </c>
      <c r="O54" s="490">
        <f t="shared" ref="O54" si="104">N55</f>
        <v>0</v>
      </c>
      <c r="P54" s="490">
        <f t="shared" ref="P54" si="105">O55</f>
        <v>0</v>
      </c>
      <c r="Q54" s="490">
        <f t="shared" ref="Q54" si="106">P55</f>
        <v>0</v>
      </c>
      <c r="R54" s="490">
        <f t="shared" ref="R54" si="107">Q55</f>
        <v>0</v>
      </c>
      <c r="S54" s="490">
        <f t="shared" ref="S54" si="108">R55</f>
        <v>0</v>
      </c>
      <c r="T54" s="490">
        <f t="shared" ref="T54" si="109">S55</f>
        <v>0</v>
      </c>
      <c r="U54" s="490">
        <f t="shared" ref="U54" si="110">T55</f>
        <v>0</v>
      </c>
      <c r="V54" s="490">
        <f t="shared" ref="V54" si="111">U55</f>
        <v>0</v>
      </c>
      <c r="W54" s="490">
        <f t="shared" ref="W54" si="112">V55</f>
        <v>0</v>
      </c>
      <c r="X54" s="490">
        <f t="shared" ref="X54" si="113">W55</f>
        <v>0</v>
      </c>
      <c r="Y54" s="490">
        <f t="shared" ref="Y54" si="114">X55</f>
        <v>0</v>
      </c>
      <c r="Z54" s="490">
        <f t="shared" ref="Z54" si="115">Y55</f>
        <v>0</v>
      </c>
      <c r="AA54" s="490">
        <f t="shared" ref="AA54" si="116">Z55</f>
        <v>0</v>
      </c>
      <c r="AB54" s="491">
        <f t="shared" ref="AB54" si="117">AA55</f>
        <v>0</v>
      </c>
      <c r="AC54" s="1266"/>
      <c r="AD54" s="1266"/>
      <c r="AE54" s="1266"/>
      <c r="AF54" s="1266"/>
    </row>
    <row r="55" spans="1:32" s="92" customFormat="1">
      <c r="A55" s="299"/>
      <c r="B55" s="4832"/>
      <c r="C55" s="740" t="s">
        <v>193</v>
      </c>
      <c r="D55" s="738"/>
      <c r="E55" s="708"/>
      <c r="F55" s="708"/>
      <c r="G55" s="708"/>
      <c r="H55" s="790"/>
      <c r="I55" s="738"/>
      <c r="J55" s="708"/>
      <c r="K55" s="708"/>
      <c r="L55" s="708"/>
      <c r="M55" s="790"/>
      <c r="N55" s="786"/>
      <c r="O55" s="708"/>
      <c r="P55" s="708"/>
      <c r="Q55" s="708"/>
      <c r="R55" s="708"/>
      <c r="S55" s="708"/>
      <c r="T55" s="708"/>
      <c r="U55" s="708"/>
      <c r="V55" s="708"/>
      <c r="W55" s="708"/>
      <c r="X55" s="708"/>
      <c r="Y55" s="708"/>
      <c r="Z55" s="708"/>
      <c r="AA55" s="708"/>
      <c r="AB55" s="790"/>
      <c r="AC55" s="1266"/>
      <c r="AD55" s="1266"/>
      <c r="AE55" s="1266"/>
      <c r="AF55" s="1266"/>
    </row>
    <row r="56" spans="1:32" s="92" customFormat="1">
      <c r="A56" s="299"/>
      <c r="B56" s="4832"/>
      <c r="C56" s="740" t="s">
        <v>70</v>
      </c>
      <c r="D56" s="489">
        <f t="shared" ref="D56:AB56" si="118">IF(ISERROR(AVERAGE(D54:D55)),0,AVERAGE(D54:D55))</f>
        <v>0</v>
      </c>
      <c r="E56" s="490">
        <f t="shared" si="118"/>
        <v>0</v>
      </c>
      <c r="F56" s="490">
        <f t="shared" si="118"/>
        <v>0</v>
      </c>
      <c r="G56" s="490">
        <f t="shared" si="118"/>
        <v>0</v>
      </c>
      <c r="H56" s="491">
        <f t="shared" si="118"/>
        <v>0</v>
      </c>
      <c r="I56" s="489">
        <f t="shared" si="118"/>
        <v>0</v>
      </c>
      <c r="J56" s="490">
        <f t="shared" si="118"/>
        <v>0</v>
      </c>
      <c r="K56" s="490">
        <f t="shared" si="118"/>
        <v>0</v>
      </c>
      <c r="L56" s="490">
        <f t="shared" si="118"/>
        <v>0</v>
      </c>
      <c r="M56" s="491">
        <f t="shared" si="118"/>
        <v>0</v>
      </c>
      <c r="N56" s="538">
        <f t="shared" si="118"/>
        <v>0</v>
      </c>
      <c r="O56" s="490">
        <f t="shared" si="118"/>
        <v>0</v>
      </c>
      <c r="P56" s="490">
        <f t="shared" si="118"/>
        <v>0</v>
      </c>
      <c r="Q56" s="490">
        <f t="shared" si="118"/>
        <v>0</v>
      </c>
      <c r="R56" s="490">
        <f t="shared" si="118"/>
        <v>0</v>
      </c>
      <c r="S56" s="490">
        <f t="shared" si="118"/>
        <v>0</v>
      </c>
      <c r="T56" s="490">
        <f t="shared" si="118"/>
        <v>0</v>
      </c>
      <c r="U56" s="490">
        <f t="shared" si="118"/>
        <v>0</v>
      </c>
      <c r="V56" s="490">
        <f t="shared" si="118"/>
        <v>0</v>
      </c>
      <c r="W56" s="490">
        <f t="shared" si="118"/>
        <v>0</v>
      </c>
      <c r="X56" s="490">
        <f t="shared" si="118"/>
        <v>0</v>
      </c>
      <c r="Y56" s="490">
        <f t="shared" si="118"/>
        <v>0</v>
      </c>
      <c r="Z56" s="490">
        <f t="shared" si="118"/>
        <v>0</v>
      </c>
      <c r="AA56" s="490">
        <f t="shared" si="118"/>
        <v>0</v>
      </c>
      <c r="AB56" s="491">
        <f t="shared" si="118"/>
        <v>0</v>
      </c>
      <c r="AC56" s="1266"/>
      <c r="AD56" s="1266"/>
      <c r="AE56" s="1266"/>
      <c r="AF56" s="1266"/>
    </row>
    <row r="57" spans="1:32" s="92" customFormat="1">
      <c r="A57" s="299"/>
      <c r="B57" s="4832"/>
      <c r="C57" s="740" t="s">
        <v>71</v>
      </c>
      <c r="D57" s="738"/>
      <c r="E57" s="708"/>
      <c r="F57" s="708"/>
      <c r="G57" s="708"/>
      <c r="H57" s="790"/>
      <c r="I57" s="738"/>
      <c r="J57" s="708"/>
      <c r="K57" s="708"/>
      <c r="L57" s="708"/>
      <c r="M57" s="790"/>
      <c r="N57" s="786"/>
      <c r="O57" s="708"/>
      <c r="P57" s="708"/>
      <c r="Q57" s="708"/>
      <c r="R57" s="708"/>
      <c r="S57" s="708"/>
      <c r="T57" s="708"/>
      <c r="U57" s="708"/>
      <c r="V57" s="708"/>
      <c r="W57" s="708"/>
      <c r="X57" s="708"/>
      <c r="Y57" s="708"/>
      <c r="Z57" s="708"/>
      <c r="AA57" s="708"/>
      <c r="AB57" s="790"/>
      <c r="AC57" s="1266"/>
      <c r="AD57" s="1266"/>
      <c r="AE57" s="1266"/>
      <c r="AF57" s="1266"/>
    </row>
    <row r="58" spans="1:32" s="92" customFormat="1" ht="13.5" thickBot="1">
      <c r="A58" s="299"/>
      <c r="B58" s="4833"/>
      <c r="C58" s="1620" t="s">
        <v>60</v>
      </c>
      <c r="D58" s="1601"/>
      <c r="E58" s="792"/>
      <c r="F58" s="792"/>
      <c r="G58" s="792"/>
      <c r="H58" s="793"/>
      <c r="I58" s="791"/>
      <c r="J58" s="792"/>
      <c r="K58" s="792"/>
      <c r="L58" s="792"/>
      <c r="M58" s="793"/>
      <c r="N58" s="795"/>
      <c r="O58" s="792"/>
      <c r="P58" s="792"/>
      <c r="Q58" s="792"/>
      <c r="R58" s="792"/>
      <c r="S58" s="792"/>
      <c r="T58" s="792"/>
      <c r="U58" s="792"/>
      <c r="V58" s="792"/>
      <c r="W58" s="792"/>
      <c r="X58" s="792"/>
      <c r="Y58" s="792"/>
      <c r="Z58" s="792"/>
      <c r="AA58" s="792"/>
      <c r="AB58" s="793"/>
      <c r="AC58" s="1266"/>
      <c r="AD58" s="1266"/>
      <c r="AE58" s="1266"/>
      <c r="AF58" s="1266"/>
    </row>
    <row r="59" spans="1:32" s="92" customFormat="1">
      <c r="A59" s="299"/>
      <c r="B59" s="4831" t="s">
        <v>1469</v>
      </c>
      <c r="C59" s="1617" t="s">
        <v>194</v>
      </c>
      <c r="D59" s="1615"/>
      <c r="E59" s="1618">
        <f>D60</f>
        <v>0</v>
      </c>
      <c r="F59" s="1618">
        <f t="shared" ref="F59:AB59" si="119">E60</f>
        <v>0</v>
      </c>
      <c r="G59" s="1618">
        <f>E60</f>
        <v>0</v>
      </c>
      <c r="H59" s="1619">
        <f>F60</f>
        <v>0</v>
      </c>
      <c r="I59" s="489">
        <f t="shared" si="119"/>
        <v>0</v>
      </c>
      <c r="J59" s="490">
        <f t="shared" si="119"/>
        <v>0</v>
      </c>
      <c r="K59" s="490">
        <f t="shared" si="119"/>
        <v>0</v>
      </c>
      <c r="L59" s="490">
        <f t="shared" si="119"/>
        <v>0</v>
      </c>
      <c r="M59" s="491">
        <f t="shared" si="119"/>
        <v>0</v>
      </c>
      <c r="N59" s="538">
        <f t="shared" si="119"/>
        <v>0</v>
      </c>
      <c r="O59" s="490">
        <f t="shared" si="119"/>
        <v>0</v>
      </c>
      <c r="P59" s="490">
        <f t="shared" si="119"/>
        <v>0</v>
      </c>
      <c r="Q59" s="490">
        <f t="shared" si="119"/>
        <v>0</v>
      </c>
      <c r="R59" s="490">
        <f t="shared" si="119"/>
        <v>0</v>
      </c>
      <c r="S59" s="490">
        <f t="shared" si="119"/>
        <v>0</v>
      </c>
      <c r="T59" s="490">
        <f t="shared" si="119"/>
        <v>0</v>
      </c>
      <c r="U59" s="490">
        <f t="shared" si="119"/>
        <v>0</v>
      </c>
      <c r="V59" s="490">
        <f t="shared" si="119"/>
        <v>0</v>
      </c>
      <c r="W59" s="490">
        <f t="shared" si="119"/>
        <v>0</v>
      </c>
      <c r="X59" s="490">
        <f t="shared" si="119"/>
        <v>0</v>
      </c>
      <c r="Y59" s="490">
        <f t="shared" si="119"/>
        <v>0</v>
      </c>
      <c r="Z59" s="490">
        <f t="shared" si="119"/>
        <v>0</v>
      </c>
      <c r="AA59" s="490">
        <f t="shared" si="119"/>
        <v>0</v>
      </c>
      <c r="AB59" s="491">
        <f t="shared" si="119"/>
        <v>0</v>
      </c>
      <c r="AC59"/>
      <c r="AD59"/>
      <c r="AE59"/>
      <c r="AF59"/>
    </row>
    <row r="60" spans="1:32" s="92" customFormat="1">
      <c r="A60" s="299"/>
      <c r="B60" s="4832"/>
      <c r="C60" s="740" t="s">
        <v>193</v>
      </c>
      <c r="D60" s="738"/>
      <c r="E60" s="708"/>
      <c r="F60" s="708"/>
      <c r="G60" s="708"/>
      <c r="H60" s="790"/>
      <c r="I60" s="738"/>
      <c r="J60" s="708"/>
      <c r="K60" s="708"/>
      <c r="L60" s="708"/>
      <c r="M60" s="790"/>
      <c r="N60" s="786"/>
      <c r="O60" s="708"/>
      <c r="P60" s="708"/>
      <c r="Q60" s="708"/>
      <c r="R60" s="708"/>
      <c r="S60" s="708"/>
      <c r="T60" s="708"/>
      <c r="U60" s="708"/>
      <c r="V60" s="708"/>
      <c r="W60" s="708"/>
      <c r="X60" s="708"/>
      <c r="Y60" s="708"/>
      <c r="Z60" s="708"/>
      <c r="AA60" s="708"/>
      <c r="AB60" s="790"/>
      <c r="AC60"/>
      <c r="AD60"/>
      <c r="AE60"/>
      <c r="AF60"/>
    </row>
    <row r="61" spans="1:32" s="92" customFormat="1">
      <c r="A61" s="299"/>
      <c r="B61" s="4832"/>
      <c r="C61" s="740" t="s">
        <v>70</v>
      </c>
      <c r="D61" s="489">
        <f t="shared" ref="D61:AB61" si="120">IF(ISERROR(AVERAGE(D59:D60)),0,AVERAGE(D59:D60))</f>
        <v>0</v>
      </c>
      <c r="E61" s="490">
        <f t="shared" si="120"/>
        <v>0</v>
      </c>
      <c r="F61" s="490">
        <f t="shared" si="120"/>
        <v>0</v>
      </c>
      <c r="G61" s="490">
        <f t="shared" si="120"/>
        <v>0</v>
      </c>
      <c r="H61" s="491">
        <f t="shared" si="120"/>
        <v>0</v>
      </c>
      <c r="I61" s="489">
        <f t="shared" ref="I61" si="121">IF(ISERROR(AVERAGE(I59:I60)),0,AVERAGE(I59:I60))</f>
        <v>0</v>
      </c>
      <c r="J61" s="490">
        <f t="shared" si="120"/>
        <v>0</v>
      </c>
      <c r="K61" s="490">
        <f t="shared" si="120"/>
        <v>0</v>
      </c>
      <c r="L61" s="490">
        <f t="shared" si="120"/>
        <v>0</v>
      </c>
      <c r="M61" s="491">
        <f t="shared" si="120"/>
        <v>0</v>
      </c>
      <c r="N61" s="538">
        <f t="shared" si="120"/>
        <v>0</v>
      </c>
      <c r="O61" s="490">
        <f t="shared" si="120"/>
        <v>0</v>
      </c>
      <c r="P61" s="490">
        <f t="shared" si="120"/>
        <v>0</v>
      </c>
      <c r="Q61" s="490">
        <f t="shared" si="120"/>
        <v>0</v>
      </c>
      <c r="R61" s="490">
        <f t="shared" si="120"/>
        <v>0</v>
      </c>
      <c r="S61" s="490">
        <f t="shared" si="120"/>
        <v>0</v>
      </c>
      <c r="T61" s="490">
        <f t="shared" si="120"/>
        <v>0</v>
      </c>
      <c r="U61" s="490">
        <f t="shared" si="120"/>
        <v>0</v>
      </c>
      <c r="V61" s="490">
        <f t="shared" si="120"/>
        <v>0</v>
      </c>
      <c r="W61" s="490">
        <f t="shared" si="120"/>
        <v>0</v>
      </c>
      <c r="X61" s="490">
        <f t="shared" si="120"/>
        <v>0</v>
      </c>
      <c r="Y61" s="490">
        <f t="shared" si="120"/>
        <v>0</v>
      </c>
      <c r="Z61" s="490">
        <f t="shared" si="120"/>
        <v>0</v>
      </c>
      <c r="AA61" s="490">
        <f t="shared" si="120"/>
        <v>0</v>
      </c>
      <c r="AB61" s="491">
        <f t="shared" si="120"/>
        <v>0</v>
      </c>
      <c r="AC61"/>
      <c r="AD61"/>
      <c r="AE61"/>
      <c r="AF61"/>
    </row>
    <row r="62" spans="1:32" s="92" customFormat="1">
      <c r="A62" s="299"/>
      <c r="B62" s="4832"/>
      <c r="C62" s="740" t="s">
        <v>71</v>
      </c>
      <c r="D62" s="738"/>
      <c r="E62" s="708"/>
      <c r="F62" s="708"/>
      <c r="G62" s="708"/>
      <c r="H62" s="790"/>
      <c r="I62" s="738"/>
      <c r="J62" s="708"/>
      <c r="K62" s="708"/>
      <c r="L62" s="708"/>
      <c r="M62" s="790"/>
      <c r="N62" s="786"/>
      <c r="O62" s="708"/>
      <c r="P62" s="708"/>
      <c r="Q62" s="708"/>
      <c r="R62" s="708"/>
      <c r="S62" s="708"/>
      <c r="T62" s="708"/>
      <c r="U62" s="708"/>
      <c r="V62" s="708"/>
      <c r="W62" s="708"/>
      <c r="X62" s="708"/>
      <c r="Y62" s="708"/>
      <c r="Z62" s="708"/>
      <c r="AA62" s="708"/>
      <c r="AB62" s="790"/>
      <c r="AC62"/>
      <c r="AD62"/>
      <c r="AE62"/>
      <c r="AF62"/>
    </row>
    <row r="63" spans="1:32" s="92" customFormat="1" ht="13.5" thickBot="1">
      <c r="A63" s="299"/>
      <c r="B63" s="4833"/>
      <c r="C63" s="1620" t="s">
        <v>60</v>
      </c>
      <c r="D63" s="1601"/>
      <c r="E63" s="792"/>
      <c r="F63" s="792"/>
      <c r="G63" s="792"/>
      <c r="H63" s="793"/>
      <c r="I63" s="791"/>
      <c r="J63" s="792"/>
      <c r="K63" s="792"/>
      <c r="L63" s="792"/>
      <c r="M63" s="793"/>
      <c r="N63" s="795"/>
      <c r="O63" s="792"/>
      <c r="P63" s="792"/>
      <c r="Q63" s="792"/>
      <c r="R63" s="792"/>
      <c r="S63" s="792"/>
      <c r="T63" s="792"/>
      <c r="U63" s="792"/>
      <c r="V63" s="792"/>
      <c r="W63" s="792"/>
      <c r="X63" s="792"/>
      <c r="Y63" s="792"/>
      <c r="Z63" s="792"/>
      <c r="AA63" s="792"/>
      <c r="AB63" s="793"/>
      <c r="AC63"/>
      <c r="AD63"/>
      <c r="AE63"/>
      <c r="AF63"/>
    </row>
    <row r="64" spans="1:32" s="92" customFormat="1">
      <c r="A64" s="299"/>
      <c r="B64" s="4831" t="s">
        <v>1469</v>
      </c>
      <c r="C64" s="1621" t="s">
        <v>194</v>
      </c>
      <c r="D64" s="1594"/>
      <c r="E64" s="480">
        <f>D65</f>
        <v>0</v>
      </c>
      <c r="F64" s="480">
        <f t="shared" ref="F64:AB64" si="122">E65</f>
        <v>0</v>
      </c>
      <c r="G64" s="480">
        <f>E65</f>
        <v>0</v>
      </c>
      <c r="H64" s="552">
        <f>F65</f>
        <v>0</v>
      </c>
      <c r="I64" s="489">
        <f t="shared" si="122"/>
        <v>0</v>
      </c>
      <c r="J64" s="490">
        <f t="shared" si="122"/>
        <v>0</v>
      </c>
      <c r="K64" s="490">
        <f t="shared" si="122"/>
        <v>0</v>
      </c>
      <c r="L64" s="490">
        <f t="shared" si="122"/>
        <v>0</v>
      </c>
      <c r="M64" s="491">
        <f t="shared" si="122"/>
        <v>0</v>
      </c>
      <c r="N64" s="538">
        <f t="shared" si="122"/>
        <v>0</v>
      </c>
      <c r="O64" s="490">
        <f t="shared" si="122"/>
        <v>0</v>
      </c>
      <c r="P64" s="490">
        <f t="shared" si="122"/>
        <v>0</v>
      </c>
      <c r="Q64" s="490">
        <f t="shared" si="122"/>
        <v>0</v>
      </c>
      <c r="R64" s="490">
        <f t="shared" si="122"/>
        <v>0</v>
      </c>
      <c r="S64" s="490">
        <f t="shared" si="122"/>
        <v>0</v>
      </c>
      <c r="T64" s="490">
        <f t="shared" si="122"/>
        <v>0</v>
      </c>
      <c r="U64" s="490">
        <f t="shared" si="122"/>
        <v>0</v>
      </c>
      <c r="V64" s="490">
        <f t="shared" si="122"/>
        <v>0</v>
      </c>
      <c r="W64" s="490">
        <f t="shared" si="122"/>
        <v>0</v>
      </c>
      <c r="X64" s="490">
        <f t="shared" si="122"/>
        <v>0</v>
      </c>
      <c r="Y64" s="490">
        <f t="shared" si="122"/>
        <v>0</v>
      </c>
      <c r="Z64" s="490">
        <f t="shared" si="122"/>
        <v>0</v>
      </c>
      <c r="AA64" s="490">
        <f t="shared" si="122"/>
        <v>0</v>
      </c>
      <c r="AB64" s="491">
        <f t="shared" si="122"/>
        <v>0</v>
      </c>
      <c r="AC64"/>
      <c r="AD64"/>
      <c r="AE64"/>
      <c r="AF64"/>
    </row>
    <row r="65" spans="1:135" s="92" customFormat="1">
      <c r="A65" s="299"/>
      <c r="B65" s="4832"/>
      <c r="C65" s="740" t="s">
        <v>193</v>
      </c>
      <c r="D65" s="738"/>
      <c r="E65" s="708"/>
      <c r="F65" s="708"/>
      <c r="G65" s="708"/>
      <c r="H65" s="790"/>
      <c r="I65" s="738"/>
      <c r="J65" s="708"/>
      <c r="K65" s="708"/>
      <c r="L65" s="708"/>
      <c r="M65" s="790"/>
      <c r="N65" s="786"/>
      <c r="O65" s="708"/>
      <c r="P65" s="708"/>
      <c r="Q65" s="708"/>
      <c r="R65" s="708"/>
      <c r="S65" s="708"/>
      <c r="T65" s="708"/>
      <c r="U65" s="708"/>
      <c r="V65" s="708"/>
      <c r="W65" s="708"/>
      <c r="X65" s="708"/>
      <c r="Y65" s="708"/>
      <c r="Z65" s="708"/>
      <c r="AA65" s="708"/>
      <c r="AB65" s="790"/>
      <c r="AC65"/>
      <c r="AD65"/>
      <c r="AE65"/>
      <c r="AF65"/>
    </row>
    <row r="66" spans="1:135" s="92" customFormat="1">
      <c r="A66" s="299"/>
      <c r="B66" s="4832"/>
      <c r="C66" s="740" t="s">
        <v>70</v>
      </c>
      <c r="D66" s="489">
        <f t="shared" ref="D66:AB66" si="123">IF(ISERROR(AVERAGE(D64:D65)),0,AVERAGE(D64:D65))</f>
        <v>0</v>
      </c>
      <c r="E66" s="490">
        <f t="shared" si="123"/>
        <v>0</v>
      </c>
      <c r="F66" s="490">
        <f t="shared" si="123"/>
        <v>0</v>
      </c>
      <c r="G66" s="490">
        <f t="shared" si="123"/>
        <v>0</v>
      </c>
      <c r="H66" s="491">
        <f t="shared" si="123"/>
        <v>0</v>
      </c>
      <c r="I66" s="489">
        <f t="shared" ref="I66" si="124">IF(ISERROR(AVERAGE(I64:I65)),0,AVERAGE(I64:I65))</f>
        <v>0</v>
      </c>
      <c r="J66" s="490">
        <f t="shared" si="123"/>
        <v>0</v>
      </c>
      <c r="K66" s="490">
        <f t="shared" si="123"/>
        <v>0</v>
      </c>
      <c r="L66" s="490">
        <f t="shared" si="123"/>
        <v>0</v>
      </c>
      <c r="M66" s="491">
        <f t="shared" si="123"/>
        <v>0</v>
      </c>
      <c r="N66" s="538">
        <f t="shared" si="123"/>
        <v>0</v>
      </c>
      <c r="O66" s="490">
        <f t="shared" si="123"/>
        <v>0</v>
      </c>
      <c r="P66" s="490">
        <f t="shared" si="123"/>
        <v>0</v>
      </c>
      <c r="Q66" s="490">
        <f t="shared" si="123"/>
        <v>0</v>
      </c>
      <c r="R66" s="490">
        <f t="shared" si="123"/>
        <v>0</v>
      </c>
      <c r="S66" s="490">
        <f t="shared" si="123"/>
        <v>0</v>
      </c>
      <c r="T66" s="490">
        <f t="shared" si="123"/>
        <v>0</v>
      </c>
      <c r="U66" s="490">
        <f t="shared" si="123"/>
        <v>0</v>
      </c>
      <c r="V66" s="490">
        <f t="shared" si="123"/>
        <v>0</v>
      </c>
      <c r="W66" s="490">
        <f t="shared" si="123"/>
        <v>0</v>
      </c>
      <c r="X66" s="490">
        <f t="shared" si="123"/>
        <v>0</v>
      </c>
      <c r="Y66" s="490">
        <f t="shared" si="123"/>
        <v>0</v>
      </c>
      <c r="Z66" s="490">
        <f t="shared" si="123"/>
        <v>0</v>
      </c>
      <c r="AA66" s="490">
        <f t="shared" si="123"/>
        <v>0</v>
      </c>
      <c r="AB66" s="491">
        <f t="shared" si="123"/>
        <v>0</v>
      </c>
      <c r="AC66"/>
      <c r="AD66"/>
      <c r="AE66"/>
      <c r="AF66"/>
    </row>
    <row r="67" spans="1:135" s="92" customFormat="1">
      <c r="A67" s="299"/>
      <c r="B67" s="4832"/>
      <c r="C67" s="740" t="s">
        <v>71</v>
      </c>
      <c r="D67" s="738"/>
      <c r="E67" s="708"/>
      <c r="F67" s="708"/>
      <c r="G67" s="708"/>
      <c r="H67" s="790"/>
      <c r="I67" s="738"/>
      <c r="J67" s="708"/>
      <c r="K67" s="708"/>
      <c r="L67" s="708"/>
      <c r="M67" s="790"/>
      <c r="N67" s="786"/>
      <c r="O67" s="708"/>
      <c r="P67" s="708"/>
      <c r="Q67" s="708"/>
      <c r="R67" s="708"/>
      <c r="S67" s="708"/>
      <c r="T67" s="708"/>
      <c r="U67" s="708"/>
      <c r="V67" s="708"/>
      <c r="W67" s="708"/>
      <c r="X67" s="708"/>
      <c r="Y67" s="708"/>
      <c r="Z67" s="708"/>
      <c r="AA67" s="708"/>
      <c r="AB67" s="790"/>
      <c r="AC67"/>
      <c r="AD67"/>
      <c r="AE67"/>
      <c r="AF67"/>
    </row>
    <row r="68" spans="1:135" s="92" customFormat="1" ht="13.5" thickBot="1">
      <c r="A68" s="299"/>
      <c r="B68" s="4833"/>
      <c r="C68" s="1620" t="s">
        <v>60</v>
      </c>
      <c r="D68" s="1601"/>
      <c r="E68" s="792"/>
      <c r="F68" s="792"/>
      <c r="G68" s="792"/>
      <c r="H68" s="793"/>
      <c r="I68" s="791"/>
      <c r="J68" s="792"/>
      <c r="K68" s="792"/>
      <c r="L68" s="792"/>
      <c r="M68" s="793"/>
      <c r="N68" s="795"/>
      <c r="O68" s="792"/>
      <c r="P68" s="792"/>
      <c r="Q68" s="792"/>
      <c r="R68" s="792"/>
      <c r="S68" s="792"/>
      <c r="T68" s="792"/>
      <c r="U68" s="792"/>
      <c r="V68" s="792"/>
      <c r="W68" s="792"/>
      <c r="X68" s="792"/>
      <c r="Y68" s="792"/>
      <c r="Z68" s="792"/>
      <c r="AA68" s="792"/>
      <c r="AB68" s="793"/>
      <c r="AC68"/>
      <c r="AD68"/>
      <c r="AE68"/>
      <c r="AF68"/>
    </row>
    <row r="69" spans="1:135" s="92" customFormat="1">
      <c r="A69" s="299"/>
      <c r="B69" s="4834" t="s">
        <v>65</v>
      </c>
      <c r="C69" s="1628" t="s">
        <v>194</v>
      </c>
      <c r="D69" s="1629">
        <f>SUMIF($C$49:$C$68,"Customer numbers as at 1 July",D49:D68)</f>
        <v>0</v>
      </c>
      <c r="E69" s="1630">
        <f t="shared" ref="E69:AB69" si="125">SUMIF($C$49:$C$68,"Customer numbers as at 1 July",E49:E68)</f>
        <v>0</v>
      </c>
      <c r="F69" s="1630">
        <f t="shared" si="125"/>
        <v>0</v>
      </c>
      <c r="G69" s="1630">
        <f t="shared" si="125"/>
        <v>0</v>
      </c>
      <c r="H69" s="1631">
        <f t="shared" si="125"/>
        <v>0</v>
      </c>
      <c r="I69" s="1629">
        <f t="shared" si="125"/>
        <v>0</v>
      </c>
      <c r="J69" s="1630">
        <f t="shared" si="125"/>
        <v>0</v>
      </c>
      <c r="K69" s="1630">
        <f t="shared" si="125"/>
        <v>0</v>
      </c>
      <c r="L69" s="1630">
        <f t="shared" si="125"/>
        <v>0</v>
      </c>
      <c r="M69" s="1632">
        <f t="shared" si="125"/>
        <v>0</v>
      </c>
      <c r="N69" s="1633">
        <f t="shared" si="125"/>
        <v>0</v>
      </c>
      <c r="O69" s="1630">
        <f t="shared" si="125"/>
        <v>0</v>
      </c>
      <c r="P69" s="1630">
        <f t="shared" si="125"/>
        <v>0</v>
      </c>
      <c r="Q69" s="1630">
        <f t="shared" si="125"/>
        <v>0</v>
      </c>
      <c r="R69" s="1630">
        <f t="shared" si="125"/>
        <v>0</v>
      </c>
      <c r="S69" s="1630">
        <f t="shared" si="125"/>
        <v>0</v>
      </c>
      <c r="T69" s="1630">
        <f t="shared" si="125"/>
        <v>0</v>
      </c>
      <c r="U69" s="1630">
        <f t="shared" si="125"/>
        <v>0</v>
      </c>
      <c r="V69" s="1630">
        <f t="shared" si="125"/>
        <v>0</v>
      </c>
      <c r="W69" s="1630">
        <f t="shared" si="125"/>
        <v>0</v>
      </c>
      <c r="X69" s="1630">
        <f t="shared" si="125"/>
        <v>0</v>
      </c>
      <c r="Y69" s="1630">
        <f t="shared" si="125"/>
        <v>0</v>
      </c>
      <c r="Z69" s="1630">
        <f t="shared" si="125"/>
        <v>0</v>
      </c>
      <c r="AA69" s="1630">
        <f t="shared" si="125"/>
        <v>0</v>
      </c>
      <c r="AB69" s="1634">
        <f t="shared" si="125"/>
        <v>0</v>
      </c>
      <c r="AC69" s="1266"/>
      <c r="AD69" s="1266"/>
      <c r="AE69" s="1266"/>
      <c r="AF69" s="1266"/>
    </row>
    <row r="70" spans="1:135" s="92" customFormat="1">
      <c r="A70" s="299"/>
      <c r="B70" s="4835"/>
      <c r="C70" s="1628" t="s">
        <v>193</v>
      </c>
      <c r="D70" s="1629">
        <f>SUMIF($C$49:$C$68,"Customer numbers as at 30 June",D49:D69)</f>
        <v>0</v>
      </c>
      <c r="E70" s="1630">
        <f t="shared" ref="E70:AB70" si="126">SUMIF($C$49:$C$68,"Customer numbers as at 30 June",E49:E69)</f>
        <v>0</v>
      </c>
      <c r="F70" s="1630">
        <f t="shared" si="126"/>
        <v>0</v>
      </c>
      <c r="G70" s="1630">
        <f t="shared" si="126"/>
        <v>0</v>
      </c>
      <c r="H70" s="1631">
        <f t="shared" si="126"/>
        <v>0</v>
      </c>
      <c r="I70" s="1629">
        <f t="shared" si="126"/>
        <v>0</v>
      </c>
      <c r="J70" s="1630">
        <f t="shared" si="126"/>
        <v>0</v>
      </c>
      <c r="K70" s="1630">
        <f t="shared" si="126"/>
        <v>0</v>
      </c>
      <c r="L70" s="1630">
        <f t="shared" si="126"/>
        <v>0</v>
      </c>
      <c r="M70" s="1632">
        <f t="shared" si="126"/>
        <v>0</v>
      </c>
      <c r="N70" s="1633">
        <f t="shared" si="126"/>
        <v>0</v>
      </c>
      <c r="O70" s="1630">
        <f t="shared" si="126"/>
        <v>0</v>
      </c>
      <c r="P70" s="1630">
        <f t="shared" si="126"/>
        <v>0</v>
      </c>
      <c r="Q70" s="1630">
        <f t="shared" si="126"/>
        <v>0</v>
      </c>
      <c r="R70" s="1630">
        <f t="shared" si="126"/>
        <v>0</v>
      </c>
      <c r="S70" s="1630">
        <f t="shared" si="126"/>
        <v>0</v>
      </c>
      <c r="T70" s="1630">
        <f t="shared" si="126"/>
        <v>0</v>
      </c>
      <c r="U70" s="1630">
        <f t="shared" si="126"/>
        <v>0</v>
      </c>
      <c r="V70" s="1630">
        <f t="shared" si="126"/>
        <v>0</v>
      </c>
      <c r="W70" s="1630">
        <f t="shared" si="126"/>
        <v>0</v>
      </c>
      <c r="X70" s="1630">
        <f t="shared" si="126"/>
        <v>0</v>
      </c>
      <c r="Y70" s="1630">
        <f t="shared" si="126"/>
        <v>0</v>
      </c>
      <c r="Z70" s="1630">
        <f t="shared" si="126"/>
        <v>0</v>
      </c>
      <c r="AA70" s="1630">
        <f t="shared" si="126"/>
        <v>0</v>
      </c>
      <c r="AB70" s="1634">
        <f t="shared" si="126"/>
        <v>0</v>
      </c>
      <c r="AC70" s="1266"/>
      <c r="AD70" s="1266"/>
      <c r="AE70" s="1266"/>
      <c r="AF70" s="1266"/>
    </row>
    <row r="71" spans="1:135" s="92" customFormat="1">
      <c r="A71" s="299"/>
      <c r="B71" s="4835"/>
      <c r="C71" s="1635" t="s">
        <v>70</v>
      </c>
      <c r="D71" s="505">
        <f t="shared" ref="D71" si="127">IF(ISERROR(AVERAGE(D69:D70)),0,AVERAGE(D69:D70))</f>
        <v>0</v>
      </c>
      <c r="E71" s="506">
        <f t="shared" ref="E71:AB71" si="128">IF(ISERROR(AVERAGE(E69:E70)),0,AVERAGE(E69:E70))</f>
        <v>0</v>
      </c>
      <c r="F71" s="506">
        <f t="shared" si="128"/>
        <v>0</v>
      </c>
      <c r="G71" s="506">
        <f t="shared" si="128"/>
        <v>0</v>
      </c>
      <c r="H71" s="1302">
        <f t="shared" si="128"/>
        <v>0</v>
      </c>
      <c r="I71" s="505">
        <f t="shared" si="128"/>
        <v>0</v>
      </c>
      <c r="J71" s="506">
        <f t="shared" si="128"/>
        <v>0</v>
      </c>
      <c r="K71" s="506">
        <f t="shared" si="128"/>
        <v>0</v>
      </c>
      <c r="L71" s="506">
        <f t="shared" si="128"/>
        <v>0</v>
      </c>
      <c r="M71" s="454">
        <f t="shared" si="128"/>
        <v>0</v>
      </c>
      <c r="N71" s="1136">
        <f t="shared" si="128"/>
        <v>0</v>
      </c>
      <c r="O71" s="506">
        <f t="shared" si="128"/>
        <v>0</v>
      </c>
      <c r="P71" s="506">
        <f t="shared" si="128"/>
        <v>0</v>
      </c>
      <c r="Q71" s="506">
        <f t="shared" si="128"/>
        <v>0</v>
      </c>
      <c r="R71" s="506">
        <f t="shared" si="128"/>
        <v>0</v>
      </c>
      <c r="S71" s="506">
        <f t="shared" si="128"/>
        <v>0</v>
      </c>
      <c r="T71" s="506">
        <f t="shared" si="128"/>
        <v>0</v>
      </c>
      <c r="U71" s="506">
        <f t="shared" si="128"/>
        <v>0</v>
      </c>
      <c r="V71" s="506">
        <f t="shared" si="128"/>
        <v>0</v>
      </c>
      <c r="W71" s="506">
        <f t="shared" si="128"/>
        <v>0</v>
      </c>
      <c r="X71" s="506">
        <f t="shared" si="128"/>
        <v>0</v>
      </c>
      <c r="Y71" s="506">
        <f t="shared" si="128"/>
        <v>0</v>
      </c>
      <c r="Z71" s="506">
        <f t="shared" si="128"/>
        <v>0</v>
      </c>
      <c r="AA71" s="506">
        <f t="shared" si="128"/>
        <v>0</v>
      </c>
      <c r="AB71" s="1636">
        <f t="shared" si="128"/>
        <v>0</v>
      </c>
      <c r="AC71" s="1266"/>
      <c r="AD71" s="1266"/>
      <c r="AE71" s="1266"/>
      <c r="AF71" s="1266"/>
    </row>
    <row r="72" spans="1:135" s="92" customFormat="1">
      <c r="A72" s="299"/>
      <c r="B72" s="4835"/>
      <c r="C72" s="1635" t="s">
        <v>71</v>
      </c>
      <c r="D72" s="1629">
        <f>SUMIF($C$49:$C$68,"Gross customer connections",D49:D71)</f>
        <v>0</v>
      </c>
      <c r="E72" s="506">
        <f t="shared" ref="E72:AB72" si="129">SUMIF($C$49:$C$68,"Gross customer connections",E49:E71)</f>
        <v>0</v>
      </c>
      <c r="F72" s="506">
        <f t="shared" si="129"/>
        <v>0</v>
      </c>
      <c r="G72" s="506">
        <f t="shared" si="129"/>
        <v>0</v>
      </c>
      <c r="H72" s="1302">
        <f t="shared" si="129"/>
        <v>0</v>
      </c>
      <c r="I72" s="505">
        <f t="shared" si="129"/>
        <v>0</v>
      </c>
      <c r="J72" s="506">
        <f t="shared" si="129"/>
        <v>0</v>
      </c>
      <c r="K72" s="506">
        <f t="shared" si="129"/>
        <v>0</v>
      </c>
      <c r="L72" s="506">
        <f t="shared" si="129"/>
        <v>0</v>
      </c>
      <c r="M72" s="454">
        <f t="shared" si="129"/>
        <v>0</v>
      </c>
      <c r="N72" s="1136">
        <f t="shared" si="129"/>
        <v>0</v>
      </c>
      <c r="O72" s="506">
        <f t="shared" si="129"/>
        <v>0</v>
      </c>
      <c r="P72" s="506">
        <f t="shared" si="129"/>
        <v>0</v>
      </c>
      <c r="Q72" s="506">
        <f t="shared" si="129"/>
        <v>0</v>
      </c>
      <c r="R72" s="506">
        <f t="shared" si="129"/>
        <v>0</v>
      </c>
      <c r="S72" s="506">
        <f t="shared" si="129"/>
        <v>0</v>
      </c>
      <c r="T72" s="506">
        <f t="shared" si="129"/>
        <v>0</v>
      </c>
      <c r="U72" s="506">
        <f t="shared" si="129"/>
        <v>0</v>
      </c>
      <c r="V72" s="506">
        <f t="shared" si="129"/>
        <v>0</v>
      </c>
      <c r="W72" s="506">
        <f t="shared" si="129"/>
        <v>0</v>
      </c>
      <c r="X72" s="506">
        <f t="shared" si="129"/>
        <v>0</v>
      </c>
      <c r="Y72" s="506">
        <f t="shared" si="129"/>
        <v>0</v>
      </c>
      <c r="Z72" s="506">
        <f t="shared" si="129"/>
        <v>0</v>
      </c>
      <c r="AA72" s="506">
        <f t="shared" si="129"/>
        <v>0</v>
      </c>
      <c r="AB72" s="1636">
        <f t="shared" si="129"/>
        <v>0</v>
      </c>
      <c r="AC72" s="1266"/>
      <c r="AD72" s="1266"/>
      <c r="AE72" s="1266"/>
      <c r="AF72" s="1266"/>
    </row>
    <row r="73" spans="1:135" s="92" customFormat="1" ht="13.5" thickBot="1">
      <c r="A73" s="299"/>
      <c r="B73" s="4836"/>
      <c r="C73" s="1637" t="s">
        <v>60</v>
      </c>
      <c r="D73" s="1690">
        <f>SUMIF($C$49:$C$68,"Gross customer disconnections",D49:D72)</f>
        <v>0</v>
      </c>
      <c r="E73" s="1639">
        <f t="shared" ref="E73:AB73" si="130">SUMIF($C$49:$C$68,"Gross customer disconnections",E49:E72)</f>
        <v>0</v>
      </c>
      <c r="F73" s="1639">
        <f t="shared" si="130"/>
        <v>0</v>
      </c>
      <c r="G73" s="1639">
        <f t="shared" si="130"/>
        <v>0</v>
      </c>
      <c r="H73" s="1640">
        <f t="shared" si="130"/>
        <v>0</v>
      </c>
      <c r="I73" s="1638">
        <f t="shared" si="130"/>
        <v>0</v>
      </c>
      <c r="J73" s="1639">
        <f t="shared" si="130"/>
        <v>0</v>
      </c>
      <c r="K73" s="1639">
        <f t="shared" si="130"/>
        <v>0</v>
      </c>
      <c r="L73" s="1639">
        <f t="shared" si="130"/>
        <v>0</v>
      </c>
      <c r="M73" s="1641">
        <f t="shared" si="130"/>
        <v>0</v>
      </c>
      <c r="N73" s="1642">
        <f t="shared" si="130"/>
        <v>0</v>
      </c>
      <c r="O73" s="1639">
        <f t="shared" si="130"/>
        <v>0</v>
      </c>
      <c r="P73" s="1639">
        <f t="shared" si="130"/>
        <v>0</v>
      </c>
      <c r="Q73" s="1639">
        <f t="shared" si="130"/>
        <v>0</v>
      </c>
      <c r="R73" s="1639">
        <f t="shared" si="130"/>
        <v>0</v>
      </c>
      <c r="S73" s="1639">
        <f t="shared" si="130"/>
        <v>0</v>
      </c>
      <c r="T73" s="1639">
        <f t="shared" si="130"/>
        <v>0</v>
      </c>
      <c r="U73" s="1639">
        <f t="shared" si="130"/>
        <v>0</v>
      </c>
      <c r="V73" s="1639">
        <f t="shared" si="130"/>
        <v>0</v>
      </c>
      <c r="W73" s="1639">
        <f t="shared" si="130"/>
        <v>0</v>
      </c>
      <c r="X73" s="1639">
        <f t="shared" si="130"/>
        <v>0</v>
      </c>
      <c r="Y73" s="1639">
        <f t="shared" si="130"/>
        <v>0</v>
      </c>
      <c r="Z73" s="1639">
        <f t="shared" si="130"/>
        <v>0</v>
      </c>
      <c r="AA73" s="1639">
        <f t="shared" si="130"/>
        <v>0</v>
      </c>
      <c r="AB73" s="1643">
        <f t="shared" si="130"/>
        <v>0</v>
      </c>
      <c r="AC73" s="1266"/>
      <c r="AD73" s="1266"/>
      <c r="AE73" s="1266"/>
      <c r="AF73" s="1266"/>
    </row>
    <row r="74" spans="1:135" customFormat="1" ht="47.25" customHeight="1" thickBot="1">
      <c r="B74" s="1266"/>
      <c r="D74" s="228"/>
      <c r="E74" s="228"/>
      <c r="F74" s="228"/>
      <c r="G74" s="228"/>
      <c r="H74" s="228"/>
      <c r="I74" s="228"/>
      <c r="J74" s="228"/>
      <c r="K74" s="228"/>
      <c r="L74" s="228"/>
      <c r="M74" s="228"/>
      <c r="N74" s="228"/>
      <c r="O74" s="228"/>
      <c r="P74" s="228"/>
      <c r="Q74" s="228"/>
      <c r="R74" s="228"/>
      <c r="S74" s="228"/>
      <c r="T74" s="228"/>
      <c r="U74" s="228"/>
      <c r="V74" s="228"/>
      <c r="W74" s="228"/>
      <c r="X74" s="228"/>
      <c r="Y74" s="228"/>
      <c r="Z74" s="228"/>
      <c r="AA74" s="228"/>
      <c r="AB74" s="228"/>
    </row>
    <row r="75" spans="1:135" s="92" customFormat="1" ht="18.75" customHeight="1" thickBot="1">
      <c r="A75" s="299"/>
      <c r="B75" s="1384" t="s">
        <v>559</v>
      </c>
      <c r="C75" s="1382"/>
      <c r="D75" s="1382"/>
      <c r="E75" s="1382"/>
      <c r="F75" s="1382"/>
      <c r="G75" s="1382"/>
      <c r="H75" s="1382"/>
      <c r="I75" s="1382"/>
      <c r="J75" s="1382"/>
      <c r="K75" s="1382"/>
      <c r="L75" s="1382"/>
      <c r="M75" s="1382"/>
      <c r="N75" s="1382"/>
      <c r="O75" s="1382"/>
      <c r="P75" s="1382"/>
      <c r="Q75" s="1382"/>
      <c r="R75" s="1382"/>
      <c r="S75" s="1382"/>
      <c r="T75" s="1382"/>
      <c r="U75" s="1382"/>
      <c r="V75" s="1382"/>
      <c r="W75" s="1382"/>
      <c r="X75" s="1382"/>
      <c r="Y75" s="1382"/>
      <c r="Z75" s="1382"/>
      <c r="AA75" s="1382"/>
      <c r="AB75" s="1383"/>
      <c r="AC75" s="1266"/>
      <c r="AD75" s="1266"/>
      <c r="AE75" s="1266"/>
      <c r="AF75" s="1266"/>
      <c r="DF75" s="1266"/>
      <c r="DG75" s="1266"/>
      <c r="DH75" s="1266"/>
      <c r="DI75" s="1266"/>
      <c r="DJ75" s="1266"/>
      <c r="DK75" s="1266"/>
      <c r="DL75" s="1266"/>
      <c r="DM75" s="1266"/>
      <c r="DN75" s="1266"/>
      <c r="DO75" s="1266"/>
      <c r="DP75" s="1266"/>
      <c r="DQ75" s="1266"/>
      <c r="DR75" s="1266"/>
      <c r="DS75" s="1266"/>
      <c r="DT75" s="1266"/>
      <c r="DU75" s="1266"/>
      <c r="DV75" s="1266"/>
      <c r="DW75" s="1266"/>
      <c r="DX75" s="1266"/>
      <c r="DY75" s="1266"/>
      <c r="DZ75" s="1266"/>
      <c r="EA75" s="1266"/>
      <c r="EB75" s="1266"/>
      <c r="EC75" s="1266"/>
      <c r="ED75" s="1266"/>
      <c r="EE75" s="1266"/>
    </row>
    <row r="76" spans="1:135" s="92" customFormat="1">
      <c r="A76" s="299"/>
      <c r="B76" s="4829" t="s">
        <v>194</v>
      </c>
      <c r="C76" s="4830"/>
      <c r="D76" s="787"/>
      <c r="E76" s="490">
        <f>D77</f>
        <v>0</v>
      </c>
      <c r="F76" s="490">
        <f t="shared" ref="F76:AB76" si="131">E77</f>
        <v>0</v>
      </c>
      <c r="G76" s="490">
        <f>E77</f>
        <v>0</v>
      </c>
      <c r="H76" s="490">
        <f>F77</f>
        <v>0</v>
      </c>
      <c r="I76" s="490">
        <f t="shared" si="131"/>
        <v>0</v>
      </c>
      <c r="J76" s="490">
        <f t="shared" si="131"/>
        <v>0</v>
      </c>
      <c r="K76" s="490">
        <f t="shared" si="131"/>
        <v>0</v>
      </c>
      <c r="L76" s="490">
        <f t="shared" si="131"/>
        <v>0</v>
      </c>
      <c r="M76" s="491">
        <f t="shared" si="131"/>
        <v>0</v>
      </c>
      <c r="N76" s="538">
        <f t="shared" si="131"/>
        <v>0</v>
      </c>
      <c r="O76" s="490">
        <f t="shared" si="131"/>
        <v>0</v>
      </c>
      <c r="P76" s="490">
        <f t="shared" si="131"/>
        <v>0</v>
      </c>
      <c r="Q76" s="490">
        <f t="shared" si="131"/>
        <v>0</v>
      </c>
      <c r="R76" s="490">
        <f t="shared" si="131"/>
        <v>0</v>
      </c>
      <c r="S76" s="490">
        <f t="shared" si="131"/>
        <v>0</v>
      </c>
      <c r="T76" s="490">
        <f t="shared" si="131"/>
        <v>0</v>
      </c>
      <c r="U76" s="490">
        <f t="shared" si="131"/>
        <v>0</v>
      </c>
      <c r="V76" s="490">
        <f t="shared" si="131"/>
        <v>0</v>
      </c>
      <c r="W76" s="490">
        <f t="shared" si="131"/>
        <v>0</v>
      </c>
      <c r="X76" s="490">
        <f t="shared" si="131"/>
        <v>0</v>
      </c>
      <c r="Y76" s="490">
        <f t="shared" si="131"/>
        <v>0</v>
      </c>
      <c r="Z76" s="490">
        <f t="shared" si="131"/>
        <v>0</v>
      </c>
      <c r="AA76" s="490">
        <f t="shared" si="131"/>
        <v>0</v>
      </c>
      <c r="AB76" s="491">
        <f t="shared" si="131"/>
        <v>0</v>
      </c>
      <c r="AC76"/>
      <c r="AD76"/>
      <c r="AE76"/>
      <c r="AF76"/>
    </row>
    <row r="77" spans="1:135" s="92" customFormat="1">
      <c r="A77" s="299"/>
      <c r="B77" s="4827" t="s">
        <v>193</v>
      </c>
      <c r="C77" s="4828"/>
      <c r="D77" s="738"/>
      <c r="E77" s="708"/>
      <c r="F77" s="708"/>
      <c r="G77" s="708"/>
      <c r="H77" s="708"/>
      <c r="I77" s="738"/>
      <c r="J77" s="708"/>
      <c r="K77" s="708"/>
      <c r="L77" s="708"/>
      <c r="M77" s="790"/>
      <c r="N77" s="786"/>
      <c r="O77" s="708"/>
      <c r="P77" s="708"/>
      <c r="Q77" s="708"/>
      <c r="R77" s="708"/>
      <c r="S77" s="708"/>
      <c r="T77" s="708"/>
      <c r="U77" s="708"/>
      <c r="V77" s="708"/>
      <c r="W77" s="708"/>
      <c r="X77" s="708"/>
      <c r="Y77" s="708"/>
      <c r="Z77" s="708"/>
      <c r="AA77" s="708"/>
      <c r="AB77" s="790"/>
      <c r="AC77"/>
      <c r="AD77"/>
      <c r="AE77"/>
      <c r="AF77"/>
    </row>
    <row r="78" spans="1:135" s="92" customFormat="1">
      <c r="A78" s="299"/>
      <c r="B78" s="4827" t="s">
        <v>70</v>
      </c>
      <c r="C78" s="4828"/>
      <c r="D78" s="489">
        <f t="shared" ref="D78:AB78" si="132">IF(ISERROR(AVERAGE(D76:D77)),0,AVERAGE(D76:D77))</f>
        <v>0</v>
      </c>
      <c r="E78" s="490">
        <f t="shared" si="132"/>
        <v>0</v>
      </c>
      <c r="F78" s="490">
        <f t="shared" si="132"/>
        <v>0</v>
      </c>
      <c r="G78" s="490">
        <f t="shared" ref="G78" si="133">IF(ISERROR(AVERAGE(G76:G77)),0,AVERAGE(G76:G77))</f>
        <v>0</v>
      </c>
      <c r="H78" s="490">
        <f t="shared" si="132"/>
        <v>0</v>
      </c>
      <c r="I78" s="489">
        <f t="shared" si="132"/>
        <v>0</v>
      </c>
      <c r="J78" s="490">
        <f t="shared" si="132"/>
        <v>0</v>
      </c>
      <c r="K78" s="490">
        <f t="shared" si="132"/>
        <v>0</v>
      </c>
      <c r="L78" s="490">
        <f t="shared" si="132"/>
        <v>0</v>
      </c>
      <c r="M78" s="491">
        <f t="shared" si="132"/>
        <v>0</v>
      </c>
      <c r="N78" s="538">
        <f t="shared" si="132"/>
        <v>0</v>
      </c>
      <c r="O78" s="490">
        <f t="shared" si="132"/>
        <v>0</v>
      </c>
      <c r="P78" s="490">
        <f t="shared" si="132"/>
        <v>0</v>
      </c>
      <c r="Q78" s="490">
        <f t="shared" si="132"/>
        <v>0</v>
      </c>
      <c r="R78" s="490">
        <f t="shared" si="132"/>
        <v>0</v>
      </c>
      <c r="S78" s="490">
        <f t="shared" si="132"/>
        <v>0</v>
      </c>
      <c r="T78" s="490">
        <f t="shared" si="132"/>
        <v>0</v>
      </c>
      <c r="U78" s="490">
        <f t="shared" si="132"/>
        <v>0</v>
      </c>
      <c r="V78" s="490">
        <f t="shared" si="132"/>
        <v>0</v>
      </c>
      <c r="W78" s="490">
        <f t="shared" si="132"/>
        <v>0</v>
      </c>
      <c r="X78" s="490">
        <f t="shared" si="132"/>
        <v>0</v>
      </c>
      <c r="Y78" s="490">
        <f t="shared" si="132"/>
        <v>0</v>
      </c>
      <c r="Z78" s="490">
        <f t="shared" si="132"/>
        <v>0</v>
      </c>
      <c r="AA78" s="490">
        <f t="shared" si="132"/>
        <v>0</v>
      </c>
      <c r="AB78" s="491">
        <f t="shared" si="132"/>
        <v>0</v>
      </c>
      <c r="AC78"/>
      <c r="AD78"/>
      <c r="AE78"/>
      <c r="AF78"/>
    </row>
    <row r="79" spans="1:135" s="92" customFormat="1">
      <c r="A79" s="299"/>
      <c r="B79" s="4827" t="s">
        <v>71</v>
      </c>
      <c r="C79" s="4828"/>
      <c r="D79" s="738"/>
      <c r="E79" s="708"/>
      <c r="F79" s="708"/>
      <c r="G79" s="708"/>
      <c r="H79" s="708"/>
      <c r="I79" s="738"/>
      <c r="J79" s="708"/>
      <c r="K79" s="708"/>
      <c r="L79" s="708"/>
      <c r="M79" s="790"/>
      <c r="N79" s="786"/>
      <c r="O79" s="708"/>
      <c r="P79" s="708"/>
      <c r="Q79" s="708"/>
      <c r="R79" s="708"/>
      <c r="S79" s="708"/>
      <c r="T79" s="708"/>
      <c r="U79" s="708"/>
      <c r="V79" s="708"/>
      <c r="W79" s="708"/>
      <c r="X79" s="708"/>
      <c r="Y79" s="708"/>
      <c r="Z79" s="708"/>
      <c r="AA79" s="708"/>
      <c r="AB79" s="790"/>
      <c r="AC79"/>
      <c r="AD79"/>
      <c r="AE79"/>
      <c r="AF79"/>
    </row>
    <row r="80" spans="1:135" s="92" customFormat="1" ht="13.5" thickBot="1">
      <c r="A80" s="299"/>
      <c r="B80" s="4825" t="s">
        <v>60</v>
      </c>
      <c r="C80" s="4826"/>
      <c r="D80" s="791"/>
      <c r="E80" s="792"/>
      <c r="F80" s="792"/>
      <c r="G80" s="792"/>
      <c r="H80" s="792"/>
      <c r="I80" s="791"/>
      <c r="J80" s="792"/>
      <c r="K80" s="792"/>
      <c r="L80" s="792"/>
      <c r="M80" s="793"/>
      <c r="N80" s="795"/>
      <c r="O80" s="792"/>
      <c r="P80" s="792"/>
      <c r="Q80" s="792"/>
      <c r="R80" s="792"/>
      <c r="S80" s="792"/>
      <c r="T80" s="792"/>
      <c r="U80" s="792"/>
      <c r="V80" s="792"/>
      <c r="W80" s="792"/>
      <c r="X80" s="792"/>
      <c r="Y80" s="792"/>
      <c r="Z80" s="792"/>
      <c r="AA80" s="792"/>
      <c r="AB80" s="793"/>
      <c r="AC80"/>
      <c r="AD80"/>
      <c r="AE80"/>
      <c r="AF80"/>
    </row>
    <row r="81" spans="1:32" ht="44.25" customHeight="1" thickBot="1">
      <c r="A81" s="725"/>
      <c r="B81" s="1560"/>
      <c r="C81" s="1460" t="s">
        <v>127</v>
      </c>
      <c r="D81" s="1255"/>
      <c r="E81" s="1256"/>
      <c r="F81" s="1256"/>
      <c r="G81" s="1256"/>
      <c r="H81" s="1256"/>
      <c r="I81" s="1256"/>
      <c r="J81" s="1256"/>
      <c r="K81" s="1256"/>
      <c r="L81" s="1256"/>
      <c r="M81" s="1256"/>
      <c r="N81" s="1256"/>
      <c r="O81" s="1256"/>
      <c r="P81" s="1256"/>
      <c r="Q81" s="1256"/>
      <c r="R81" s="1256"/>
      <c r="S81" s="1256"/>
      <c r="T81" s="1256"/>
      <c r="U81" s="1256"/>
      <c r="V81" s="1256"/>
      <c r="W81" s="1256"/>
      <c r="X81" s="1256"/>
      <c r="Y81" s="1256"/>
      <c r="Z81" s="1256"/>
      <c r="AA81" s="1256"/>
      <c r="AB81" s="1257"/>
      <c r="AF81"/>
    </row>
  </sheetData>
  <mergeCells count="26">
    <mergeCell ref="B10:G10"/>
    <mergeCell ref="B7:G7"/>
    <mergeCell ref="B8:G8"/>
    <mergeCell ref="B9:G9"/>
    <mergeCell ref="D17:H17"/>
    <mergeCell ref="B17:C20"/>
    <mergeCell ref="I17:M17"/>
    <mergeCell ref="N17:AB17"/>
    <mergeCell ref="D18:AB18"/>
    <mergeCell ref="G19:AB19"/>
    <mergeCell ref="D19:F19"/>
    <mergeCell ref="B23:B27"/>
    <mergeCell ref="B28:B32"/>
    <mergeCell ref="B33:B37"/>
    <mergeCell ref="B38:B42"/>
    <mergeCell ref="B43:B47"/>
    <mergeCell ref="B59:B63"/>
    <mergeCell ref="B64:B68"/>
    <mergeCell ref="B49:B53"/>
    <mergeCell ref="B54:B58"/>
    <mergeCell ref="B69:B73"/>
    <mergeCell ref="B80:C80"/>
    <mergeCell ref="B79:C79"/>
    <mergeCell ref="B78:C78"/>
    <mergeCell ref="B77:C77"/>
    <mergeCell ref="B76:C76"/>
  </mergeCells>
  <pageMargins left="0.75" right="0.75" top="1" bottom="1" header="0.5" footer="0.5"/>
  <pageSetup paperSize="9" orientation="portrait" r:id="rId1"/>
  <headerFooter alignWithMargins="0"/>
  <customProperties>
    <customPr name="layoutContexts" r:id="rId2"/>
  </customProperties>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theme="8" tint="-0.499984740745262"/>
    <pageSetUpPr autoPageBreaks="0"/>
  </sheetPr>
  <dimension ref="A1:AQ96"/>
  <sheetViews>
    <sheetView showGridLines="0" zoomScale="55" zoomScaleNormal="55" workbookViewId="0"/>
  </sheetViews>
  <sheetFormatPr defaultColWidth="9.140625" defaultRowHeight="15"/>
  <cols>
    <col min="1" max="1" width="36.28515625" style="2275" customWidth="1"/>
    <col min="2" max="2" width="44.5703125" style="2276" customWidth="1"/>
    <col min="3" max="3" width="21.85546875" style="2276" customWidth="1"/>
    <col min="4" max="4" width="33.42578125" style="2276" customWidth="1"/>
    <col min="5" max="7" width="17.28515625" style="2276" customWidth="1"/>
    <col min="8" max="9" width="13.28515625" style="2276" customWidth="1"/>
    <col min="10" max="10" width="20.140625" style="2274" customWidth="1"/>
    <col min="11" max="12" width="9.140625" style="2274"/>
    <col min="13" max="13" width="11.42578125" style="2274" customWidth="1"/>
    <col min="14" max="14" width="9.85546875" style="2274" customWidth="1"/>
    <col min="15" max="15" width="9.140625" style="2368"/>
    <col min="16" max="19" width="9.140625" style="2274"/>
    <col min="20" max="22" width="17.28515625" style="2276" customWidth="1"/>
    <col min="23" max="24" width="13.28515625" style="2276" customWidth="1"/>
    <col min="25" max="39" width="9.140625" style="2276"/>
    <col min="40" max="40" width="37" style="2276" customWidth="1"/>
    <col min="41" max="16384" width="9.140625" style="2276"/>
  </cols>
  <sheetData>
    <row r="1" spans="2:43" ht="24" customHeight="1">
      <c r="B1" s="2272" t="str">
        <f>IF(dms_DataQuality="backcast",INDEX(dms_Worksheet_List,MATCH(dms_Model,dms_Model_List))&amp;" BACKCAST",INDEX(dms_Worksheet_List,MATCH(dms_Model,dms_Model_List)))</f>
        <v>REGULATORY REPORTING STATEMENT</v>
      </c>
      <c r="C1" s="2273"/>
      <c r="D1" s="2273"/>
      <c r="E1" s="2273"/>
      <c r="F1" s="2273"/>
      <c r="G1" s="2273"/>
      <c r="H1" s="2273"/>
      <c r="I1" s="2273"/>
      <c r="M1" s="2275"/>
      <c r="N1" s="2275"/>
      <c r="O1" s="2275"/>
      <c r="P1" s="2275"/>
      <c r="Q1" s="2275"/>
      <c r="R1" s="2275"/>
      <c r="S1" s="2275"/>
      <c r="T1" s="2275"/>
      <c r="U1" s="2275"/>
      <c r="V1" s="2275"/>
      <c r="W1" s="2275"/>
      <c r="X1" s="2275"/>
      <c r="Y1" s="2275"/>
      <c r="Z1" s="2275"/>
      <c r="AA1" s="2275"/>
      <c r="AB1" s="2275"/>
      <c r="AC1" s="2275"/>
      <c r="AD1" s="2275"/>
      <c r="AE1" s="2275"/>
      <c r="AF1" s="2275"/>
      <c r="AG1" s="2275"/>
      <c r="AH1" s="2275"/>
      <c r="AI1" s="2275"/>
      <c r="AJ1" s="2275"/>
      <c r="AK1" s="2275"/>
      <c r="AL1" s="2275"/>
      <c r="AM1" s="2275"/>
      <c r="AN1" s="2275"/>
      <c r="AO1" s="2275"/>
      <c r="AP1" s="2275"/>
      <c r="AQ1" s="2275"/>
    </row>
    <row r="2" spans="2:43" ht="24" customHeight="1">
      <c r="B2" s="2277" t="str">
        <f>INDEX(dms_TradingNameFull_List,MATCH(dms_TradingName,dms_TradingName_List))</f>
        <v>Multinet Gas (DB No.1) Pty Ltd (ACN 086 026 986), Multinet Gas (DB No.2) Pty Ltd (ACN 086 230 122)</v>
      </c>
      <c r="C2" s="2273"/>
      <c r="D2" s="2273"/>
      <c r="E2" s="2273"/>
      <c r="F2" s="2273"/>
      <c r="G2" s="2273"/>
      <c r="H2" s="2273"/>
      <c r="I2" s="2273"/>
      <c r="M2" s="2275"/>
      <c r="N2" s="2275"/>
      <c r="O2" s="2275"/>
      <c r="P2" s="2275"/>
      <c r="Q2" s="2275"/>
      <c r="R2" s="2275"/>
      <c r="S2" s="2275"/>
      <c r="T2" s="2275"/>
      <c r="U2" s="2275"/>
      <c r="V2" s="2275"/>
      <c r="W2" s="2275"/>
      <c r="X2" s="2275"/>
      <c r="Y2" s="2275"/>
      <c r="Z2" s="2275"/>
      <c r="AA2" s="2275"/>
      <c r="AB2" s="2275"/>
      <c r="AC2" s="2275"/>
      <c r="AD2" s="2275"/>
      <c r="AE2" s="2275"/>
      <c r="AF2" s="2275"/>
      <c r="AG2" s="2275"/>
      <c r="AH2" s="2275"/>
      <c r="AI2" s="2275"/>
      <c r="AJ2" s="2275"/>
      <c r="AK2" s="2275"/>
      <c r="AL2" s="2275"/>
      <c r="AM2" s="2275"/>
      <c r="AN2" s="2275"/>
      <c r="AO2" s="2275"/>
      <c r="AP2" s="2275"/>
      <c r="AQ2" s="2275"/>
    </row>
    <row r="3" spans="2:43" ht="24" customHeight="1">
      <c r="B3" s="2277" t="str">
        <f ca="1">IF(SUM(dms_SingleYear_Model)&gt;0,CRY,CONCATENATE(FRCP_y1," to ",dms_MultiYear_FinalYear_Result))</f>
        <v>2018 to 2022</v>
      </c>
      <c r="C3" s="2278"/>
      <c r="D3" s="2279"/>
      <c r="E3" s="2279"/>
      <c r="F3" s="2279"/>
      <c r="G3" s="2279"/>
      <c r="H3" s="2279"/>
      <c r="I3" s="2279"/>
      <c r="M3" s="2275"/>
      <c r="N3" s="2275"/>
      <c r="O3" s="2275"/>
      <c r="P3" s="2275"/>
      <c r="Q3" s="2275"/>
      <c r="R3" s="2275"/>
      <c r="S3" s="2275"/>
      <c r="T3" s="2275"/>
      <c r="U3" s="2275"/>
      <c r="V3" s="2275"/>
      <c r="W3" s="2275"/>
      <c r="X3" s="2275"/>
      <c r="Y3" s="2275"/>
      <c r="Z3" s="2275"/>
      <c r="AA3" s="2275"/>
      <c r="AB3" s="2275"/>
      <c r="AC3" s="2275"/>
      <c r="AD3" s="2275"/>
      <c r="AE3" s="2275"/>
      <c r="AF3" s="2275"/>
      <c r="AG3" s="2275"/>
      <c r="AH3" s="2275"/>
      <c r="AI3" s="2275"/>
      <c r="AJ3" s="2275"/>
      <c r="AK3" s="2275"/>
      <c r="AL3" s="2275"/>
      <c r="AM3" s="2275"/>
      <c r="AN3" s="2275"/>
      <c r="AO3" s="2275"/>
      <c r="AP3" s="2275"/>
      <c r="AQ3" s="2275"/>
    </row>
    <row r="4" spans="2:43" ht="24" customHeight="1">
      <c r="B4" s="2280" t="s">
        <v>571</v>
      </c>
      <c r="C4" s="2280"/>
      <c r="D4" s="2280"/>
      <c r="E4" s="2280"/>
      <c r="F4" s="2280"/>
      <c r="G4" s="2280"/>
      <c r="H4" s="2280"/>
      <c r="I4" s="2280"/>
      <c r="M4" s="2275"/>
      <c r="N4" s="2275"/>
      <c r="O4" s="2275"/>
      <c r="P4" s="2275"/>
      <c r="Q4" s="2275"/>
      <c r="R4" s="2275"/>
      <c r="S4" s="2275"/>
      <c r="T4" s="2275"/>
      <c r="U4" s="2275"/>
      <c r="V4" s="2275"/>
      <c r="W4" s="2275"/>
      <c r="X4" s="2275"/>
      <c r="Y4" s="2275"/>
      <c r="Z4" s="2275"/>
      <c r="AA4" s="2275"/>
      <c r="AB4" s="2275"/>
      <c r="AC4" s="2275"/>
      <c r="AD4" s="2275"/>
      <c r="AE4" s="2275"/>
      <c r="AF4" s="2275"/>
      <c r="AG4" s="2275"/>
      <c r="AH4" s="2275"/>
      <c r="AI4" s="2275"/>
      <c r="AJ4" s="2275"/>
      <c r="AK4" s="2275"/>
      <c r="AL4" s="2275"/>
      <c r="AM4" s="2275"/>
      <c r="AN4" s="2275"/>
      <c r="AO4" s="2275"/>
      <c r="AP4" s="2275"/>
      <c r="AQ4" s="2275"/>
    </row>
    <row r="5" spans="2:43">
      <c r="B5" s="2281"/>
      <c r="M5" s="2275"/>
      <c r="N5" s="2275"/>
      <c r="O5" s="2275"/>
      <c r="P5" s="2275"/>
      <c r="Q5" s="2275"/>
      <c r="R5" s="2275"/>
      <c r="S5" s="2275"/>
      <c r="T5" s="2275"/>
      <c r="U5" s="2275"/>
      <c r="V5" s="2275"/>
      <c r="W5" s="2275"/>
      <c r="X5" s="2275"/>
      <c r="Y5" s="2275"/>
      <c r="Z5" s="2275"/>
      <c r="AA5" s="2275"/>
      <c r="AB5" s="2275"/>
      <c r="AC5" s="2275"/>
      <c r="AD5" s="2275"/>
      <c r="AE5" s="2275"/>
      <c r="AF5" s="2275"/>
      <c r="AG5" s="2275"/>
      <c r="AH5" s="2275"/>
      <c r="AI5" s="2275"/>
      <c r="AJ5" s="2275"/>
      <c r="AK5" s="2275"/>
      <c r="AL5" s="2275"/>
      <c r="AM5" s="2275"/>
      <c r="AN5" s="2275"/>
      <c r="AO5" s="2275"/>
      <c r="AP5" s="2275"/>
      <c r="AQ5" s="2275"/>
    </row>
    <row r="6" spans="2:43">
      <c r="B6" s="2281"/>
      <c r="M6" s="2275"/>
      <c r="N6" s="2275"/>
      <c r="O6" s="2275"/>
      <c r="P6" s="2275"/>
      <c r="Q6" s="2275"/>
      <c r="R6" s="2275"/>
      <c r="S6" s="2275"/>
      <c r="T6" s="2275"/>
      <c r="U6" s="2275"/>
      <c r="V6" s="2275"/>
      <c r="W6" s="2275"/>
      <c r="X6" s="2275"/>
      <c r="Y6" s="2275"/>
      <c r="Z6" s="2275"/>
      <c r="AA6" s="2275"/>
      <c r="AB6" s="2275"/>
      <c r="AC6" s="2275"/>
      <c r="AD6" s="2275"/>
      <c r="AE6" s="2275"/>
      <c r="AF6" s="2275"/>
      <c r="AG6" s="2275"/>
      <c r="AH6" s="2275"/>
      <c r="AI6" s="2275"/>
      <c r="AJ6" s="2275"/>
      <c r="AK6" s="2275"/>
      <c r="AL6" s="2275"/>
      <c r="AM6" s="2275"/>
      <c r="AN6" s="2275"/>
      <c r="AO6" s="2275"/>
      <c r="AP6" s="2275"/>
      <c r="AQ6" s="2275"/>
    </row>
    <row r="7" spans="2:43">
      <c r="B7" s="2282" t="s">
        <v>61</v>
      </c>
      <c r="C7" s="2283"/>
      <c r="D7" s="2283"/>
      <c r="E7" s="2283"/>
      <c r="F7" s="2283"/>
      <c r="G7" s="2283"/>
      <c r="H7" s="2283"/>
      <c r="I7" s="2283"/>
      <c r="M7" s="2275"/>
      <c r="N7" s="2275"/>
      <c r="O7" s="2275"/>
      <c r="P7" s="2275"/>
      <c r="Q7" s="2275"/>
      <c r="R7" s="2275"/>
      <c r="S7" s="2275"/>
      <c r="T7" s="2275"/>
      <c r="U7" s="2275"/>
      <c r="V7" s="2275"/>
      <c r="W7" s="2275"/>
      <c r="X7" s="2275"/>
      <c r="Y7" s="2275"/>
      <c r="Z7" s="2275"/>
      <c r="AA7" s="2275"/>
      <c r="AB7" s="2275"/>
      <c r="AC7" s="2275"/>
      <c r="AD7" s="2275"/>
      <c r="AE7" s="2275"/>
      <c r="AF7" s="2275"/>
      <c r="AG7" s="2275"/>
      <c r="AH7" s="2275"/>
      <c r="AI7" s="2275"/>
      <c r="AJ7" s="2275"/>
      <c r="AK7" s="2275"/>
      <c r="AL7" s="2275"/>
      <c r="AM7" s="2275"/>
      <c r="AN7" s="2275"/>
      <c r="AO7" s="2275"/>
      <c r="AP7" s="2275"/>
      <c r="AQ7" s="2275"/>
    </row>
    <row r="8" spans="2:43" ht="38.25" customHeight="1">
      <c r="B8" s="4066" t="s">
        <v>773</v>
      </c>
      <c r="C8" s="4067"/>
      <c r="D8" s="4066"/>
      <c r="E8" s="4066"/>
      <c r="F8" s="4066"/>
      <c r="G8" s="4066"/>
      <c r="H8" s="4066"/>
      <c r="I8" s="4066"/>
      <c r="M8" s="2275"/>
      <c r="N8" s="2275"/>
      <c r="O8" s="2275"/>
      <c r="P8" s="2275"/>
      <c r="Q8" s="2275"/>
      <c r="R8" s="2275"/>
      <c r="S8" s="2275"/>
      <c r="T8" s="2275"/>
      <c r="U8" s="2275"/>
      <c r="V8" s="2275"/>
      <c r="W8" s="2275"/>
      <c r="X8" s="2275"/>
      <c r="Y8" s="2275"/>
      <c r="Z8" s="2275"/>
      <c r="AA8" s="2275"/>
      <c r="AB8" s="2275"/>
      <c r="AC8" s="2275"/>
      <c r="AD8" s="2275"/>
      <c r="AE8" s="2275"/>
      <c r="AF8" s="2275"/>
      <c r="AG8" s="2275"/>
      <c r="AH8" s="2275"/>
      <c r="AI8" s="2275"/>
      <c r="AJ8" s="2275"/>
      <c r="AK8" s="2275"/>
      <c r="AL8" s="2275"/>
      <c r="AM8" s="2275"/>
      <c r="AN8" s="2275"/>
      <c r="AO8" s="2275"/>
      <c r="AP8" s="2275"/>
      <c r="AQ8" s="2275"/>
    </row>
    <row r="9" spans="2:43">
      <c r="B9" s="2284"/>
      <c r="C9" s="2285"/>
      <c r="D9" s="2285"/>
      <c r="E9" s="2285"/>
      <c r="F9" s="2285"/>
      <c r="G9" s="2285"/>
      <c r="H9" s="2285"/>
      <c r="I9" s="2285"/>
      <c r="M9" s="2275"/>
      <c r="N9" s="2275"/>
      <c r="O9" s="2275"/>
      <c r="P9" s="2275"/>
      <c r="Q9" s="2275"/>
      <c r="R9" s="2275"/>
      <c r="S9" s="2275"/>
      <c r="T9" s="2275"/>
      <c r="U9" s="2275"/>
      <c r="V9" s="2275"/>
      <c r="W9" s="2275"/>
      <c r="X9" s="2275"/>
      <c r="Y9" s="2275"/>
      <c r="Z9" s="2275"/>
      <c r="AA9" s="2275"/>
      <c r="AB9" s="2275"/>
      <c r="AC9" s="2275"/>
      <c r="AD9" s="2275"/>
      <c r="AE9" s="2275"/>
      <c r="AF9" s="2275"/>
      <c r="AG9" s="2275"/>
      <c r="AH9" s="2275"/>
      <c r="AI9" s="2275"/>
      <c r="AJ9" s="2275"/>
      <c r="AK9" s="2275"/>
      <c r="AL9" s="2275"/>
      <c r="AM9" s="2275"/>
      <c r="AN9" s="2275"/>
      <c r="AO9" s="2275"/>
      <c r="AP9" s="2275"/>
      <c r="AQ9" s="2275"/>
    </row>
    <row r="10" spans="2:43" ht="15.75">
      <c r="B10" s="2286" t="s">
        <v>570</v>
      </c>
      <c r="C10" s="2286"/>
      <c r="D10" s="2286"/>
      <c r="E10" s="2286"/>
      <c r="F10" s="2286"/>
      <c r="G10" s="2286"/>
      <c r="H10" s="2286"/>
      <c r="I10" s="2286"/>
      <c r="M10" s="2275"/>
      <c r="N10" s="2275"/>
      <c r="O10" s="2275"/>
      <c r="P10" s="2275"/>
      <c r="Q10" s="2275"/>
      <c r="R10" s="2275"/>
      <c r="S10" s="2275"/>
      <c r="T10" s="2275"/>
      <c r="U10" s="2275"/>
      <c r="V10" s="2275"/>
      <c r="W10" s="2275"/>
      <c r="X10" s="2275"/>
      <c r="Y10" s="2275"/>
      <c r="Z10" s="2275"/>
      <c r="AA10" s="2275"/>
      <c r="AB10" s="2275"/>
      <c r="AC10" s="2275"/>
      <c r="AD10" s="2275"/>
      <c r="AE10" s="2275"/>
      <c r="AF10" s="2275"/>
      <c r="AG10" s="2275"/>
      <c r="AH10" s="2275"/>
      <c r="AI10" s="2275"/>
      <c r="AJ10" s="2275"/>
      <c r="AK10" s="2275"/>
      <c r="AL10" s="2275"/>
      <c r="AM10" s="2275"/>
      <c r="AN10" s="2275"/>
      <c r="AO10" s="2275"/>
      <c r="AP10" s="2275"/>
      <c r="AQ10" s="2275"/>
    </row>
    <row r="11" spans="2:43" ht="15.75" thickBot="1">
      <c r="B11" s="2287"/>
      <c r="C11" s="2287"/>
      <c r="D11" s="2287"/>
      <c r="E11" s="2287"/>
      <c r="F11" s="2287"/>
      <c r="G11" s="2287"/>
      <c r="H11" s="2287"/>
      <c r="I11" s="2287"/>
      <c r="M11" s="2275"/>
      <c r="N11" s="2275"/>
      <c r="O11" s="2275"/>
      <c r="P11" s="2275"/>
      <c r="Q11" s="2275"/>
      <c r="R11" s="2275"/>
      <c r="S11" s="2275"/>
      <c r="T11" s="2275"/>
      <c r="U11" s="2275"/>
      <c r="V11" s="2275"/>
      <c r="W11" s="2275"/>
      <c r="X11" s="2275"/>
      <c r="Y11" s="2275"/>
      <c r="Z11" s="2275"/>
      <c r="AA11" s="2275"/>
      <c r="AB11" s="2275"/>
      <c r="AC11" s="2275"/>
      <c r="AD11" s="2275"/>
      <c r="AE11" s="2275"/>
      <c r="AF11" s="2275"/>
      <c r="AG11" s="2275"/>
      <c r="AH11" s="2275"/>
      <c r="AI11" s="2275"/>
      <c r="AJ11" s="2275"/>
      <c r="AK11" s="2275"/>
      <c r="AL11" s="2275"/>
      <c r="AM11" s="2275"/>
      <c r="AN11" s="2275"/>
      <c r="AO11" s="2275"/>
      <c r="AP11" s="2275"/>
      <c r="AQ11" s="2275"/>
    </row>
    <row r="12" spans="2:43" ht="20.25">
      <c r="B12" s="4068" t="s">
        <v>774</v>
      </c>
      <c r="C12" s="4069"/>
      <c r="D12" s="4069"/>
      <c r="E12" s="4069"/>
      <c r="F12" s="4069"/>
      <c r="G12" s="4069"/>
      <c r="H12" s="4069"/>
      <c r="I12" s="4070"/>
      <c r="M12" s="2275"/>
      <c r="N12" s="2275"/>
      <c r="O12" s="2275"/>
      <c r="P12" s="2275"/>
      <c r="Q12" s="2275"/>
      <c r="R12" s="2275"/>
      <c r="S12" s="2275"/>
      <c r="T12" s="2275"/>
      <c r="U12" s="2275"/>
      <c r="V12" s="2275"/>
      <c r="W12" s="2275"/>
      <c r="X12" s="2275"/>
      <c r="Y12" s="2275"/>
      <c r="Z12" s="2275"/>
      <c r="AA12" s="2275"/>
      <c r="AB12" s="2275"/>
      <c r="AC12" s="2275"/>
      <c r="AD12" s="2275"/>
      <c r="AE12" s="2275"/>
      <c r="AF12" s="2275"/>
      <c r="AG12" s="2275"/>
      <c r="AH12" s="2275"/>
      <c r="AI12" s="2275"/>
      <c r="AJ12" s="2275"/>
      <c r="AK12" s="2275"/>
      <c r="AL12" s="2275"/>
      <c r="AM12" s="2275"/>
      <c r="AN12" s="2275"/>
      <c r="AO12" s="2275"/>
      <c r="AP12" s="2275"/>
      <c r="AQ12" s="2275"/>
    </row>
    <row r="13" spans="2:43" ht="20.25">
      <c r="B13" s="2288"/>
      <c r="C13" s="2289"/>
      <c r="D13" s="2289"/>
      <c r="E13" s="2290"/>
      <c r="F13" s="2290"/>
      <c r="G13" s="2290"/>
      <c r="H13" s="2290"/>
      <c r="I13" s="2291"/>
      <c r="M13" s="2275"/>
      <c r="N13" s="2275"/>
      <c r="O13" s="2275"/>
      <c r="P13" s="2275"/>
      <c r="Q13" s="2275"/>
      <c r="R13" s="2275"/>
      <c r="S13" s="2275"/>
      <c r="T13" s="2275"/>
      <c r="U13" s="2275"/>
      <c r="V13" s="2275"/>
      <c r="W13" s="2275"/>
      <c r="X13" s="2275"/>
      <c r="Y13" s="2275"/>
      <c r="Z13" s="2275"/>
      <c r="AA13" s="2275"/>
      <c r="AB13" s="2275"/>
      <c r="AC13" s="2275"/>
      <c r="AD13" s="2275"/>
      <c r="AE13" s="2275"/>
      <c r="AF13" s="2275"/>
      <c r="AG13" s="2275"/>
      <c r="AH13" s="2275"/>
      <c r="AI13" s="2275"/>
      <c r="AJ13" s="2275"/>
      <c r="AK13" s="2275"/>
      <c r="AL13" s="2275"/>
      <c r="AM13" s="2275"/>
      <c r="AN13" s="2275"/>
      <c r="AO13" s="2275"/>
      <c r="AP13" s="2275"/>
      <c r="AQ13" s="2275"/>
    </row>
    <row r="14" spans="2:43" ht="15.75">
      <c r="B14" s="2292" t="s">
        <v>775</v>
      </c>
      <c r="C14" s="4053" t="s">
        <v>1040</v>
      </c>
      <c r="D14" s="4054"/>
      <c r="E14" s="4054"/>
      <c r="F14" s="2293" t="s">
        <v>776</v>
      </c>
      <c r="G14" s="2290"/>
      <c r="H14" s="2290"/>
      <c r="I14" s="2291"/>
      <c r="M14" s="2275"/>
      <c r="N14" s="2275"/>
      <c r="O14" s="2275"/>
      <c r="P14" s="2275"/>
      <c r="Q14" s="2275"/>
      <c r="R14" s="2275"/>
      <c r="S14" s="2275"/>
      <c r="T14" s="2275"/>
      <c r="U14" s="2275"/>
      <c r="V14" s="2275"/>
      <c r="W14" s="2275"/>
      <c r="X14" s="2275"/>
      <c r="Y14" s="2275"/>
      <c r="Z14" s="2275"/>
      <c r="AA14" s="2275"/>
      <c r="AB14" s="2275"/>
      <c r="AC14" s="2275"/>
      <c r="AD14" s="2275"/>
      <c r="AE14" s="2275"/>
      <c r="AF14" s="2275"/>
      <c r="AG14" s="2275"/>
      <c r="AH14" s="2275"/>
      <c r="AI14" s="2275"/>
      <c r="AJ14" s="2275"/>
      <c r="AK14" s="2275"/>
      <c r="AL14" s="2275"/>
      <c r="AM14" s="2275"/>
      <c r="AN14" s="2275"/>
      <c r="AO14" s="2275"/>
      <c r="AP14" s="2275"/>
      <c r="AQ14" s="2275"/>
    </row>
    <row r="15" spans="2:43">
      <c r="B15" s="2294" t="s">
        <v>292</v>
      </c>
      <c r="C15" s="4071">
        <f>INDEX(dms_ABN_List,MATCH(dms_TradingName,dms_TradingName_List))</f>
        <v>86026986</v>
      </c>
      <c r="D15" s="4071"/>
      <c r="E15" s="4071"/>
      <c r="F15" s="2295"/>
      <c r="G15" s="2295"/>
      <c r="H15" s="2295"/>
      <c r="I15" s="2291"/>
      <c r="M15" s="2275"/>
      <c r="N15" s="2275"/>
      <c r="O15" s="2275"/>
      <c r="P15" s="2275"/>
      <c r="Q15" s="2275"/>
      <c r="R15" s="2275"/>
      <c r="S15" s="2275"/>
      <c r="T15" s="2275"/>
      <c r="U15" s="2275"/>
      <c r="V15" s="2275"/>
      <c r="W15" s="2275"/>
      <c r="X15" s="2275"/>
      <c r="Y15" s="2275"/>
      <c r="Z15" s="2275"/>
      <c r="AA15" s="2275"/>
      <c r="AB15" s="2275"/>
      <c r="AC15" s="2275"/>
      <c r="AD15" s="2275"/>
      <c r="AE15" s="2275"/>
      <c r="AF15" s="2275"/>
      <c r="AG15" s="2275"/>
      <c r="AH15" s="2275"/>
      <c r="AI15" s="2275"/>
      <c r="AJ15" s="2275"/>
      <c r="AK15" s="2275"/>
      <c r="AL15" s="2275"/>
      <c r="AM15" s="2275"/>
      <c r="AN15" s="2275"/>
      <c r="AO15" s="2275"/>
      <c r="AP15" s="2275"/>
      <c r="AQ15" s="2275"/>
    </row>
    <row r="16" spans="2:43" ht="15.75" thickBot="1">
      <c r="B16" s="2296"/>
      <c r="C16" s="2297"/>
      <c r="D16" s="2297"/>
      <c r="E16" s="2297"/>
      <c r="F16" s="2298"/>
      <c r="G16" s="2298"/>
      <c r="H16" s="2298"/>
      <c r="I16" s="2299"/>
      <c r="M16" s="2275"/>
      <c r="N16" s="2275"/>
      <c r="O16" s="2275"/>
      <c r="P16" s="2275"/>
      <c r="Q16" s="2275"/>
      <c r="R16" s="2275"/>
      <c r="S16" s="2275"/>
      <c r="T16" s="2275"/>
      <c r="U16" s="2275"/>
      <c r="V16" s="2275"/>
      <c r="W16" s="2275"/>
      <c r="X16" s="2275"/>
      <c r="Y16" s="2275"/>
      <c r="Z16" s="2275"/>
      <c r="AA16" s="2275"/>
      <c r="AB16" s="2275"/>
      <c r="AC16" s="2275"/>
      <c r="AD16" s="2275"/>
      <c r="AE16" s="2275"/>
      <c r="AF16" s="2275"/>
      <c r="AG16" s="2275"/>
      <c r="AH16" s="2275"/>
      <c r="AI16" s="2275"/>
      <c r="AJ16" s="2275"/>
      <c r="AK16" s="2275"/>
      <c r="AL16" s="2275"/>
      <c r="AM16" s="2275"/>
      <c r="AN16" s="2275"/>
      <c r="AO16" s="2275"/>
      <c r="AP16" s="2275"/>
      <c r="AQ16" s="2275"/>
    </row>
    <row r="17" spans="2:43" ht="29.25" customHeight="1">
      <c r="B17" s="2300"/>
      <c r="C17" s="2301"/>
      <c r="D17" s="2301"/>
      <c r="E17" s="2301"/>
      <c r="F17" s="2302"/>
      <c r="G17" s="2302"/>
      <c r="H17" s="2302"/>
      <c r="I17" s="2303"/>
      <c r="M17" s="2275"/>
      <c r="N17" s="2275"/>
      <c r="O17" s="2275"/>
      <c r="P17" s="2275"/>
      <c r="Q17" s="2275"/>
      <c r="R17" s="2275"/>
      <c r="S17" s="2275"/>
      <c r="T17" s="2275"/>
      <c r="U17" s="2275"/>
      <c r="V17" s="2275"/>
      <c r="W17" s="2275"/>
      <c r="X17" s="2275"/>
      <c r="Y17" s="2275"/>
      <c r="Z17" s="2275"/>
      <c r="AA17" s="2275"/>
      <c r="AB17" s="2275"/>
      <c r="AC17" s="2275"/>
      <c r="AD17" s="2275"/>
      <c r="AE17" s="2275"/>
      <c r="AF17" s="2275"/>
      <c r="AG17" s="2275"/>
      <c r="AH17" s="2275"/>
      <c r="AI17" s="2275"/>
      <c r="AJ17" s="2275"/>
      <c r="AK17" s="2275"/>
      <c r="AL17" s="2275"/>
      <c r="AM17" s="2275"/>
      <c r="AN17" s="2275"/>
      <c r="AO17" s="2275"/>
      <c r="AP17" s="2275"/>
      <c r="AQ17" s="2275"/>
    </row>
    <row r="18" spans="2:43">
      <c r="B18" s="2292" t="s">
        <v>28</v>
      </c>
      <c r="C18" s="4056" t="s">
        <v>297</v>
      </c>
      <c r="D18" s="4057"/>
      <c r="E18" s="4053"/>
      <c r="F18" s="4054"/>
      <c r="G18" s="4054"/>
      <c r="H18" s="4055"/>
      <c r="I18" s="2304"/>
      <c r="M18" s="2275"/>
      <c r="N18" s="2275"/>
      <c r="O18" s="2275"/>
      <c r="P18" s="2275"/>
      <c r="Q18" s="2275"/>
      <c r="R18" s="2275"/>
      <c r="S18" s="2275"/>
      <c r="T18" s="2275"/>
      <c r="U18" s="2275"/>
      <c r="V18" s="2275"/>
      <c r="W18" s="2275"/>
      <c r="X18" s="2275"/>
      <c r="Y18" s="2275"/>
      <c r="Z18" s="2275"/>
      <c r="AA18" s="2275"/>
      <c r="AB18" s="2275"/>
      <c r="AC18" s="2275"/>
      <c r="AD18" s="2275"/>
      <c r="AE18" s="2275"/>
      <c r="AF18" s="2275"/>
      <c r="AG18" s="2275"/>
      <c r="AH18" s="2275"/>
      <c r="AI18" s="2275"/>
      <c r="AJ18" s="2275"/>
      <c r="AK18" s="2275"/>
      <c r="AL18" s="2275"/>
      <c r="AM18" s="2275"/>
      <c r="AN18" s="2275"/>
      <c r="AO18" s="2275"/>
      <c r="AP18" s="2275"/>
      <c r="AQ18" s="2275"/>
    </row>
    <row r="19" spans="2:43">
      <c r="B19" s="2305"/>
      <c r="C19" s="2306"/>
      <c r="D19" s="2306" t="s">
        <v>300</v>
      </c>
      <c r="E19" s="4053"/>
      <c r="F19" s="4054"/>
      <c r="G19" s="4054"/>
      <c r="H19" s="4055"/>
      <c r="I19" s="2304"/>
      <c r="M19" s="2275"/>
      <c r="N19" s="2275"/>
      <c r="O19" s="2275"/>
      <c r="P19" s="2275"/>
      <c r="Q19" s="2275"/>
      <c r="R19" s="2275"/>
      <c r="S19" s="2275"/>
      <c r="T19" s="2275"/>
      <c r="U19" s="2275"/>
      <c r="V19" s="2275"/>
      <c r="W19" s="2275"/>
      <c r="X19" s="2275"/>
      <c r="Y19" s="2275"/>
      <c r="Z19" s="2275"/>
      <c r="AA19" s="2275"/>
      <c r="AB19" s="2275"/>
      <c r="AC19" s="2275"/>
      <c r="AD19" s="2275"/>
      <c r="AE19" s="2275"/>
      <c r="AF19" s="2275"/>
      <c r="AG19" s="2275"/>
      <c r="AH19" s="2275"/>
      <c r="AI19" s="2275"/>
      <c r="AJ19" s="2275"/>
      <c r="AK19" s="2275"/>
      <c r="AL19" s="2275"/>
      <c r="AM19" s="2275"/>
      <c r="AN19" s="2275"/>
      <c r="AO19" s="2275"/>
      <c r="AP19" s="2275"/>
      <c r="AQ19" s="2275"/>
    </row>
    <row r="20" spans="2:43">
      <c r="B20" s="2305"/>
      <c r="C20" s="4056" t="s">
        <v>29</v>
      </c>
      <c r="D20" s="4057"/>
      <c r="E20" s="4053"/>
      <c r="F20" s="4054"/>
      <c r="G20" s="4054"/>
      <c r="H20" s="4055"/>
      <c r="I20" s="2304"/>
      <c r="M20" s="2275"/>
      <c r="N20" s="2275"/>
      <c r="O20" s="2275"/>
      <c r="P20" s="2275"/>
      <c r="Q20" s="2275"/>
      <c r="R20" s="2275"/>
      <c r="S20" s="2275"/>
      <c r="T20" s="2275"/>
      <c r="U20" s="2275"/>
      <c r="V20" s="2275"/>
      <c r="W20" s="2275"/>
      <c r="X20" s="2275"/>
      <c r="Y20" s="2275"/>
      <c r="Z20" s="2275"/>
      <c r="AA20" s="2275"/>
      <c r="AB20" s="2275"/>
      <c r="AC20" s="2275"/>
      <c r="AD20" s="2275"/>
      <c r="AE20" s="2275"/>
      <c r="AF20" s="2275"/>
      <c r="AG20" s="2275"/>
      <c r="AH20" s="2275"/>
      <c r="AI20" s="2275"/>
      <c r="AJ20" s="2275"/>
      <c r="AK20" s="2275"/>
      <c r="AL20" s="2275"/>
      <c r="AM20" s="2275"/>
      <c r="AN20" s="2275"/>
      <c r="AO20" s="2275"/>
      <c r="AP20" s="2275"/>
      <c r="AQ20" s="2275"/>
    </row>
    <row r="21" spans="2:43">
      <c r="B21" s="2305"/>
      <c r="C21" s="2307"/>
      <c r="D21" s="2306" t="s">
        <v>30</v>
      </c>
      <c r="E21" s="2308" t="s">
        <v>691</v>
      </c>
      <c r="F21" s="2306" t="s">
        <v>308</v>
      </c>
      <c r="G21" s="2309"/>
      <c r="H21" s="2290"/>
      <c r="I21" s="2291"/>
      <c r="M21" s="2275"/>
      <c r="N21" s="2275"/>
      <c r="O21" s="2275"/>
      <c r="P21" s="2275"/>
      <c r="Q21" s="2275"/>
      <c r="R21" s="2275"/>
      <c r="S21" s="2275"/>
      <c r="T21" s="2275"/>
      <c r="U21" s="2275"/>
      <c r="V21" s="2275"/>
      <c r="W21" s="2275"/>
      <c r="X21" s="2275"/>
      <c r="Y21" s="2275"/>
      <c r="Z21" s="2275"/>
      <c r="AA21" s="2275"/>
      <c r="AB21" s="2275"/>
      <c r="AC21" s="2275"/>
      <c r="AD21" s="2275"/>
      <c r="AE21" s="2275"/>
      <c r="AF21" s="2275"/>
      <c r="AG21" s="2275"/>
      <c r="AH21" s="2275"/>
      <c r="AI21" s="2275"/>
      <c r="AJ21" s="2275"/>
      <c r="AK21" s="2275"/>
      <c r="AL21" s="2275"/>
      <c r="AM21" s="2275"/>
      <c r="AN21" s="2275"/>
      <c r="AO21" s="2275"/>
      <c r="AP21" s="2275"/>
      <c r="AQ21" s="2275"/>
    </row>
    <row r="22" spans="2:43">
      <c r="B22" s="2305"/>
      <c r="C22" s="2307"/>
      <c r="D22" s="2307"/>
      <c r="E22" s="2307"/>
      <c r="F22" s="2290"/>
      <c r="G22" s="2307"/>
      <c r="H22" s="2290"/>
      <c r="I22" s="2291"/>
      <c r="M22" s="2275"/>
      <c r="N22" s="2275"/>
      <c r="O22" s="2275"/>
      <c r="P22" s="2275"/>
      <c r="Q22" s="2275"/>
      <c r="R22" s="2275"/>
      <c r="S22" s="2275"/>
      <c r="T22" s="2275"/>
      <c r="U22" s="2275"/>
      <c r="V22" s="2275"/>
      <c r="W22" s="2275"/>
      <c r="X22" s="2275"/>
      <c r="Y22" s="2275"/>
      <c r="Z22" s="2275"/>
      <c r="AA22" s="2275"/>
      <c r="AB22" s="2275"/>
      <c r="AC22" s="2275"/>
      <c r="AD22" s="2275"/>
      <c r="AE22" s="2275"/>
      <c r="AF22" s="2275"/>
      <c r="AG22" s="2275"/>
      <c r="AH22" s="2275"/>
      <c r="AI22" s="2275"/>
      <c r="AJ22" s="2275"/>
      <c r="AK22" s="2275"/>
      <c r="AL22" s="2275"/>
      <c r="AM22" s="2275"/>
      <c r="AN22" s="2275"/>
      <c r="AO22" s="2275"/>
      <c r="AP22" s="2275"/>
      <c r="AQ22" s="2275"/>
    </row>
    <row r="23" spans="2:43">
      <c r="B23" s="2292" t="s">
        <v>31</v>
      </c>
      <c r="C23" s="4056" t="s">
        <v>297</v>
      </c>
      <c r="D23" s="4057"/>
      <c r="E23" s="4053"/>
      <c r="F23" s="4054"/>
      <c r="G23" s="4054"/>
      <c r="H23" s="4055"/>
      <c r="I23" s="2310"/>
      <c r="M23" s="2275"/>
      <c r="N23" s="2275"/>
      <c r="O23" s="2275"/>
      <c r="P23" s="2275"/>
      <c r="Q23" s="2275"/>
      <c r="R23" s="2275"/>
      <c r="S23" s="2275"/>
      <c r="T23" s="2275"/>
      <c r="U23" s="2275"/>
      <c r="V23" s="2275"/>
      <c r="W23" s="2275"/>
      <c r="X23" s="2275"/>
      <c r="Y23" s="2275"/>
      <c r="Z23" s="2275"/>
      <c r="AA23" s="2275"/>
      <c r="AB23" s="2275"/>
      <c r="AC23" s="2275"/>
      <c r="AD23" s="2275"/>
      <c r="AE23" s="2275"/>
      <c r="AF23" s="2275"/>
      <c r="AG23" s="2275"/>
      <c r="AH23" s="2275"/>
      <c r="AI23" s="2275"/>
      <c r="AJ23" s="2275"/>
      <c r="AK23" s="2275"/>
      <c r="AL23" s="2275"/>
      <c r="AM23" s="2275"/>
      <c r="AN23" s="2275"/>
      <c r="AO23" s="2275"/>
      <c r="AP23" s="2275"/>
      <c r="AQ23" s="2275"/>
    </row>
    <row r="24" spans="2:43">
      <c r="B24" s="2305"/>
      <c r="C24" s="2306"/>
      <c r="D24" s="2306" t="s">
        <v>300</v>
      </c>
      <c r="E24" s="4053"/>
      <c r="F24" s="4054"/>
      <c r="G24" s="4054"/>
      <c r="H24" s="4055"/>
      <c r="I24" s="2310"/>
      <c r="M24" s="2275"/>
      <c r="N24" s="2275"/>
      <c r="O24" s="2275"/>
      <c r="P24" s="2275"/>
      <c r="Q24" s="2275"/>
      <c r="R24" s="2275"/>
      <c r="S24" s="2275"/>
      <c r="T24" s="2275"/>
      <c r="U24" s="2275"/>
      <c r="V24" s="2275"/>
      <c r="W24" s="2275"/>
      <c r="X24" s="2275"/>
      <c r="Y24" s="2275"/>
      <c r="Z24" s="2275"/>
      <c r="AA24" s="2275"/>
      <c r="AB24" s="2275"/>
      <c r="AC24" s="2275"/>
      <c r="AD24" s="2275"/>
      <c r="AE24" s="2275"/>
      <c r="AF24" s="2275"/>
      <c r="AG24" s="2275"/>
      <c r="AH24" s="2275"/>
      <c r="AI24" s="2275"/>
      <c r="AJ24" s="2275"/>
      <c r="AK24" s="2275"/>
      <c r="AL24" s="2275"/>
      <c r="AM24" s="2275"/>
      <c r="AN24" s="2275"/>
      <c r="AO24" s="2275"/>
      <c r="AP24" s="2275"/>
      <c r="AQ24" s="2275"/>
    </row>
    <row r="25" spans="2:43">
      <c r="B25" s="2305"/>
      <c r="C25" s="4056" t="s">
        <v>29</v>
      </c>
      <c r="D25" s="4057"/>
      <c r="E25" s="4053"/>
      <c r="F25" s="4054"/>
      <c r="G25" s="4054"/>
      <c r="H25" s="4055"/>
      <c r="I25" s="2310"/>
      <c r="M25" s="2275"/>
      <c r="N25" s="2275"/>
      <c r="O25" s="2275"/>
      <c r="P25" s="2275"/>
      <c r="Q25" s="2275"/>
      <c r="R25" s="2275"/>
      <c r="S25" s="2275"/>
      <c r="T25" s="2275"/>
      <c r="U25" s="2275"/>
      <c r="V25" s="2275"/>
      <c r="W25" s="2275"/>
      <c r="X25" s="2275"/>
      <c r="Y25" s="2275"/>
      <c r="Z25" s="2275"/>
      <c r="AA25" s="2275"/>
      <c r="AB25" s="2275"/>
      <c r="AC25" s="2275"/>
      <c r="AD25" s="2275"/>
      <c r="AE25" s="2275"/>
      <c r="AF25" s="2275"/>
      <c r="AG25" s="2275"/>
      <c r="AH25" s="2275"/>
      <c r="AI25" s="2275"/>
      <c r="AJ25" s="2275"/>
      <c r="AK25" s="2275"/>
      <c r="AL25" s="2275"/>
      <c r="AM25" s="2275"/>
      <c r="AN25" s="2275"/>
      <c r="AO25" s="2275"/>
      <c r="AP25" s="2275"/>
      <c r="AQ25" s="2275"/>
    </row>
    <row r="26" spans="2:43">
      <c r="B26" s="2311"/>
      <c r="C26" s="2307"/>
      <c r="D26" s="2306" t="s">
        <v>30</v>
      </c>
      <c r="E26" s="2309" t="s">
        <v>691</v>
      </c>
      <c r="F26" s="2306" t="s">
        <v>308</v>
      </c>
      <c r="G26" s="2309"/>
      <c r="H26" s="2290"/>
      <c r="I26" s="2291"/>
      <c r="M26" s="2275"/>
      <c r="N26" s="2275"/>
      <c r="O26" s="2275"/>
      <c r="P26" s="2275"/>
      <c r="Q26" s="2275"/>
      <c r="R26" s="2275"/>
      <c r="S26" s="2275"/>
      <c r="T26" s="2275"/>
      <c r="U26" s="2275"/>
      <c r="V26" s="2275"/>
      <c r="W26" s="2275"/>
      <c r="X26" s="2275"/>
      <c r="Y26" s="2275"/>
      <c r="Z26" s="2275"/>
      <c r="AA26" s="2275"/>
      <c r="AB26" s="2275"/>
      <c r="AC26" s="2275"/>
      <c r="AD26" s="2275"/>
      <c r="AE26" s="2275"/>
      <c r="AF26" s="2275"/>
      <c r="AG26" s="2275"/>
      <c r="AH26" s="2275"/>
      <c r="AI26" s="2275"/>
      <c r="AJ26" s="2275"/>
      <c r="AK26" s="2275"/>
      <c r="AL26" s="2275"/>
      <c r="AM26" s="2275"/>
      <c r="AN26" s="2275"/>
      <c r="AO26" s="2275"/>
      <c r="AP26" s="2275"/>
      <c r="AQ26" s="2275"/>
    </row>
    <row r="27" spans="2:43">
      <c r="B27" s="2312"/>
      <c r="C27" s="2313"/>
      <c r="D27" s="2313"/>
      <c r="E27" s="2313"/>
      <c r="F27" s="2314"/>
      <c r="G27" s="2314"/>
      <c r="H27" s="2314"/>
      <c r="I27" s="2315"/>
      <c r="M27" s="2275"/>
      <c r="N27" s="2275"/>
      <c r="O27" s="2275"/>
      <c r="P27" s="2275"/>
      <c r="Q27" s="2275"/>
      <c r="R27" s="2275"/>
      <c r="S27" s="2275"/>
      <c r="T27" s="2275"/>
      <c r="U27" s="2275"/>
      <c r="V27" s="2275"/>
      <c r="W27" s="2275"/>
      <c r="X27" s="2275"/>
      <c r="Y27" s="2275"/>
      <c r="Z27" s="2275"/>
      <c r="AA27" s="2275"/>
      <c r="AB27" s="2275"/>
      <c r="AC27" s="2275"/>
      <c r="AD27" s="2275"/>
      <c r="AE27" s="2275"/>
      <c r="AF27" s="2275"/>
      <c r="AG27" s="2275"/>
      <c r="AH27" s="2275"/>
      <c r="AI27" s="2275"/>
      <c r="AJ27" s="2275"/>
      <c r="AK27" s="2275"/>
      <c r="AL27" s="2275"/>
      <c r="AM27" s="2275"/>
      <c r="AN27" s="2275"/>
      <c r="AO27" s="2275"/>
      <c r="AP27" s="2275"/>
      <c r="AQ27" s="2275"/>
    </row>
    <row r="28" spans="2:43">
      <c r="B28" s="2311"/>
      <c r="C28" s="2316"/>
      <c r="D28" s="2316"/>
      <c r="E28" s="2316"/>
      <c r="F28" s="2290"/>
      <c r="G28" s="2290"/>
      <c r="H28" s="2290"/>
      <c r="I28" s="2291"/>
      <c r="M28" s="2275"/>
      <c r="N28" s="2275"/>
      <c r="O28" s="2275"/>
      <c r="P28" s="2275"/>
      <c r="Q28" s="2275"/>
      <c r="R28" s="2275"/>
      <c r="S28" s="2275"/>
      <c r="T28" s="2275"/>
      <c r="U28" s="2275"/>
      <c r="V28" s="2275"/>
      <c r="W28" s="2275"/>
      <c r="X28" s="2275"/>
      <c r="Y28" s="2275"/>
      <c r="Z28" s="2275"/>
      <c r="AA28" s="2275"/>
      <c r="AB28" s="2275"/>
      <c r="AC28" s="2275"/>
      <c r="AD28" s="2275"/>
      <c r="AE28" s="2275"/>
      <c r="AF28" s="2275"/>
      <c r="AG28" s="2275"/>
      <c r="AH28" s="2275"/>
      <c r="AI28" s="2275"/>
      <c r="AJ28" s="2275"/>
      <c r="AK28" s="2275"/>
      <c r="AL28" s="2275"/>
      <c r="AM28" s="2275"/>
      <c r="AN28" s="2275"/>
      <c r="AO28" s="2275"/>
      <c r="AP28" s="2275"/>
      <c r="AQ28" s="2275"/>
    </row>
    <row r="29" spans="2:43">
      <c r="B29" s="2317" t="s">
        <v>32</v>
      </c>
      <c r="C29" s="2318"/>
      <c r="D29" s="2319"/>
      <c r="E29" s="2320"/>
      <c r="F29" s="2318"/>
      <c r="G29" s="2319"/>
      <c r="H29" s="2321"/>
      <c r="I29" s="2322"/>
      <c r="M29" s="2275"/>
      <c r="N29" s="2275"/>
      <c r="O29" s="2275"/>
      <c r="P29" s="2275"/>
      <c r="Q29" s="2275"/>
      <c r="R29" s="2275"/>
      <c r="S29" s="2275"/>
      <c r="T29" s="2275"/>
      <c r="U29" s="2275"/>
      <c r="V29" s="2275"/>
      <c r="W29" s="2275"/>
      <c r="X29" s="2275"/>
      <c r="Y29" s="2275"/>
      <c r="Z29" s="2275"/>
      <c r="AA29" s="2275"/>
      <c r="AB29" s="2275"/>
      <c r="AC29" s="2275"/>
      <c r="AD29" s="2275"/>
      <c r="AE29" s="2275"/>
      <c r="AF29" s="2275"/>
      <c r="AG29" s="2275"/>
      <c r="AH29" s="2275"/>
      <c r="AI29" s="2275"/>
      <c r="AJ29" s="2275"/>
      <c r="AK29" s="2275"/>
      <c r="AL29" s="2275"/>
      <c r="AM29" s="2275"/>
      <c r="AN29" s="2275"/>
      <c r="AO29" s="2275"/>
      <c r="AP29" s="2275"/>
      <c r="AQ29" s="2275"/>
    </row>
    <row r="30" spans="2:43">
      <c r="B30" s="2292" t="s">
        <v>33</v>
      </c>
      <c r="C30" s="2318"/>
      <c r="D30" s="2323"/>
      <c r="E30" s="2324"/>
      <c r="F30" s="2325"/>
      <c r="G30" s="2323"/>
      <c r="H30" s="2290"/>
      <c r="I30" s="2291"/>
      <c r="M30" s="2275"/>
      <c r="N30" s="2275"/>
      <c r="O30" s="2275"/>
      <c r="P30" s="2275"/>
      <c r="Q30" s="2275"/>
      <c r="R30" s="2275"/>
      <c r="S30" s="2275"/>
      <c r="T30" s="2275"/>
      <c r="U30" s="2275"/>
      <c r="V30" s="2275"/>
      <c r="W30" s="2275"/>
      <c r="X30" s="2275"/>
      <c r="Y30" s="2275"/>
      <c r="Z30" s="2275"/>
      <c r="AA30" s="2275"/>
      <c r="AB30" s="2275"/>
      <c r="AC30" s="2275"/>
      <c r="AD30" s="2275"/>
      <c r="AE30" s="2275"/>
      <c r="AF30" s="2275"/>
      <c r="AG30" s="2275"/>
      <c r="AH30" s="2275"/>
      <c r="AI30" s="2275"/>
      <c r="AJ30" s="2275"/>
      <c r="AK30" s="2275"/>
      <c r="AL30" s="2275"/>
      <c r="AM30" s="2275"/>
      <c r="AN30" s="2275"/>
      <c r="AO30" s="2275"/>
      <c r="AP30" s="2275"/>
      <c r="AQ30" s="2275"/>
    </row>
    <row r="31" spans="2:43">
      <c r="B31" s="2292" t="s">
        <v>34</v>
      </c>
      <c r="C31" s="2318"/>
      <c r="D31" s="2319"/>
      <c r="E31" s="2324"/>
      <c r="F31" s="2326"/>
      <c r="G31" s="2319"/>
      <c r="H31" s="2290"/>
      <c r="I31" s="2291"/>
      <c r="M31" s="2275"/>
      <c r="N31" s="2275"/>
      <c r="O31" s="2275"/>
      <c r="P31" s="2275"/>
      <c r="Q31" s="2275"/>
      <c r="R31" s="2275"/>
      <c r="S31" s="2275"/>
      <c r="T31" s="2275"/>
      <c r="U31" s="2275"/>
      <c r="V31" s="2275"/>
      <c r="W31" s="2275"/>
      <c r="X31" s="2275"/>
      <c r="Y31" s="2275"/>
      <c r="Z31" s="2275"/>
      <c r="AA31" s="2275"/>
      <c r="AB31" s="2275"/>
      <c r="AC31" s="2275"/>
      <c r="AD31" s="2275"/>
      <c r="AE31" s="2275"/>
      <c r="AF31" s="2275"/>
      <c r="AG31" s="2275"/>
      <c r="AH31" s="2275"/>
      <c r="AI31" s="2275"/>
      <c r="AJ31" s="2275"/>
      <c r="AK31" s="2275"/>
      <c r="AL31" s="2275"/>
      <c r="AM31" s="2275"/>
      <c r="AN31" s="2275"/>
      <c r="AO31" s="2275"/>
      <c r="AP31" s="2275"/>
      <c r="AQ31" s="2275"/>
    </row>
    <row r="32" spans="2:43" ht="15.75" thickBot="1">
      <c r="B32" s="2296"/>
      <c r="C32" s="2297"/>
      <c r="D32" s="2297"/>
      <c r="E32" s="2297"/>
      <c r="F32" s="2298"/>
      <c r="G32" s="2298"/>
      <c r="H32" s="2298"/>
      <c r="I32" s="2299"/>
      <c r="M32" s="2275"/>
      <c r="N32" s="2275"/>
      <c r="O32" s="2275"/>
      <c r="P32" s="2275"/>
      <c r="Q32" s="2275"/>
      <c r="R32" s="2275"/>
      <c r="S32" s="2275"/>
      <c r="T32" s="2275"/>
      <c r="U32" s="2275"/>
      <c r="V32" s="2275"/>
      <c r="W32" s="2275"/>
      <c r="X32" s="2275"/>
      <c r="Y32" s="2275"/>
      <c r="Z32" s="2275"/>
      <c r="AA32" s="2275"/>
      <c r="AB32" s="2275"/>
      <c r="AC32" s="2275"/>
      <c r="AD32" s="2275"/>
      <c r="AE32" s="2275"/>
      <c r="AF32" s="2275"/>
      <c r="AG32" s="2275"/>
      <c r="AH32" s="2275"/>
      <c r="AI32" s="2275"/>
      <c r="AJ32" s="2275"/>
      <c r="AK32" s="2275"/>
      <c r="AL32" s="2275"/>
      <c r="AM32" s="2275"/>
      <c r="AN32" s="2275"/>
      <c r="AO32" s="2275"/>
      <c r="AP32" s="2275"/>
      <c r="AQ32" s="2275"/>
    </row>
    <row r="33" spans="2:43" ht="20.25">
      <c r="B33" s="4058" t="s">
        <v>777</v>
      </c>
      <c r="C33" s="4059"/>
      <c r="D33" s="4059"/>
      <c r="E33" s="4059"/>
      <c r="F33" s="4059"/>
      <c r="G33" s="4059"/>
      <c r="H33" s="4059"/>
      <c r="I33" s="4060"/>
      <c r="M33" s="2275"/>
      <c r="N33" s="2275"/>
      <c r="O33" s="2275"/>
      <c r="P33" s="2275"/>
      <c r="Q33" s="2275"/>
      <c r="R33" s="2275"/>
      <c r="S33" s="2275"/>
      <c r="T33" s="2275"/>
      <c r="U33" s="2275"/>
      <c r="V33" s="2275"/>
      <c r="W33" s="2275"/>
      <c r="X33" s="2275"/>
      <c r="Y33" s="2275"/>
      <c r="Z33" s="2275"/>
      <c r="AA33" s="2275"/>
      <c r="AB33" s="2275"/>
      <c r="AC33" s="2275"/>
      <c r="AD33" s="2275"/>
      <c r="AE33" s="2275"/>
      <c r="AF33" s="2275"/>
      <c r="AG33" s="2275"/>
      <c r="AH33" s="2275"/>
      <c r="AI33" s="2275"/>
      <c r="AJ33" s="2275"/>
      <c r="AK33" s="2275"/>
      <c r="AL33" s="2275"/>
      <c r="AM33" s="2275"/>
      <c r="AN33" s="2275"/>
      <c r="AO33" s="2275"/>
      <c r="AP33" s="2275"/>
      <c r="AQ33" s="2275"/>
    </row>
    <row r="34" spans="2:43" ht="15.75" thickBot="1">
      <c r="B34" s="2327"/>
      <c r="C34" s="2328"/>
      <c r="D34" s="2328"/>
      <c r="E34" s="2329"/>
      <c r="F34" s="2329"/>
      <c r="G34" s="2329"/>
      <c r="H34" s="2329"/>
      <c r="I34" s="2330"/>
      <c r="M34" s="2275"/>
      <c r="N34" s="2275"/>
      <c r="O34" s="2275"/>
      <c r="P34" s="2275"/>
      <c r="Q34" s="2275"/>
      <c r="R34" s="2275"/>
      <c r="S34" s="2275"/>
      <c r="T34" s="2275"/>
      <c r="U34" s="2275"/>
      <c r="V34" s="2275"/>
      <c r="W34" s="2275"/>
      <c r="X34" s="2275"/>
      <c r="Y34" s="2275"/>
      <c r="Z34" s="2275"/>
      <c r="AA34" s="2275"/>
      <c r="AB34" s="2275"/>
      <c r="AC34" s="2275"/>
      <c r="AD34" s="2275"/>
      <c r="AE34" s="2275"/>
      <c r="AF34" s="2275"/>
      <c r="AG34" s="2275"/>
      <c r="AH34" s="2275"/>
      <c r="AI34" s="2275"/>
      <c r="AJ34" s="2275"/>
      <c r="AK34" s="2275"/>
      <c r="AL34" s="2275"/>
      <c r="AM34" s="2275"/>
      <c r="AN34" s="2275"/>
      <c r="AO34" s="2275"/>
      <c r="AP34" s="2275"/>
      <c r="AQ34" s="2275"/>
    </row>
    <row r="35" spans="2:43" ht="15.75" thickBot="1">
      <c r="B35" s="2331" t="s">
        <v>314</v>
      </c>
      <c r="C35" s="2332" t="s">
        <v>758</v>
      </c>
      <c r="D35" s="2333">
        <f>dms_FRCP_y2</f>
        <v>2019</v>
      </c>
      <c r="E35" s="2334">
        <f>dms_FRCP_y3</f>
        <v>2020</v>
      </c>
      <c r="F35" s="2334">
        <f>dms_FRCP_y4</f>
        <v>2021</v>
      </c>
      <c r="G35" s="2334">
        <f>dms_FRCP_y5</f>
        <v>2022</v>
      </c>
      <c r="H35" s="2334">
        <f>dms_FRCP_y6</f>
        <v>2023</v>
      </c>
      <c r="I35" s="2335">
        <f>dms_FRCP_y7</f>
        <v>2024</v>
      </c>
      <c r="J35" s="2336">
        <f>dms_FRCP_y8</f>
        <v>2025</v>
      </c>
      <c r="K35" s="2336">
        <f>dms_FRCP_y9</f>
        <v>2026</v>
      </c>
      <c r="L35" s="2336">
        <f>dms_FRCP_y10</f>
        <v>2027</v>
      </c>
      <c r="M35" s="2275"/>
      <c r="N35" s="2275"/>
      <c r="O35" s="2275"/>
      <c r="P35" s="2275"/>
      <c r="Q35" s="2275"/>
      <c r="R35" s="2275"/>
      <c r="S35" s="2275"/>
      <c r="T35" s="2275"/>
      <c r="U35" s="2275"/>
      <c r="V35" s="2275"/>
      <c r="W35" s="2275"/>
      <c r="X35" s="2275"/>
      <c r="Y35" s="2275"/>
      <c r="Z35" s="2275"/>
      <c r="AA35" s="2275"/>
      <c r="AB35" s="2275"/>
      <c r="AC35" s="2275"/>
      <c r="AD35" s="2275"/>
      <c r="AE35" s="2275"/>
      <c r="AF35" s="2275"/>
      <c r="AG35" s="2275"/>
      <c r="AH35" s="2275"/>
      <c r="AI35" s="2275"/>
      <c r="AJ35" s="2275"/>
      <c r="AK35" s="2275"/>
      <c r="AL35" s="2275"/>
      <c r="AM35" s="2275"/>
      <c r="AN35" s="2275"/>
      <c r="AO35" s="2275"/>
      <c r="AP35" s="2275"/>
      <c r="AQ35" s="2275"/>
    </row>
    <row r="36" spans="2:43" ht="15.75" thickBot="1">
      <c r="B36" s="2337"/>
      <c r="C36" s="2338"/>
      <c r="D36" s="2338"/>
      <c r="E36" s="2338"/>
      <c r="F36" s="2339"/>
      <c r="G36" s="2339"/>
      <c r="H36" s="2339"/>
      <c r="I36" s="2340"/>
      <c r="M36" s="2275"/>
      <c r="N36" s="2275"/>
      <c r="O36" s="2275"/>
      <c r="P36" s="2275"/>
      <c r="Q36" s="2275"/>
      <c r="R36" s="2275"/>
      <c r="S36" s="2275"/>
      <c r="T36" s="2275"/>
      <c r="U36" s="2275"/>
      <c r="V36" s="2275"/>
      <c r="W36" s="2275"/>
      <c r="X36" s="2275"/>
      <c r="Y36" s="2275"/>
      <c r="Z36" s="2275"/>
      <c r="AA36" s="2275"/>
      <c r="AB36" s="2275"/>
      <c r="AC36" s="2275"/>
      <c r="AD36" s="2275"/>
      <c r="AE36" s="2275"/>
      <c r="AF36" s="2275"/>
      <c r="AG36" s="2275"/>
      <c r="AH36" s="2275"/>
      <c r="AI36" s="2275"/>
      <c r="AJ36" s="2275"/>
      <c r="AK36" s="2275"/>
      <c r="AL36" s="2275"/>
      <c r="AM36" s="2275"/>
      <c r="AN36" s="2275"/>
      <c r="AO36" s="2275"/>
      <c r="AP36" s="2275"/>
      <c r="AQ36" s="2275"/>
    </row>
    <row r="37" spans="2:43">
      <c r="B37" s="2341"/>
      <c r="C37" s="2342"/>
      <c r="D37" s="2342"/>
      <c r="E37" s="2342"/>
      <c r="F37" s="2343"/>
      <c r="G37" s="2343"/>
      <c r="H37" s="2343"/>
      <c r="I37" s="2344"/>
      <c r="M37" s="2275"/>
      <c r="N37" s="2275"/>
      <c r="O37" s="2275"/>
      <c r="P37" s="2275"/>
      <c r="Q37" s="2275"/>
      <c r="R37" s="2275"/>
      <c r="S37" s="2275"/>
      <c r="T37" s="2275"/>
      <c r="U37" s="2275"/>
      <c r="V37" s="2275"/>
      <c r="W37" s="2275"/>
      <c r="X37" s="2275"/>
      <c r="Y37" s="2275"/>
      <c r="Z37" s="2275"/>
      <c r="AA37" s="2275"/>
      <c r="AB37" s="2275"/>
      <c r="AC37" s="2275"/>
      <c r="AD37" s="2275"/>
      <c r="AE37" s="2275"/>
      <c r="AF37" s="2275"/>
      <c r="AG37" s="2275"/>
      <c r="AH37" s="2275"/>
      <c r="AI37" s="2275"/>
      <c r="AJ37" s="2275"/>
      <c r="AK37" s="2275"/>
      <c r="AL37" s="2275"/>
      <c r="AM37" s="2275"/>
      <c r="AN37" s="2275"/>
      <c r="AO37" s="2275"/>
      <c r="AP37" s="2275"/>
      <c r="AQ37" s="2275"/>
    </row>
    <row r="38" spans="2:43">
      <c r="B38" s="2331" t="s">
        <v>318</v>
      </c>
      <c r="C38" s="2334">
        <f>dms_CRCP_FirstYear_Result</f>
        <v>2013</v>
      </c>
      <c r="D38" s="2345">
        <f>IF(dms_RPT="financial",VALUE(LEFT(CRCP_y1,4)+1)&amp;"-"&amp;TEXT(MID(CRCP_y1,3,2)+2,"00"),VALUE(LEFT(CRCP_y1,4)+1))</f>
        <v>2014</v>
      </c>
      <c r="E38" s="2345">
        <f>IF(dms_RPT="financial",VALUE(LEFT(CRCP_y2,4)+1)&amp;"-"&amp;TEXT(VALUE(MID(CRCP_y2,3,2)+2),"00"),VALUE(LEFT(CRCP_y2,4)+1))</f>
        <v>2015</v>
      </c>
      <c r="F38" s="2345">
        <f>IF(dms_RPT="financial",VALUE(LEFT(CRCP_y3,4)+1)&amp;"-"&amp;TEXT(VALUE(MID(CRCP_y3,3,2)+2),"00"),VALUE(LEFT(CRCP_y3,4)+1))</f>
        <v>2016</v>
      </c>
      <c r="G38" s="2345">
        <f>IF(dms_RPT="financial",VALUE(LEFT(CRCP_y4,4)+1)&amp;"-"&amp;TEXT(VALUE(MID(CRCP_y4,3,2)+2),"00"),VALUE(LEFT(CRCP_y4,4)+1))</f>
        <v>2017</v>
      </c>
      <c r="H38" s="2345">
        <f>IF(dms_RPT="financial",VALUE(LEFT(CRCP_y5,4)+1)&amp;"-"&amp;TEXT(VALUE(MID(CRCP_y5,3,2)+2),"00"),VALUE(LEFT(CRCP_y5,4)+1))</f>
        <v>2018</v>
      </c>
      <c r="I38" s="2346">
        <f>IF(dms_RPT="financial",VALUE(LEFT(CRCP_y6,4)+1)&amp;"-"&amp;TEXT(VALUE(MID(CRCP_y6,3,2)+2),"00"),VALUE(LEFT(CRCP_y6,4)+1))</f>
        <v>2019</v>
      </c>
      <c r="J38" s="2336">
        <f>IF(dms_RPT="financial",VALUE(LEFT(CRCP_y7,4)+1)&amp;"-"&amp;TEXT(VALUE(MID(CRCP_y7,3,2)+2),"00"),VALUE(LEFT(CRCP_y7,4)+1))</f>
        <v>2020</v>
      </c>
      <c r="K38" s="2336">
        <f>IF(dms_RPT="financial",VALUE(LEFT(CRCP_y8,4)+1)&amp;"-"&amp;TEXT(VALUE(MID(CRCP_y8,3,2)+2),"00"),VALUE(LEFT(CRCP_y8,4)+1))</f>
        <v>2021</v>
      </c>
      <c r="L38" s="2336">
        <f>IF(dms_RPT="financial",VALUE(LEFT(CRCP_y9,4)+1)&amp;"-"&amp;TEXT(VALUE(MID(CRCP_y9,3,2)+2),"00"),VALUE(LEFT(CRCP_y9,4)+1))</f>
        <v>2022</v>
      </c>
      <c r="M38" s="2275"/>
      <c r="N38" s="2275"/>
      <c r="O38" s="2275"/>
      <c r="P38" s="2275"/>
      <c r="Q38" s="2275"/>
      <c r="R38" s="2275"/>
      <c r="S38" s="2275"/>
      <c r="T38" s="2275"/>
      <c r="U38" s="2275"/>
      <c r="V38" s="2275"/>
      <c r="W38" s="2275"/>
      <c r="X38" s="2275"/>
      <c r="Y38" s="2275"/>
      <c r="Z38" s="2275"/>
      <c r="AA38" s="2275"/>
      <c r="AB38" s="2275"/>
      <c r="AC38" s="2275"/>
      <c r="AD38" s="2275"/>
      <c r="AE38" s="2275"/>
      <c r="AF38" s="2275"/>
      <c r="AG38" s="2275"/>
      <c r="AH38" s="2275"/>
      <c r="AI38" s="2275"/>
      <c r="AJ38" s="2275"/>
      <c r="AK38" s="2275"/>
      <c r="AL38" s="2275"/>
      <c r="AM38" s="2275"/>
      <c r="AN38" s="2275"/>
      <c r="AO38" s="2275"/>
      <c r="AP38" s="2275"/>
      <c r="AQ38" s="2275"/>
    </row>
    <row r="39" spans="2:43" ht="15.75" thickBot="1">
      <c r="B39" s="2337"/>
      <c r="C39" s="2338"/>
      <c r="D39" s="2338"/>
      <c r="E39" s="2338"/>
      <c r="F39" s="2339"/>
      <c r="G39" s="2339"/>
      <c r="H39" s="2339"/>
      <c r="I39" s="2340"/>
      <c r="M39" s="2275"/>
      <c r="N39" s="2275"/>
      <c r="O39" s="2275"/>
      <c r="P39" s="2275"/>
      <c r="Q39" s="2275"/>
      <c r="R39" s="2275"/>
      <c r="S39" s="2275"/>
      <c r="T39" s="2275"/>
      <c r="U39" s="2275"/>
      <c r="V39" s="2275"/>
      <c r="W39" s="2275"/>
      <c r="X39" s="2275"/>
      <c r="Y39" s="2275"/>
      <c r="Z39" s="2275"/>
      <c r="AA39" s="2275"/>
      <c r="AB39" s="2275"/>
      <c r="AC39" s="2275"/>
      <c r="AD39" s="2275"/>
      <c r="AE39" s="2275"/>
      <c r="AF39" s="2275"/>
      <c r="AG39" s="2275"/>
      <c r="AH39" s="2275"/>
      <c r="AI39" s="2275"/>
      <c r="AJ39" s="2275"/>
      <c r="AK39" s="2275"/>
      <c r="AL39" s="2275"/>
      <c r="AM39" s="2275"/>
      <c r="AN39" s="2275"/>
      <c r="AO39" s="2275"/>
      <c r="AP39" s="2275"/>
      <c r="AQ39" s="2275"/>
    </row>
    <row r="40" spans="2:43">
      <c r="B40" s="2341"/>
      <c r="C40" s="2342"/>
      <c r="D40" s="2342"/>
      <c r="E40" s="2342"/>
      <c r="F40" s="2343"/>
      <c r="G40" s="2343"/>
      <c r="H40" s="2343"/>
      <c r="I40" s="2344"/>
      <c r="M40" s="2275"/>
      <c r="N40" s="2275"/>
      <c r="O40" s="2275"/>
      <c r="P40" s="2275"/>
      <c r="Q40" s="2275"/>
      <c r="R40" s="2275"/>
      <c r="S40" s="2275"/>
      <c r="T40" s="2275"/>
      <c r="U40" s="2275"/>
      <c r="V40" s="2275"/>
      <c r="W40" s="2275"/>
      <c r="X40" s="2275"/>
      <c r="Y40" s="2275"/>
      <c r="Z40" s="2275"/>
      <c r="AA40" s="2275"/>
      <c r="AB40" s="2275"/>
      <c r="AC40" s="2275"/>
      <c r="AD40" s="2275"/>
      <c r="AE40" s="2275"/>
      <c r="AF40" s="2275"/>
      <c r="AG40" s="2275"/>
      <c r="AH40" s="2275"/>
      <c r="AI40" s="2275"/>
      <c r="AJ40" s="2275"/>
      <c r="AK40" s="2275"/>
      <c r="AL40" s="2275"/>
      <c r="AM40" s="2275"/>
      <c r="AN40" s="2275"/>
      <c r="AO40" s="2275"/>
      <c r="AP40" s="2275"/>
      <c r="AQ40" s="2275"/>
    </row>
    <row r="41" spans="2:43">
      <c r="B41" s="2331" t="s">
        <v>321</v>
      </c>
      <c r="C41" s="2334">
        <f>IF(dms_RPT="financial",VALUE(LEFT(PRCP_y2,4)-1)&amp;"-"&amp;TEXT(VALUE(MID(PRCP_y2,3,2)),"00"),VALUE(LEFT(PRCP_y2,4)-1))</f>
        <v>2008</v>
      </c>
      <c r="D41" s="2334">
        <f>IF(dms_RPT="financial",VALUE(LEFT(PRCP_y3,4)-1)&amp;"-"&amp;TEXT(VALUE(MID(PRCP_y3,3,2)),"00"),VALUE(LEFT(PRCP_y3,4)-1))</f>
        <v>2009</v>
      </c>
      <c r="E41" s="2334">
        <f>IF(dms_RPT="financial",VALUE(LEFT(PRCP_y4,4)-1)&amp;"-"&amp;TEXT(VALUE(MID(PRCP_y4,3,2)),"00"),VALUE(LEFT(PRCP_y4,4)-1))</f>
        <v>2010</v>
      </c>
      <c r="F41" s="2334">
        <f>IF(dms_RPT="financial",VALUE(LEFT(PRCP_y5,4)-1)&amp;"-"&amp;TEXT(VALUE(RIGHT(PRCP_y5,2)-1),"00"),VALUE(LEFT(PRCP_y5,4)-1))</f>
        <v>2011</v>
      </c>
      <c r="G41" s="2345">
        <f>IF(dms_RPT="financial",VALUE(LEFT(CRCP_y1,4)-1)&amp;"-"&amp;TEXT(VALUE(RIGHT(CRCP_y1,2)-1),"00"),VALUE(LEFT(CRCP_y1,4)-1))</f>
        <v>2012</v>
      </c>
      <c r="H41" s="2345"/>
      <c r="I41" s="2347"/>
      <c r="M41" s="2275"/>
      <c r="N41" s="2275"/>
      <c r="O41" s="2275"/>
      <c r="P41" s="2275"/>
      <c r="Q41" s="2275"/>
      <c r="R41" s="2275"/>
      <c r="S41" s="2275"/>
      <c r="T41" s="2275"/>
      <c r="U41" s="2275"/>
      <c r="V41" s="2275"/>
      <c r="W41" s="2275"/>
      <c r="X41" s="2275"/>
      <c r="Y41" s="2275"/>
      <c r="Z41" s="2275"/>
      <c r="AA41" s="2275"/>
      <c r="AB41" s="2275"/>
      <c r="AC41" s="2275"/>
      <c r="AD41" s="2275"/>
      <c r="AE41" s="2275"/>
      <c r="AF41" s="2275"/>
      <c r="AG41" s="2275"/>
      <c r="AH41" s="2275"/>
      <c r="AI41" s="2275"/>
      <c r="AJ41" s="2275"/>
      <c r="AK41" s="2275"/>
      <c r="AL41" s="2275"/>
      <c r="AM41" s="2275"/>
      <c r="AN41" s="2275"/>
      <c r="AO41" s="2275"/>
      <c r="AP41" s="2275"/>
      <c r="AQ41" s="2275"/>
    </row>
    <row r="42" spans="2:43" ht="15.75" thickBot="1">
      <c r="B42" s="2348"/>
      <c r="C42" s="2349"/>
      <c r="D42" s="2349"/>
      <c r="E42" s="2339"/>
      <c r="F42" s="2350"/>
      <c r="G42" s="2350"/>
      <c r="H42" s="2350"/>
      <c r="I42" s="2351"/>
      <c r="M42" s="2275"/>
      <c r="N42" s="2275"/>
      <c r="O42" s="2275"/>
      <c r="P42" s="2275"/>
      <c r="Q42" s="2275"/>
      <c r="R42" s="2275"/>
      <c r="S42" s="2275"/>
      <c r="T42" s="2275"/>
      <c r="U42" s="2275"/>
      <c r="V42" s="2275"/>
      <c r="W42" s="2275"/>
      <c r="X42" s="2275"/>
      <c r="Y42" s="2275"/>
      <c r="Z42" s="2275"/>
      <c r="AA42" s="2275"/>
      <c r="AB42" s="2275"/>
      <c r="AC42" s="2275"/>
      <c r="AD42" s="2275"/>
      <c r="AE42" s="2275"/>
      <c r="AF42" s="2275"/>
      <c r="AG42" s="2275"/>
      <c r="AH42" s="2275"/>
      <c r="AI42" s="2275"/>
      <c r="AJ42" s="2275"/>
      <c r="AK42" s="2275"/>
      <c r="AL42" s="2275"/>
      <c r="AM42" s="2275"/>
      <c r="AN42" s="2275"/>
      <c r="AO42" s="2275"/>
      <c r="AP42" s="2275"/>
      <c r="AQ42" s="2275"/>
    </row>
    <row r="43" spans="2:43" ht="15" hidden="1" customHeight="1" thickBot="1">
      <c r="B43" s="2352"/>
      <c r="C43" s="2353"/>
      <c r="D43" s="2353"/>
      <c r="E43" s="2353"/>
      <c r="F43" s="2354"/>
      <c r="G43" s="2354"/>
      <c r="H43" s="2354"/>
      <c r="I43" s="2355"/>
      <c r="M43" s="2275"/>
      <c r="N43" s="2275"/>
      <c r="O43" s="2275"/>
      <c r="P43" s="2275"/>
      <c r="Q43" s="2275"/>
      <c r="R43" s="2275"/>
      <c r="S43" s="2275"/>
      <c r="T43" s="2275"/>
      <c r="U43" s="2275"/>
      <c r="V43" s="2275"/>
      <c r="W43" s="2275"/>
      <c r="X43" s="2275"/>
      <c r="Y43" s="2275"/>
      <c r="Z43" s="2275"/>
      <c r="AA43" s="2275"/>
      <c r="AB43" s="2275"/>
      <c r="AC43" s="2275"/>
      <c r="AD43" s="2275"/>
      <c r="AE43" s="2275"/>
      <c r="AF43" s="2275"/>
      <c r="AG43" s="2275"/>
      <c r="AH43" s="2275"/>
      <c r="AI43" s="2275"/>
      <c r="AJ43" s="2275"/>
      <c r="AK43" s="2275"/>
      <c r="AL43" s="2275"/>
      <c r="AM43" s="2275"/>
      <c r="AN43" s="2275"/>
      <c r="AO43" s="2275"/>
      <c r="AP43" s="2275"/>
      <c r="AQ43" s="2275"/>
    </row>
    <row r="44" spans="2:43" ht="15" hidden="1" customHeight="1" thickBot="1">
      <c r="B44" s="2356" t="s">
        <v>778</v>
      </c>
      <c r="C44" s="2357" t="s">
        <v>111</v>
      </c>
      <c r="D44" s="2358" t="s">
        <v>779</v>
      </c>
      <c r="E44" s="2359"/>
      <c r="F44" s="2360"/>
      <c r="G44" s="2360"/>
      <c r="H44" s="2360"/>
      <c r="I44" s="2361"/>
      <c r="M44" s="2275"/>
      <c r="N44" s="2275"/>
      <c r="O44" s="2275"/>
      <c r="P44" s="2275"/>
      <c r="Q44" s="2275"/>
      <c r="R44" s="2275"/>
      <c r="S44" s="2275"/>
      <c r="T44" s="2275"/>
      <c r="U44" s="2275"/>
      <c r="V44" s="2275"/>
      <c r="W44" s="2275"/>
      <c r="X44" s="2275"/>
      <c r="Y44" s="2275"/>
      <c r="Z44" s="2275"/>
      <c r="AA44" s="2275"/>
      <c r="AB44" s="2275"/>
      <c r="AC44" s="2275"/>
      <c r="AD44" s="2275"/>
      <c r="AE44" s="2275"/>
      <c r="AF44" s="2275"/>
      <c r="AG44" s="2275"/>
      <c r="AH44" s="2275"/>
      <c r="AI44" s="2275"/>
      <c r="AJ44" s="2275"/>
      <c r="AK44" s="2275"/>
      <c r="AL44" s="2275"/>
      <c r="AM44" s="2275"/>
      <c r="AN44" s="2275"/>
      <c r="AO44" s="2275"/>
      <c r="AP44" s="2275"/>
      <c r="AQ44" s="2275"/>
    </row>
    <row r="45" spans="2:43" ht="14.25" hidden="1" customHeight="1">
      <c r="B45" s="2362"/>
      <c r="C45" s="2363"/>
      <c r="D45" s="2363"/>
      <c r="E45" s="2363"/>
      <c r="F45" s="2363"/>
      <c r="G45" s="2363"/>
      <c r="H45" s="2363"/>
      <c r="I45" s="2361"/>
      <c r="M45" s="2275"/>
      <c r="N45" s="2275"/>
      <c r="O45" s="2275"/>
      <c r="P45" s="2275"/>
      <c r="Q45" s="2275"/>
      <c r="R45" s="2275"/>
      <c r="S45" s="2275"/>
      <c r="T45" s="2275"/>
      <c r="U45" s="2275"/>
      <c r="V45" s="2275"/>
      <c r="W45" s="2275"/>
      <c r="X45" s="2275"/>
      <c r="Y45" s="2275"/>
      <c r="Z45" s="2275"/>
      <c r="AA45" s="2275"/>
      <c r="AB45" s="2275"/>
      <c r="AC45" s="2275"/>
      <c r="AD45" s="2275"/>
      <c r="AE45" s="2275"/>
      <c r="AF45" s="2275"/>
      <c r="AG45" s="2275"/>
      <c r="AH45" s="2275"/>
      <c r="AI45" s="2275"/>
      <c r="AJ45" s="2275"/>
      <c r="AK45" s="2275"/>
      <c r="AL45" s="2275"/>
      <c r="AM45" s="2275"/>
      <c r="AN45" s="2275"/>
      <c r="AO45" s="2275"/>
      <c r="AP45" s="2275"/>
      <c r="AQ45" s="2275"/>
    </row>
    <row r="46" spans="2:43" ht="15" hidden="1" customHeight="1" thickBot="1">
      <c r="B46" s="2364"/>
      <c r="C46" s="2365"/>
      <c r="D46" s="2365"/>
      <c r="E46" s="2365"/>
      <c r="F46" s="2366"/>
      <c r="G46" s="2366"/>
      <c r="H46" s="2366"/>
      <c r="I46" s="2367"/>
    </row>
    <row r="47" spans="2:43" ht="15.75" hidden="1">
      <c r="B47" s="2274"/>
      <c r="C47" s="2369" t="s">
        <v>780</v>
      </c>
      <c r="E47" s="2370"/>
      <c r="F47" s="2274"/>
      <c r="G47" s="2274"/>
      <c r="H47" s="2274"/>
      <c r="I47" s="2274"/>
    </row>
    <row r="48" spans="2:43" ht="15.75" hidden="1">
      <c r="B48" s="2274"/>
      <c r="C48" s="2369" t="s">
        <v>781</v>
      </c>
      <c r="E48" s="2370"/>
      <c r="F48" s="2274"/>
      <c r="G48" s="2274"/>
      <c r="H48" s="2274"/>
      <c r="I48" s="2274"/>
    </row>
    <row r="49" spans="1:11" ht="15.75" thickBot="1">
      <c r="E49" s="2371"/>
    </row>
    <row r="50" spans="1:11" ht="15.75" thickBot="1">
      <c r="B50" s="2372" t="s">
        <v>331</v>
      </c>
      <c r="C50" s="4061" t="s">
        <v>332</v>
      </c>
      <c r="D50" s="4062"/>
      <c r="E50" s="2373" t="s">
        <v>783</v>
      </c>
      <c r="F50" s="2374"/>
      <c r="G50" s="2374"/>
      <c r="H50" s="2374"/>
      <c r="I50" s="2375"/>
    </row>
    <row r="51" spans="1:11" ht="15.75" thickBot="1">
      <c r="B51" s="2376" t="s">
        <v>573</v>
      </c>
      <c r="C51" s="2377" t="s">
        <v>337</v>
      </c>
      <c r="D51" s="2378"/>
      <c r="E51" s="2378"/>
      <c r="F51" s="2378"/>
      <c r="G51" s="2378"/>
      <c r="H51" s="2378"/>
      <c r="I51" s="2379"/>
    </row>
    <row r="52" spans="1:11" ht="39" customHeight="1" thickBot="1">
      <c r="B52" s="2380" t="s">
        <v>339</v>
      </c>
      <c r="C52" s="4063"/>
      <c r="D52" s="4064"/>
      <c r="E52" s="4064"/>
      <c r="F52" s="4064"/>
      <c r="G52" s="4064"/>
      <c r="H52" s="4064"/>
      <c r="I52" s="4065"/>
    </row>
    <row r="53" spans="1:11" ht="15" customHeight="1">
      <c r="B53" s="2381" t="s">
        <v>784</v>
      </c>
      <c r="C53" s="2382" t="s">
        <v>785</v>
      </c>
      <c r="D53" s="2383" t="s">
        <v>786</v>
      </c>
      <c r="E53" s="2373" t="s">
        <v>787</v>
      </c>
      <c r="F53" s="2384"/>
      <c r="G53" s="2384"/>
      <c r="H53" s="2384"/>
      <c r="I53" s="2385"/>
      <c r="K53" s="2275"/>
    </row>
    <row r="54" spans="1:11" ht="15.75" thickBot="1">
      <c r="B54" s="2386" t="s">
        <v>788</v>
      </c>
      <c r="C54" s="2387" t="s">
        <v>789</v>
      </c>
      <c r="D54" s="2388"/>
      <c r="E54" s="2388"/>
      <c r="F54" s="2388"/>
      <c r="G54" s="2388"/>
      <c r="H54" s="2388"/>
      <c r="I54" s="2389"/>
    </row>
    <row r="55" spans="1:11" s="2397" customFormat="1" hidden="1">
      <c r="A55" s="2275"/>
      <c r="B55" s="2390" t="s">
        <v>325</v>
      </c>
      <c r="C55" s="2391" t="str">
        <f>INDEX(dms_Sector_List,MATCH(dms_TradingName,dms_TradingName_List))</f>
        <v>Gas</v>
      </c>
      <c r="D55" s="2392" t="s">
        <v>790</v>
      </c>
      <c r="E55" s="2393" t="s">
        <v>791</v>
      </c>
      <c r="F55" s="2394"/>
      <c r="G55" s="2394"/>
      <c r="H55" s="2394"/>
      <c r="I55" s="2395"/>
      <c r="J55" s="2396"/>
    </row>
    <row r="56" spans="1:11" hidden="1">
      <c r="B56" s="2398" t="s">
        <v>328</v>
      </c>
      <c r="C56" s="2399" t="str">
        <f>INDEX(dms_Segment_List,MATCH(dms_TradingName,dms_TradingName_List))</f>
        <v>Distribution</v>
      </c>
      <c r="D56" s="2400" t="s">
        <v>792</v>
      </c>
      <c r="E56" s="2401" t="s">
        <v>793</v>
      </c>
      <c r="F56" s="2402"/>
      <c r="G56" s="2402"/>
      <c r="H56" s="2402"/>
      <c r="I56" s="2403"/>
    </row>
    <row r="57" spans="1:11" hidden="1">
      <c r="B57" s="2398" t="s">
        <v>333</v>
      </c>
      <c r="C57" s="2404" t="str">
        <f ca="1">IF(dms_MultiYear_Flag=1,LEFT(dms_Specified_FinalYear,2)&amp;RIGHT(dms_Specified_FinalYear,2),INDEX(dms_RYE_Formula_Result,MATCH(dms_Model,dms_Model_List)))</f>
        <v>2022</v>
      </c>
      <c r="D57" s="2400" t="s">
        <v>794</v>
      </c>
      <c r="E57" s="2401" t="s">
        <v>795</v>
      </c>
      <c r="F57" s="2402"/>
      <c r="G57" s="2402"/>
      <c r="H57" s="2402"/>
      <c r="I57" s="2403"/>
    </row>
    <row r="58" spans="1:11" hidden="1">
      <c r="B58" s="2398" t="s">
        <v>334</v>
      </c>
      <c r="C58" s="2399" t="str">
        <f>INDEX(dms_RPT_List,MATCH(dms_TradingName,dms_TradingName_List))</f>
        <v>Calendar</v>
      </c>
      <c r="D58" s="2400" t="s">
        <v>796</v>
      </c>
      <c r="E58" s="2401" t="s">
        <v>797</v>
      </c>
      <c r="F58" s="2402"/>
      <c r="G58" s="2402"/>
      <c r="H58" s="2402"/>
      <c r="I58" s="2403"/>
    </row>
    <row r="59" spans="1:11" hidden="1">
      <c r="B59" s="2398" t="s">
        <v>335</v>
      </c>
      <c r="C59" s="2405" t="s">
        <v>303</v>
      </c>
      <c r="D59" s="2406" t="s">
        <v>798</v>
      </c>
      <c r="E59" s="2407" t="s">
        <v>799</v>
      </c>
      <c r="F59" s="2402"/>
      <c r="G59" s="2402"/>
      <c r="H59" s="2402"/>
      <c r="I59" s="2403"/>
    </row>
    <row r="60" spans="1:11" hidden="1">
      <c r="B60" s="2398" t="s">
        <v>336</v>
      </c>
      <c r="C60" s="2399" t="s">
        <v>800</v>
      </c>
      <c r="D60" s="2406" t="s">
        <v>801</v>
      </c>
      <c r="E60" s="2407" t="s">
        <v>802</v>
      </c>
      <c r="F60" s="2402"/>
      <c r="G60" s="2402"/>
      <c r="H60" s="2402"/>
      <c r="I60" s="2403"/>
    </row>
    <row r="61" spans="1:11" hidden="1">
      <c r="B61" s="2408" t="s">
        <v>340</v>
      </c>
      <c r="C61" s="2409">
        <v>5</v>
      </c>
      <c r="D61" s="2410" t="s">
        <v>803</v>
      </c>
      <c r="E61" s="2411"/>
      <c r="F61" s="2412"/>
      <c r="G61" s="2412"/>
      <c r="H61" s="2412"/>
      <c r="I61" s="2413"/>
    </row>
    <row r="62" spans="1:11" hidden="1">
      <c r="B62" s="2398" t="s">
        <v>804</v>
      </c>
      <c r="C62" s="2399" t="str">
        <f>INDEX(dms_RPTMonth_List,MATCH(dms_TradingName,dms_TradingName_List))</f>
        <v>December</v>
      </c>
      <c r="D62" s="2406" t="s">
        <v>805</v>
      </c>
      <c r="E62" s="2401" t="s">
        <v>806</v>
      </c>
      <c r="F62" s="2402"/>
      <c r="G62" s="2402"/>
      <c r="H62" s="2402"/>
      <c r="I62" s="2403"/>
      <c r="K62" s="2275"/>
    </row>
    <row r="63" spans="1:11" ht="14.25" hidden="1" customHeight="1">
      <c r="B63" s="2398" t="s">
        <v>807</v>
      </c>
      <c r="C63" s="2414" t="str">
        <f>CONCATENATE(dms_RPTMonth)&amp;" "&amp;VALUE((LEFT(dms_CRCP_FinalYear_Result,2)&amp;RIGHT(dms_CRCP_FinalYear_Result,2)))</f>
        <v>December 2017</v>
      </c>
      <c r="D63" s="2400" t="s">
        <v>808</v>
      </c>
      <c r="E63" s="2401" t="s">
        <v>809</v>
      </c>
      <c r="F63" s="2402"/>
      <c r="G63" s="2402"/>
      <c r="H63" s="2402"/>
      <c r="I63" s="2403"/>
      <c r="K63" s="2275"/>
    </row>
    <row r="64" spans="1:11" ht="15" hidden="1" customHeight="1">
      <c r="B64" s="2398" t="s">
        <v>408</v>
      </c>
      <c r="C64" s="2399" t="str">
        <f>INDEX(dms_FormControl_List,MATCH(dms_TradingName,dms_TradingName_List))</f>
        <v>Weighted average price cap</v>
      </c>
      <c r="D64" s="2400" t="s">
        <v>682</v>
      </c>
      <c r="E64" s="2401" t="s">
        <v>810</v>
      </c>
      <c r="F64" s="2402"/>
      <c r="G64" s="2402"/>
      <c r="H64" s="2402"/>
      <c r="I64" s="2403"/>
      <c r="K64" s="2275"/>
    </row>
    <row r="65" spans="1:19" ht="15" hidden="1" customHeight="1">
      <c r="B65" s="2398" t="s">
        <v>338</v>
      </c>
      <c r="C65" s="2399">
        <v>1</v>
      </c>
      <c r="D65" s="2406" t="s">
        <v>811</v>
      </c>
      <c r="E65" s="2407"/>
      <c r="F65" s="2402"/>
      <c r="G65" s="2402"/>
      <c r="H65" s="2402"/>
      <c r="I65" s="2403"/>
      <c r="K65" s="2275"/>
    </row>
    <row r="66" spans="1:19" ht="15.75" hidden="1" customHeight="1" thickBot="1">
      <c r="B66" s="2415" t="s">
        <v>812</v>
      </c>
      <c r="C66" s="2416" t="str">
        <f>INDEX(dms_JurisdictionList,MATCH(dms_TradingName,dms_TradingName_List))</f>
        <v>Vic</v>
      </c>
      <c r="D66" s="2417" t="s">
        <v>813</v>
      </c>
      <c r="E66" s="2418" t="s">
        <v>814</v>
      </c>
      <c r="F66" s="2419"/>
      <c r="G66" s="2419"/>
      <c r="H66" s="2419"/>
      <c r="I66" s="2420"/>
    </row>
    <row r="67" spans="1:19" ht="15" hidden="1" customHeight="1">
      <c r="B67" s="2421" t="s">
        <v>815</v>
      </c>
      <c r="C67" s="2422">
        <v>0</v>
      </c>
      <c r="D67" s="2392" t="s">
        <v>816</v>
      </c>
      <c r="E67" s="2393" t="s">
        <v>817</v>
      </c>
      <c r="F67" s="2394"/>
      <c r="G67" s="2394"/>
      <c r="H67" s="2394"/>
      <c r="I67" s="2395"/>
    </row>
    <row r="68" spans="1:19" ht="15" hidden="1" customHeight="1">
      <c r="B68" s="2423"/>
      <c r="C68" s="2424">
        <v>2013</v>
      </c>
      <c r="D68" s="2425" t="s">
        <v>818</v>
      </c>
      <c r="E68" s="2426" t="s">
        <v>819</v>
      </c>
      <c r="F68" s="2427"/>
      <c r="G68" s="2427"/>
      <c r="H68" s="2427"/>
      <c r="I68" s="2428"/>
    </row>
    <row r="69" spans="1:19" ht="15" hidden="1" customHeight="1">
      <c r="B69" s="2429" t="s">
        <v>820</v>
      </c>
      <c r="C69" s="2430">
        <f>IF(dms_Model="EB",1,0)</f>
        <v>0</v>
      </c>
      <c r="D69" s="2431" t="s">
        <v>821</v>
      </c>
      <c r="E69" s="2432"/>
      <c r="F69" s="2433"/>
      <c r="G69" s="2433"/>
      <c r="H69" s="2433"/>
      <c r="I69" s="2434"/>
    </row>
    <row r="70" spans="1:19" ht="15" hidden="1" customHeight="1">
      <c r="B70" s="2429"/>
      <c r="C70" s="2430">
        <f>IF(dms_Model="CA",1,0)</f>
        <v>0</v>
      </c>
      <c r="D70" s="2400" t="s">
        <v>822</v>
      </c>
      <c r="E70" s="2401" t="s">
        <v>823</v>
      </c>
      <c r="F70" s="2402"/>
      <c r="G70" s="2402"/>
      <c r="H70" s="2402"/>
      <c r="I70" s="2403"/>
    </row>
    <row r="71" spans="1:19" hidden="1">
      <c r="B71" s="2435"/>
      <c r="C71" s="2430">
        <f>IF(dms_Model="ARR",1,0)</f>
        <v>0</v>
      </c>
      <c r="D71" s="2400" t="s">
        <v>824</v>
      </c>
      <c r="E71" s="2401"/>
      <c r="F71" s="2402"/>
      <c r="G71" s="2402"/>
      <c r="H71" s="2402"/>
      <c r="I71" s="2403"/>
    </row>
    <row r="72" spans="1:19" ht="15" hidden="1" customHeight="1">
      <c r="B72" s="2436" t="s">
        <v>825</v>
      </c>
      <c r="C72" s="2437" t="s">
        <v>779</v>
      </c>
      <c r="D72" s="2400" t="s">
        <v>826</v>
      </c>
      <c r="E72" s="2401" t="s">
        <v>827</v>
      </c>
      <c r="F72" s="2378"/>
      <c r="G72" s="2378"/>
      <c r="H72" s="2378"/>
      <c r="I72" s="2379"/>
    </row>
    <row r="73" spans="1:19" ht="15" hidden="1" customHeight="1">
      <c r="B73" s="2438" t="s">
        <v>828</v>
      </c>
      <c r="C73" s="2439" t="e">
        <f ca="1">INDIRECT(dms_SingleYear_FinalYear_Ref)</f>
        <v>#REF!</v>
      </c>
      <c r="D73" s="2400" t="s">
        <v>829</v>
      </c>
      <c r="E73" s="2401" t="s">
        <v>830</v>
      </c>
      <c r="F73" s="2378"/>
      <c r="G73" s="2378"/>
      <c r="H73" s="2378"/>
      <c r="I73" s="2440" t="s">
        <v>831</v>
      </c>
      <c r="K73" s="2275"/>
      <c r="L73" s="2275"/>
      <c r="M73" s="2275"/>
    </row>
    <row r="74" spans="1:19" ht="15" hidden="1" customHeight="1">
      <c r="B74" s="2441" t="s">
        <v>832</v>
      </c>
      <c r="C74" s="2399">
        <f>INDEX(dms_FRCPlength_List,MATCH(dms_TradingName,dms_TradingName_List))</f>
        <v>5</v>
      </c>
      <c r="D74" s="2400" t="s">
        <v>833</v>
      </c>
      <c r="E74" s="2401" t="s">
        <v>834</v>
      </c>
      <c r="F74" s="2402"/>
      <c r="G74" s="2402"/>
      <c r="H74" s="2402"/>
      <c r="I74" s="2403"/>
      <c r="K74" s="2275"/>
      <c r="L74" s="2275"/>
      <c r="M74" s="2275"/>
    </row>
    <row r="75" spans="1:19" ht="15" hidden="1" customHeight="1">
      <c r="B75" s="2436" t="s">
        <v>835</v>
      </c>
      <c r="C75" s="2414" t="str">
        <f>INDEX(dms_FinalYear_List,MATCH(dms_FRCPlength_Num,dms_FRCPlength_Num_List))</f>
        <v>dms_FRCP_y5</v>
      </c>
      <c r="D75" s="2400" t="s">
        <v>836</v>
      </c>
      <c r="E75" s="2401" t="s">
        <v>837</v>
      </c>
      <c r="F75" s="2378"/>
      <c r="G75" s="2378"/>
      <c r="H75" s="2378"/>
      <c r="I75" s="2379"/>
      <c r="K75" s="2275"/>
      <c r="L75" s="2275"/>
      <c r="M75" s="2275"/>
    </row>
    <row r="76" spans="1:19" ht="15" hidden="1" customHeight="1">
      <c r="B76" s="2438" t="s">
        <v>838</v>
      </c>
      <c r="C76" s="2439">
        <f ca="1">IF(dms_MultiYear_Flag=0,INDIRECT(dms_MultiYear_FinalYear_Ref),dms_Specified_FinalYear)</f>
        <v>2022</v>
      </c>
      <c r="D76" s="2400" t="s">
        <v>839</v>
      </c>
      <c r="E76" s="2401" t="s">
        <v>840</v>
      </c>
      <c r="F76" s="2378"/>
      <c r="G76" s="2378"/>
      <c r="H76" s="2378"/>
      <c r="I76" s="2440" t="s">
        <v>831</v>
      </c>
      <c r="K76" s="2275"/>
      <c r="L76" s="2275"/>
      <c r="M76" s="2275"/>
    </row>
    <row r="77" spans="1:19" hidden="1">
      <c r="B77" s="2441" t="s">
        <v>841</v>
      </c>
      <c r="C77" s="2399">
        <f>INDEX(dms_CRCPlength_List,MATCH(dms_TradingName,dms_TradingName_List))</f>
        <v>5</v>
      </c>
      <c r="D77" s="2442" t="s">
        <v>842</v>
      </c>
      <c r="E77" s="2443" t="s">
        <v>843</v>
      </c>
      <c r="F77" s="2402"/>
      <c r="G77" s="2402"/>
      <c r="H77" s="2402"/>
      <c r="I77" s="2403"/>
      <c r="K77" s="2275"/>
      <c r="L77" s="2275"/>
      <c r="M77" s="2275"/>
    </row>
    <row r="78" spans="1:19" s="2446" customFormat="1" hidden="1">
      <c r="A78" s="2275"/>
      <c r="B78" s="2441" t="s">
        <v>844</v>
      </c>
      <c r="C78" s="2399" t="str">
        <f>INDEX(dms_CFinalYear_List,MATCH(dms_CRCPlength_Num,dms_CRCPlength_Num_List))</f>
        <v>CRCP_y5</v>
      </c>
      <c r="D78" s="2442" t="s">
        <v>845</v>
      </c>
      <c r="E78" s="2443" t="s">
        <v>846</v>
      </c>
      <c r="F78" s="2402"/>
      <c r="G78" s="2402"/>
      <c r="H78" s="2402"/>
      <c r="I78" s="2403"/>
      <c r="J78" s="2444"/>
      <c r="K78" s="2444"/>
      <c r="L78" s="2444"/>
      <c r="M78" s="2444"/>
      <c r="N78" s="2444"/>
      <c r="O78" s="2445"/>
      <c r="P78" s="2444"/>
      <c r="Q78" s="2444"/>
      <c r="R78" s="2444"/>
      <c r="S78" s="2444"/>
    </row>
    <row r="79" spans="1:19" s="2446" customFormat="1" hidden="1">
      <c r="A79" s="2275"/>
      <c r="B79" s="2447" t="s">
        <v>847</v>
      </c>
      <c r="C79" s="2399">
        <f>INDEX(dms_CRCP_years,MATCH(dms_CRCPlength_Num,dms_CRCP_index))</f>
        <v>2013</v>
      </c>
      <c r="D79" s="2448" t="s">
        <v>848</v>
      </c>
      <c r="E79" s="2443" t="s">
        <v>849</v>
      </c>
      <c r="F79" s="2449"/>
      <c r="G79" s="2449"/>
      <c r="H79" s="2449"/>
      <c r="I79" s="2385"/>
      <c r="J79" s="2444"/>
      <c r="K79" s="2444"/>
      <c r="L79" s="2444"/>
      <c r="M79" s="2444"/>
      <c r="N79" s="2444"/>
      <c r="O79" s="2445"/>
      <c r="P79" s="2444"/>
      <c r="Q79" s="2444"/>
      <c r="R79" s="2444"/>
      <c r="S79" s="2444"/>
    </row>
    <row r="80" spans="1:19" s="2274" customFormat="1" ht="15.75" hidden="1" thickBot="1">
      <c r="A80" s="2275"/>
      <c r="B80" s="2450" t="s">
        <v>850</v>
      </c>
      <c r="C80" s="2451">
        <f>IF(dms_MultiYear_Flag=0,(IF(SUM(dms_SingleYear_Model)&gt;0,CRY,dms_CRCP_yZ)),dms_Specified_FinalYear)</f>
        <v>2017</v>
      </c>
      <c r="D80" s="2452" t="s">
        <v>851</v>
      </c>
      <c r="E80" s="2453" t="s">
        <v>852</v>
      </c>
      <c r="F80" s="2419"/>
      <c r="G80" s="2419"/>
      <c r="H80" s="2419"/>
      <c r="I80" s="2454"/>
      <c r="O80" s="2368"/>
    </row>
    <row r="81" spans="1:15" hidden="1">
      <c r="B81" s="2455" t="s">
        <v>853</v>
      </c>
      <c r="C81" s="2456" t="str">
        <f>INDEX(dms_663_List,MATCH(dms_TradingName,dms_TradingName_List))</f>
        <v>x</v>
      </c>
      <c r="D81" s="2431" t="s">
        <v>854</v>
      </c>
      <c r="E81" s="2457"/>
      <c r="F81" s="2458"/>
      <c r="G81" s="2458"/>
      <c r="H81" s="2458"/>
      <c r="I81" s="2459"/>
    </row>
    <row r="82" spans="1:15" s="2274" customFormat="1" ht="14.25" hidden="1" customHeight="1" thickBot="1">
      <c r="A82" s="2275"/>
      <c r="B82" s="2460" t="s">
        <v>855</v>
      </c>
      <c r="C82" s="2461">
        <f>INDEX(dms_DeterminationRef_List,MATCH(dms_TradingName,dms_TradingName_List))</f>
        <v>0</v>
      </c>
      <c r="D82" s="2462"/>
      <c r="E82" s="2463"/>
      <c r="F82" s="2464"/>
      <c r="G82" s="2464"/>
      <c r="H82" s="2464"/>
      <c r="I82" s="2465"/>
      <c r="O82" s="2368"/>
    </row>
    <row r="83" spans="1:15" hidden="1">
      <c r="B83" s="2390" t="s">
        <v>856</v>
      </c>
      <c r="C83" s="2466" t="s">
        <v>857</v>
      </c>
      <c r="D83" s="2467" t="s">
        <v>858</v>
      </c>
      <c r="E83" s="4050" t="s">
        <v>859</v>
      </c>
      <c r="F83" s="4051"/>
      <c r="G83" s="4051"/>
      <c r="H83" s="4051"/>
      <c r="I83" s="4052"/>
    </row>
    <row r="84" spans="1:15" hidden="1">
      <c r="B84" s="2398" t="s">
        <v>860</v>
      </c>
      <c r="C84" s="2468" t="s">
        <v>857</v>
      </c>
      <c r="D84" s="2400" t="s">
        <v>861</v>
      </c>
      <c r="E84" s="2469" t="s">
        <v>862</v>
      </c>
      <c r="F84" s="2470"/>
      <c r="G84" s="2470"/>
      <c r="H84" s="2470"/>
      <c r="I84" s="2471"/>
    </row>
    <row r="85" spans="1:15" hidden="1">
      <c r="B85" s="2398"/>
      <c r="C85" s="2468"/>
      <c r="D85" s="2400"/>
      <c r="E85" s="2469"/>
      <c r="F85" s="2470"/>
      <c r="G85" s="2470"/>
      <c r="H85" s="2470"/>
      <c r="I85" s="2471"/>
    </row>
    <row r="86" spans="1:15" ht="15.75" hidden="1" thickBot="1">
      <c r="B86" s="2415" t="s">
        <v>863</v>
      </c>
      <c r="C86" s="2472" t="s">
        <v>864</v>
      </c>
      <c r="D86" s="2417" t="s">
        <v>865</v>
      </c>
      <c r="E86" s="2473" t="s">
        <v>866</v>
      </c>
      <c r="F86" s="2474"/>
      <c r="G86" s="2474"/>
      <c r="H86" s="2474"/>
      <c r="I86" s="2475"/>
    </row>
    <row r="87" spans="1:15" hidden="1"/>
    <row r="88" spans="1:15" ht="20.25" hidden="1">
      <c r="B88" s="2476" t="s">
        <v>867</v>
      </c>
      <c r="C88" s="2477" t="s">
        <v>868</v>
      </c>
      <c r="D88" s="2478" t="s">
        <v>869</v>
      </c>
      <c r="E88" s="2479"/>
      <c r="F88" s="2479"/>
      <c r="G88" s="2479"/>
      <c r="H88" s="2479"/>
      <c r="I88" s="2479"/>
    </row>
    <row r="90" spans="1:15">
      <c r="E90" s="2275"/>
      <c r="F90" s="2275"/>
      <c r="G90" s="2275"/>
      <c r="H90" s="2275"/>
    </row>
    <row r="91" spans="1:15">
      <c r="C91" s="2275"/>
      <c r="D91" s="2275"/>
      <c r="E91" s="2275"/>
      <c r="F91" s="2275"/>
      <c r="G91" s="2275"/>
      <c r="H91" s="2275"/>
    </row>
    <row r="92" spans="1:15">
      <c r="C92" s="2275"/>
      <c r="D92" s="2275"/>
      <c r="E92" s="2275"/>
      <c r="F92" s="2275"/>
      <c r="G92" s="2275"/>
      <c r="H92" s="2275"/>
    </row>
    <row r="93" spans="1:15">
      <c r="C93" s="2275"/>
      <c r="D93" s="2275"/>
      <c r="E93" s="2275"/>
      <c r="F93" s="2275"/>
      <c r="G93" s="2275"/>
      <c r="H93" s="2275"/>
    </row>
    <row r="94" spans="1:15">
      <c r="C94" s="2275"/>
      <c r="D94" s="2275"/>
      <c r="E94" s="2275"/>
      <c r="F94" s="2275"/>
      <c r="G94" s="2275"/>
      <c r="H94" s="2275"/>
    </row>
    <row r="95" spans="1:15">
      <c r="C95" s="2275"/>
      <c r="D95" s="2275"/>
      <c r="E95" s="2275"/>
      <c r="F95" s="2275"/>
      <c r="G95" s="2275"/>
      <c r="H95" s="2275"/>
    </row>
    <row r="96" spans="1:15">
      <c r="C96" s="2275"/>
      <c r="D96" s="2275"/>
      <c r="E96" s="2275"/>
      <c r="F96" s="2275"/>
      <c r="G96" s="2275"/>
      <c r="H96" s="2275"/>
    </row>
  </sheetData>
  <sheetProtection algorithmName="SHA-256" hashValue="p6QWd9BwU53fCIjMDKY7/wyMNZ4hJbtfhPWAM5GTuHk=" saltValue="xiRoaXQ5ln0hiIAcfg4EPA==" spinCount="100000" sheet="1" objects="1" scenarios="1" formatColumns="0" formatRows="0" autoFilter="0"/>
  <dataConsolidate/>
  <mergeCells count="18">
    <mergeCell ref="B8:I8"/>
    <mergeCell ref="B12:I12"/>
    <mergeCell ref="C14:E14"/>
    <mergeCell ref="C15:E15"/>
    <mergeCell ref="C18:D18"/>
    <mergeCell ref="E18:H18"/>
    <mergeCell ref="E83:I83"/>
    <mergeCell ref="E19:H19"/>
    <mergeCell ref="C20:D20"/>
    <mergeCell ref="E20:H20"/>
    <mergeCell ref="C23:D23"/>
    <mergeCell ref="E23:H23"/>
    <mergeCell ref="E24:H24"/>
    <mergeCell ref="C25:D25"/>
    <mergeCell ref="E25:H25"/>
    <mergeCell ref="B33:I33"/>
    <mergeCell ref="C50:D50"/>
    <mergeCell ref="C52:I52"/>
  </mergeCells>
  <conditionalFormatting sqref="H35">
    <cfRule type="expression" dxfId="3" priority="4">
      <formula>dms_FRCPlength_Num&lt;6</formula>
    </cfRule>
  </conditionalFormatting>
  <conditionalFormatting sqref="H38">
    <cfRule type="expression" dxfId="2" priority="3">
      <formula>dms_CRCPlength_Num&lt;6</formula>
    </cfRule>
  </conditionalFormatting>
  <conditionalFormatting sqref="C84">
    <cfRule type="expression" dxfId="1" priority="2">
      <formula>SUM(dms_SingleYear_Model)&gt;0</formula>
    </cfRule>
  </conditionalFormatting>
  <conditionalFormatting sqref="C68">
    <cfRule type="expression" dxfId="0" priority="1">
      <formula>dms_MultiYear_Flag=1</formula>
    </cfRule>
  </conditionalFormatting>
  <dataValidations count="15">
    <dataValidation type="list" allowBlank="1" showInputMessage="1" showErrorMessage="1" sqref="C35">
      <formula1>IF(dms_RPT="financial",dms_FRCP_ListF,dms_FRCP_ListC)</formula1>
    </dataValidation>
    <dataValidation type="list" allowBlank="1" showInputMessage="1" showErrorMessage="1" sqref="C59">
      <formula1>dms_Model_List</formula1>
    </dataValidation>
    <dataValidation type="textLength" operator="lessThan" allowBlank="1" showInputMessage="1" showErrorMessage="1" promptTitle="Amendment reason" prompt="If this submission is a resubmission because data has been amended, NSP to provide amendment reason. _x000a__x000a_eg. corrected data errors in tables 3.1.1 &amp; 3.5.1" sqref="C52:I52">
      <formula1>150</formula1>
    </dataValidation>
    <dataValidation type="list" allowBlank="1" showInputMessage="1" showErrorMessage="1" sqref="C51">
      <formula1>dms_DataQuality_List</formula1>
    </dataValidation>
    <dataValidation type="list" allowBlank="1" showInputMessage="1" showErrorMessage="1" sqref="C58">
      <formula1>"Financial, Calendar, Other"</formula1>
    </dataValidation>
    <dataValidation type="textLength" operator="greaterThan" showInputMessage="1" showErrorMessage="1" sqref="E18:H18 E20:H20 E23:H23 E25:H25">
      <formula1>1</formula1>
    </dataValidation>
    <dataValidation type="list" operator="lessThanOrEqual" showInputMessage="1" showErrorMessage="1" sqref="E26">
      <formula1>"ACT,Qld,NSW,Vic,Tas,SA"</formula1>
    </dataValidation>
    <dataValidation type="list" allowBlank="1" showInputMessage="1" showErrorMessage="1" sqref="C60">
      <formula1>"Public, Confidential"</formula1>
    </dataValidation>
    <dataValidation type="list" allowBlank="1" showInputMessage="1" showErrorMessage="1" sqref="C54">
      <formula1>"Yes, No"</formula1>
    </dataValidation>
    <dataValidation type="list" operator="lessThanOrEqual" showInputMessage="1" showErrorMessage="1" sqref="H14">
      <formula1>dms_TradingName_List</formula1>
    </dataValidation>
    <dataValidation type="list" allowBlank="1" showInputMessage="1" showErrorMessage="1" prompt="Please use drop down to select correct state." sqref="E21">
      <formula1>"ACT, NSW,NT,SA,Qld,Vic,-,Tas,WA"</formula1>
    </dataValidation>
    <dataValidation type="list" allowBlank="1" showInputMessage="1" showErrorMessage="1" sqref="C50:D50">
      <formula1>dms_SourceList</formula1>
    </dataValidation>
    <dataValidation type="list" operator="lessThanOrEqual" showInputMessage="1" showErrorMessage="1" prompt="Please use drop down to select correct business name. ABN will auto populate." sqref="C14:E14">
      <formula1>dms_TradingName_List</formula1>
    </dataValidation>
    <dataValidation type="whole" allowBlank="1" showInputMessage="1" showErrorMessage="1" sqref="G21 G26">
      <formula1>1</formula1>
      <formula2>9999</formula2>
    </dataValidation>
    <dataValidation type="list" allowBlank="1" showInputMessage="1" showErrorMessage="1" sqref="C44">
      <formula1>IF(dms_RPT="financial",dms_CRY_ListF,dms_CRY_ListC)</formula1>
    </dataValidation>
  </dataValidations>
  <pageMargins left="0.25" right="0.25" top="0.75" bottom="0.75" header="0.3" footer="0.3"/>
  <pageSetup paperSize="9" scale="90" orientation="landscape" r:id="rId1"/>
  <customProperties>
    <customPr name="layoutContexts" r:id="rId2"/>
  </customProperties>
  <drawing r:id="rId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indexed="26"/>
    <pageSetUpPr autoPageBreaks="0"/>
  </sheetPr>
  <dimension ref="A1:EE94"/>
  <sheetViews>
    <sheetView showGridLines="0" topLeftCell="A40" zoomScale="70" zoomScaleNormal="70" workbookViewId="0">
      <selection activeCell="B57" sqref="B57:B80"/>
    </sheetView>
  </sheetViews>
  <sheetFormatPr defaultRowHeight="12.75"/>
  <cols>
    <col min="1" max="1" width="16.28515625" style="94" bestFit="1" customWidth="1"/>
    <col min="2" max="2" width="41.7109375" style="146" customWidth="1"/>
    <col min="3" max="3" width="38" style="94" customWidth="1"/>
    <col min="4" max="4" width="27.5703125" style="94" customWidth="1"/>
    <col min="5" max="28" width="15.7109375" style="94" customWidth="1"/>
    <col min="29" max="29" width="13.85546875" customWidth="1"/>
    <col min="32" max="254" width="9.140625" style="94"/>
    <col min="255" max="255" width="16.28515625" style="94" bestFit="1" customWidth="1"/>
    <col min="256" max="256" width="63.28515625" style="94" customWidth="1"/>
    <col min="257" max="257" width="22" style="94" customWidth="1"/>
    <col min="258" max="260" width="8" style="94" bestFit="1" customWidth="1"/>
    <col min="261" max="261" width="13.85546875" style="94" customWidth="1"/>
    <col min="262" max="262" width="17.28515625" style="94" bestFit="1" customWidth="1"/>
    <col min="263" max="274" width="10.7109375" style="94" bestFit="1" customWidth="1"/>
    <col min="275" max="510" width="9.140625" style="94"/>
    <col min="511" max="511" width="16.28515625" style="94" bestFit="1" customWidth="1"/>
    <col min="512" max="512" width="63.28515625" style="94" customWidth="1"/>
    <col min="513" max="513" width="22" style="94" customWidth="1"/>
    <col min="514" max="516" width="8" style="94" bestFit="1" customWidth="1"/>
    <col min="517" max="517" width="13.85546875" style="94" customWidth="1"/>
    <col min="518" max="518" width="17.28515625" style="94" bestFit="1" customWidth="1"/>
    <col min="519" max="530" width="10.7109375" style="94" bestFit="1" customWidth="1"/>
    <col min="531" max="766" width="9.140625" style="94"/>
    <col min="767" max="767" width="16.28515625" style="94" bestFit="1" customWidth="1"/>
    <col min="768" max="768" width="63.28515625" style="94" customWidth="1"/>
    <col min="769" max="769" width="22" style="94" customWidth="1"/>
    <col min="770" max="772" width="8" style="94" bestFit="1" customWidth="1"/>
    <col min="773" max="773" width="13.85546875" style="94" customWidth="1"/>
    <col min="774" max="774" width="17.28515625" style="94" bestFit="1" customWidth="1"/>
    <col min="775" max="786" width="10.7109375" style="94" bestFit="1" customWidth="1"/>
    <col min="787" max="1022" width="9.140625" style="94"/>
    <col min="1023" max="1023" width="16.28515625" style="94" bestFit="1" customWidth="1"/>
    <col min="1024" max="1024" width="63.28515625" style="94" customWidth="1"/>
    <col min="1025" max="1025" width="22" style="94" customWidth="1"/>
    <col min="1026" max="1028" width="8" style="94" bestFit="1" customWidth="1"/>
    <col min="1029" max="1029" width="13.85546875" style="94" customWidth="1"/>
    <col min="1030" max="1030" width="17.28515625" style="94" bestFit="1" customWidth="1"/>
    <col min="1031" max="1042" width="10.7109375" style="94" bestFit="1" customWidth="1"/>
    <col min="1043" max="1278" width="9.140625" style="94"/>
    <col min="1279" max="1279" width="16.28515625" style="94" bestFit="1" customWidth="1"/>
    <col min="1280" max="1280" width="63.28515625" style="94" customWidth="1"/>
    <col min="1281" max="1281" width="22" style="94" customWidth="1"/>
    <col min="1282" max="1284" width="8" style="94" bestFit="1" customWidth="1"/>
    <col min="1285" max="1285" width="13.85546875" style="94" customWidth="1"/>
    <col min="1286" max="1286" width="17.28515625" style="94" bestFit="1" customWidth="1"/>
    <col min="1287" max="1298" width="10.7109375" style="94" bestFit="1" customWidth="1"/>
    <col min="1299" max="1534" width="9.140625" style="94"/>
    <col min="1535" max="1535" width="16.28515625" style="94" bestFit="1" customWidth="1"/>
    <col min="1536" max="1536" width="63.28515625" style="94" customWidth="1"/>
    <col min="1537" max="1537" width="22" style="94" customWidth="1"/>
    <col min="1538" max="1540" width="8" style="94" bestFit="1" customWidth="1"/>
    <col min="1541" max="1541" width="13.85546875" style="94" customWidth="1"/>
    <col min="1542" max="1542" width="17.28515625" style="94" bestFit="1" customWidth="1"/>
    <col min="1543" max="1554" width="10.7109375" style="94" bestFit="1" customWidth="1"/>
    <col min="1555" max="1790" width="9.140625" style="94"/>
    <col min="1791" max="1791" width="16.28515625" style="94" bestFit="1" customWidth="1"/>
    <col min="1792" max="1792" width="63.28515625" style="94" customWidth="1"/>
    <col min="1793" max="1793" width="22" style="94" customWidth="1"/>
    <col min="1794" max="1796" width="8" style="94" bestFit="1" customWidth="1"/>
    <col min="1797" max="1797" width="13.85546875" style="94" customWidth="1"/>
    <col min="1798" max="1798" width="17.28515625" style="94" bestFit="1" customWidth="1"/>
    <col min="1799" max="1810" width="10.7109375" style="94" bestFit="1" customWidth="1"/>
    <col min="1811" max="2046" width="9.140625" style="94"/>
    <col min="2047" max="2047" width="16.28515625" style="94" bestFit="1" customWidth="1"/>
    <col min="2048" max="2048" width="63.28515625" style="94" customWidth="1"/>
    <col min="2049" max="2049" width="22" style="94" customWidth="1"/>
    <col min="2050" max="2052" width="8" style="94" bestFit="1" customWidth="1"/>
    <col min="2053" max="2053" width="13.85546875" style="94" customWidth="1"/>
    <col min="2054" max="2054" width="17.28515625" style="94" bestFit="1" customWidth="1"/>
    <col min="2055" max="2066" width="10.7109375" style="94" bestFit="1" customWidth="1"/>
    <col min="2067" max="2302" width="9.140625" style="94"/>
    <col min="2303" max="2303" width="16.28515625" style="94" bestFit="1" customWidth="1"/>
    <col min="2304" max="2304" width="63.28515625" style="94" customWidth="1"/>
    <col min="2305" max="2305" width="22" style="94" customWidth="1"/>
    <col min="2306" max="2308" width="8" style="94" bestFit="1" customWidth="1"/>
    <col min="2309" max="2309" width="13.85546875" style="94" customWidth="1"/>
    <col min="2310" max="2310" width="17.28515625" style="94" bestFit="1" customWidth="1"/>
    <col min="2311" max="2322" width="10.7109375" style="94" bestFit="1" customWidth="1"/>
    <col min="2323" max="2558" width="9.140625" style="94"/>
    <col min="2559" max="2559" width="16.28515625" style="94" bestFit="1" customWidth="1"/>
    <col min="2560" max="2560" width="63.28515625" style="94" customWidth="1"/>
    <col min="2561" max="2561" width="22" style="94" customWidth="1"/>
    <col min="2562" max="2564" width="8" style="94" bestFit="1" customWidth="1"/>
    <col min="2565" max="2565" width="13.85546875" style="94" customWidth="1"/>
    <col min="2566" max="2566" width="17.28515625" style="94" bestFit="1" customWidth="1"/>
    <col min="2567" max="2578" width="10.7109375" style="94" bestFit="1" customWidth="1"/>
    <col min="2579" max="2814" width="9.140625" style="94"/>
    <col min="2815" max="2815" width="16.28515625" style="94" bestFit="1" customWidth="1"/>
    <col min="2816" max="2816" width="63.28515625" style="94" customWidth="1"/>
    <col min="2817" max="2817" width="22" style="94" customWidth="1"/>
    <col min="2818" max="2820" width="8" style="94" bestFit="1" customWidth="1"/>
    <col min="2821" max="2821" width="13.85546875" style="94" customWidth="1"/>
    <col min="2822" max="2822" width="17.28515625" style="94" bestFit="1" customWidth="1"/>
    <col min="2823" max="2834" width="10.7109375" style="94" bestFit="1" customWidth="1"/>
    <col min="2835" max="3070" width="9.140625" style="94"/>
    <col min="3071" max="3071" width="16.28515625" style="94" bestFit="1" customWidth="1"/>
    <col min="3072" max="3072" width="63.28515625" style="94" customWidth="1"/>
    <col min="3073" max="3073" width="22" style="94" customWidth="1"/>
    <col min="3074" max="3076" width="8" style="94" bestFit="1" customWidth="1"/>
    <col min="3077" max="3077" width="13.85546875" style="94" customWidth="1"/>
    <col min="3078" max="3078" width="17.28515625" style="94" bestFit="1" customWidth="1"/>
    <col min="3079" max="3090" width="10.7109375" style="94" bestFit="1" customWidth="1"/>
    <col min="3091" max="3326" width="9.140625" style="94"/>
    <col min="3327" max="3327" width="16.28515625" style="94" bestFit="1" customWidth="1"/>
    <col min="3328" max="3328" width="63.28515625" style="94" customWidth="1"/>
    <col min="3329" max="3329" width="22" style="94" customWidth="1"/>
    <col min="3330" max="3332" width="8" style="94" bestFit="1" customWidth="1"/>
    <col min="3333" max="3333" width="13.85546875" style="94" customWidth="1"/>
    <col min="3334" max="3334" width="17.28515625" style="94" bestFit="1" customWidth="1"/>
    <col min="3335" max="3346" width="10.7109375" style="94" bestFit="1" customWidth="1"/>
    <col min="3347" max="3582" width="9.140625" style="94"/>
    <col min="3583" max="3583" width="16.28515625" style="94" bestFit="1" customWidth="1"/>
    <col min="3584" max="3584" width="63.28515625" style="94" customWidth="1"/>
    <col min="3585" max="3585" width="22" style="94" customWidth="1"/>
    <col min="3586" max="3588" width="8" style="94" bestFit="1" customWidth="1"/>
    <col min="3589" max="3589" width="13.85546875" style="94" customWidth="1"/>
    <col min="3590" max="3590" width="17.28515625" style="94" bestFit="1" customWidth="1"/>
    <col min="3591" max="3602" width="10.7109375" style="94" bestFit="1" customWidth="1"/>
    <col min="3603" max="3838" width="9.140625" style="94"/>
    <col min="3839" max="3839" width="16.28515625" style="94" bestFit="1" customWidth="1"/>
    <col min="3840" max="3840" width="63.28515625" style="94" customWidth="1"/>
    <col min="3841" max="3841" width="22" style="94" customWidth="1"/>
    <col min="3842" max="3844" width="8" style="94" bestFit="1" customWidth="1"/>
    <col min="3845" max="3845" width="13.85546875" style="94" customWidth="1"/>
    <col min="3846" max="3846" width="17.28515625" style="94" bestFit="1" customWidth="1"/>
    <col min="3847" max="3858" width="10.7109375" style="94" bestFit="1" customWidth="1"/>
    <col min="3859" max="4094" width="9.140625" style="94"/>
    <col min="4095" max="4095" width="16.28515625" style="94" bestFit="1" customWidth="1"/>
    <col min="4096" max="4096" width="63.28515625" style="94" customWidth="1"/>
    <col min="4097" max="4097" width="22" style="94" customWidth="1"/>
    <col min="4098" max="4100" width="8" style="94" bestFit="1" customWidth="1"/>
    <col min="4101" max="4101" width="13.85546875" style="94" customWidth="1"/>
    <col min="4102" max="4102" width="17.28515625" style="94" bestFit="1" customWidth="1"/>
    <col min="4103" max="4114" width="10.7109375" style="94" bestFit="1" customWidth="1"/>
    <col min="4115" max="4350" width="9.140625" style="94"/>
    <col min="4351" max="4351" width="16.28515625" style="94" bestFit="1" customWidth="1"/>
    <col min="4352" max="4352" width="63.28515625" style="94" customWidth="1"/>
    <col min="4353" max="4353" width="22" style="94" customWidth="1"/>
    <col min="4354" max="4356" width="8" style="94" bestFit="1" customWidth="1"/>
    <col min="4357" max="4357" width="13.85546875" style="94" customWidth="1"/>
    <col min="4358" max="4358" width="17.28515625" style="94" bestFit="1" customWidth="1"/>
    <col min="4359" max="4370" width="10.7109375" style="94" bestFit="1" customWidth="1"/>
    <col min="4371" max="4606" width="9.140625" style="94"/>
    <col min="4607" max="4607" width="16.28515625" style="94" bestFit="1" customWidth="1"/>
    <col min="4608" max="4608" width="63.28515625" style="94" customWidth="1"/>
    <col min="4609" max="4609" width="22" style="94" customWidth="1"/>
    <col min="4610" max="4612" width="8" style="94" bestFit="1" customWidth="1"/>
    <col min="4613" max="4613" width="13.85546875" style="94" customWidth="1"/>
    <col min="4614" max="4614" width="17.28515625" style="94" bestFit="1" customWidth="1"/>
    <col min="4615" max="4626" width="10.7109375" style="94" bestFit="1" customWidth="1"/>
    <col min="4627" max="4862" width="9.140625" style="94"/>
    <col min="4863" max="4863" width="16.28515625" style="94" bestFit="1" customWidth="1"/>
    <col min="4864" max="4864" width="63.28515625" style="94" customWidth="1"/>
    <col min="4865" max="4865" width="22" style="94" customWidth="1"/>
    <col min="4866" max="4868" width="8" style="94" bestFit="1" customWidth="1"/>
    <col min="4869" max="4869" width="13.85546875" style="94" customWidth="1"/>
    <col min="4870" max="4870" width="17.28515625" style="94" bestFit="1" customWidth="1"/>
    <col min="4871" max="4882" width="10.7109375" style="94" bestFit="1" customWidth="1"/>
    <col min="4883" max="5118" width="9.140625" style="94"/>
    <col min="5119" max="5119" width="16.28515625" style="94" bestFit="1" customWidth="1"/>
    <col min="5120" max="5120" width="63.28515625" style="94" customWidth="1"/>
    <col min="5121" max="5121" width="22" style="94" customWidth="1"/>
    <col min="5122" max="5124" width="8" style="94" bestFit="1" customWidth="1"/>
    <col min="5125" max="5125" width="13.85546875" style="94" customWidth="1"/>
    <col min="5126" max="5126" width="17.28515625" style="94" bestFit="1" customWidth="1"/>
    <col min="5127" max="5138" width="10.7109375" style="94" bestFit="1" customWidth="1"/>
    <col min="5139" max="5374" width="9.140625" style="94"/>
    <col min="5375" max="5375" width="16.28515625" style="94" bestFit="1" customWidth="1"/>
    <col min="5376" max="5376" width="63.28515625" style="94" customWidth="1"/>
    <col min="5377" max="5377" width="22" style="94" customWidth="1"/>
    <col min="5378" max="5380" width="8" style="94" bestFit="1" customWidth="1"/>
    <col min="5381" max="5381" width="13.85546875" style="94" customWidth="1"/>
    <col min="5382" max="5382" width="17.28515625" style="94" bestFit="1" customWidth="1"/>
    <col min="5383" max="5394" width="10.7109375" style="94" bestFit="1" customWidth="1"/>
    <col min="5395" max="5630" width="9.140625" style="94"/>
    <col min="5631" max="5631" width="16.28515625" style="94" bestFit="1" customWidth="1"/>
    <col min="5632" max="5632" width="63.28515625" style="94" customWidth="1"/>
    <col min="5633" max="5633" width="22" style="94" customWidth="1"/>
    <col min="5634" max="5636" width="8" style="94" bestFit="1" customWidth="1"/>
    <col min="5637" max="5637" width="13.85546875" style="94" customWidth="1"/>
    <col min="5638" max="5638" width="17.28515625" style="94" bestFit="1" customWidth="1"/>
    <col min="5639" max="5650" width="10.7109375" style="94" bestFit="1" customWidth="1"/>
    <col min="5651" max="5886" width="9.140625" style="94"/>
    <col min="5887" max="5887" width="16.28515625" style="94" bestFit="1" customWidth="1"/>
    <col min="5888" max="5888" width="63.28515625" style="94" customWidth="1"/>
    <col min="5889" max="5889" width="22" style="94" customWidth="1"/>
    <col min="5890" max="5892" width="8" style="94" bestFit="1" customWidth="1"/>
    <col min="5893" max="5893" width="13.85546875" style="94" customWidth="1"/>
    <col min="5894" max="5894" width="17.28515625" style="94" bestFit="1" customWidth="1"/>
    <col min="5895" max="5906" width="10.7109375" style="94" bestFit="1" customWidth="1"/>
    <col min="5907" max="6142" width="9.140625" style="94"/>
    <col min="6143" max="6143" width="16.28515625" style="94" bestFit="1" customWidth="1"/>
    <col min="6144" max="6144" width="63.28515625" style="94" customWidth="1"/>
    <col min="6145" max="6145" width="22" style="94" customWidth="1"/>
    <col min="6146" max="6148" width="8" style="94" bestFit="1" customWidth="1"/>
    <col min="6149" max="6149" width="13.85546875" style="94" customWidth="1"/>
    <col min="6150" max="6150" width="17.28515625" style="94" bestFit="1" customWidth="1"/>
    <col min="6151" max="6162" width="10.7109375" style="94" bestFit="1" customWidth="1"/>
    <col min="6163" max="6398" width="9.140625" style="94"/>
    <col min="6399" max="6399" width="16.28515625" style="94" bestFit="1" customWidth="1"/>
    <col min="6400" max="6400" width="63.28515625" style="94" customWidth="1"/>
    <col min="6401" max="6401" width="22" style="94" customWidth="1"/>
    <col min="6402" max="6404" width="8" style="94" bestFit="1" customWidth="1"/>
    <col min="6405" max="6405" width="13.85546875" style="94" customWidth="1"/>
    <col min="6406" max="6406" width="17.28515625" style="94" bestFit="1" customWidth="1"/>
    <col min="6407" max="6418" width="10.7109375" style="94" bestFit="1" customWidth="1"/>
    <col min="6419" max="6654" width="9.140625" style="94"/>
    <col min="6655" max="6655" width="16.28515625" style="94" bestFit="1" customWidth="1"/>
    <col min="6656" max="6656" width="63.28515625" style="94" customWidth="1"/>
    <col min="6657" max="6657" width="22" style="94" customWidth="1"/>
    <col min="6658" max="6660" width="8" style="94" bestFit="1" customWidth="1"/>
    <col min="6661" max="6661" width="13.85546875" style="94" customWidth="1"/>
    <col min="6662" max="6662" width="17.28515625" style="94" bestFit="1" customWidth="1"/>
    <col min="6663" max="6674" width="10.7109375" style="94" bestFit="1" customWidth="1"/>
    <col min="6675" max="6910" width="9.140625" style="94"/>
    <col min="6911" max="6911" width="16.28515625" style="94" bestFit="1" customWidth="1"/>
    <col min="6912" max="6912" width="63.28515625" style="94" customWidth="1"/>
    <col min="6913" max="6913" width="22" style="94" customWidth="1"/>
    <col min="6914" max="6916" width="8" style="94" bestFit="1" customWidth="1"/>
    <col min="6917" max="6917" width="13.85546875" style="94" customWidth="1"/>
    <col min="6918" max="6918" width="17.28515625" style="94" bestFit="1" customWidth="1"/>
    <col min="6919" max="6930" width="10.7109375" style="94" bestFit="1" customWidth="1"/>
    <col min="6931" max="7166" width="9.140625" style="94"/>
    <col min="7167" max="7167" width="16.28515625" style="94" bestFit="1" customWidth="1"/>
    <col min="7168" max="7168" width="63.28515625" style="94" customWidth="1"/>
    <col min="7169" max="7169" width="22" style="94" customWidth="1"/>
    <col min="7170" max="7172" width="8" style="94" bestFit="1" customWidth="1"/>
    <col min="7173" max="7173" width="13.85546875" style="94" customWidth="1"/>
    <col min="7174" max="7174" width="17.28515625" style="94" bestFit="1" customWidth="1"/>
    <col min="7175" max="7186" width="10.7109375" style="94" bestFit="1" customWidth="1"/>
    <col min="7187" max="7422" width="9.140625" style="94"/>
    <col min="7423" max="7423" width="16.28515625" style="94" bestFit="1" customWidth="1"/>
    <col min="7424" max="7424" width="63.28515625" style="94" customWidth="1"/>
    <col min="7425" max="7425" width="22" style="94" customWidth="1"/>
    <col min="7426" max="7428" width="8" style="94" bestFit="1" customWidth="1"/>
    <col min="7429" max="7429" width="13.85546875" style="94" customWidth="1"/>
    <col min="7430" max="7430" width="17.28515625" style="94" bestFit="1" customWidth="1"/>
    <col min="7431" max="7442" width="10.7109375" style="94" bestFit="1" customWidth="1"/>
    <col min="7443" max="7678" width="9.140625" style="94"/>
    <col min="7679" max="7679" width="16.28515625" style="94" bestFit="1" customWidth="1"/>
    <col min="7680" max="7680" width="63.28515625" style="94" customWidth="1"/>
    <col min="7681" max="7681" width="22" style="94" customWidth="1"/>
    <col min="7682" max="7684" width="8" style="94" bestFit="1" customWidth="1"/>
    <col min="7685" max="7685" width="13.85546875" style="94" customWidth="1"/>
    <col min="7686" max="7686" width="17.28515625" style="94" bestFit="1" customWidth="1"/>
    <col min="7687" max="7698" width="10.7109375" style="94" bestFit="1" customWidth="1"/>
    <col min="7699" max="7934" width="9.140625" style="94"/>
    <col min="7935" max="7935" width="16.28515625" style="94" bestFit="1" customWidth="1"/>
    <col min="7936" max="7936" width="63.28515625" style="94" customWidth="1"/>
    <col min="7937" max="7937" width="22" style="94" customWidth="1"/>
    <col min="7938" max="7940" width="8" style="94" bestFit="1" customWidth="1"/>
    <col min="7941" max="7941" width="13.85546875" style="94" customWidth="1"/>
    <col min="7942" max="7942" width="17.28515625" style="94" bestFit="1" customWidth="1"/>
    <col min="7943" max="7954" width="10.7109375" style="94" bestFit="1" customWidth="1"/>
    <col min="7955" max="8190" width="9.140625" style="94"/>
    <col min="8191" max="8191" width="16.28515625" style="94" bestFit="1" customWidth="1"/>
    <col min="8192" max="8192" width="63.28515625" style="94" customWidth="1"/>
    <col min="8193" max="8193" width="22" style="94" customWidth="1"/>
    <col min="8194" max="8196" width="8" style="94" bestFit="1" customWidth="1"/>
    <col min="8197" max="8197" width="13.85546875" style="94" customWidth="1"/>
    <col min="8198" max="8198" width="17.28515625" style="94" bestFit="1" customWidth="1"/>
    <col min="8199" max="8210" width="10.7109375" style="94" bestFit="1" customWidth="1"/>
    <col min="8211" max="8446" width="9.140625" style="94"/>
    <col min="8447" max="8447" width="16.28515625" style="94" bestFit="1" customWidth="1"/>
    <col min="8448" max="8448" width="63.28515625" style="94" customWidth="1"/>
    <col min="8449" max="8449" width="22" style="94" customWidth="1"/>
    <col min="8450" max="8452" width="8" style="94" bestFit="1" customWidth="1"/>
    <col min="8453" max="8453" width="13.85546875" style="94" customWidth="1"/>
    <col min="8454" max="8454" width="17.28515625" style="94" bestFit="1" customWidth="1"/>
    <col min="8455" max="8466" width="10.7109375" style="94" bestFit="1" customWidth="1"/>
    <col min="8467" max="8702" width="9.140625" style="94"/>
    <col min="8703" max="8703" width="16.28515625" style="94" bestFit="1" customWidth="1"/>
    <col min="8704" max="8704" width="63.28515625" style="94" customWidth="1"/>
    <col min="8705" max="8705" width="22" style="94" customWidth="1"/>
    <col min="8706" max="8708" width="8" style="94" bestFit="1" customWidth="1"/>
    <col min="8709" max="8709" width="13.85546875" style="94" customWidth="1"/>
    <col min="8710" max="8710" width="17.28515625" style="94" bestFit="1" customWidth="1"/>
    <col min="8711" max="8722" width="10.7109375" style="94" bestFit="1" customWidth="1"/>
    <col min="8723" max="8958" width="9.140625" style="94"/>
    <col min="8959" max="8959" width="16.28515625" style="94" bestFit="1" customWidth="1"/>
    <col min="8960" max="8960" width="63.28515625" style="94" customWidth="1"/>
    <col min="8961" max="8961" width="22" style="94" customWidth="1"/>
    <col min="8962" max="8964" width="8" style="94" bestFit="1" customWidth="1"/>
    <col min="8965" max="8965" width="13.85546875" style="94" customWidth="1"/>
    <col min="8966" max="8966" width="17.28515625" style="94" bestFit="1" customWidth="1"/>
    <col min="8967" max="8978" width="10.7109375" style="94" bestFit="1" customWidth="1"/>
    <col min="8979" max="9214" width="9.140625" style="94"/>
    <col min="9215" max="9215" width="16.28515625" style="94" bestFit="1" customWidth="1"/>
    <col min="9216" max="9216" width="63.28515625" style="94" customWidth="1"/>
    <col min="9217" max="9217" width="22" style="94" customWidth="1"/>
    <col min="9218" max="9220" width="8" style="94" bestFit="1" customWidth="1"/>
    <col min="9221" max="9221" width="13.85546875" style="94" customWidth="1"/>
    <col min="9222" max="9222" width="17.28515625" style="94" bestFit="1" customWidth="1"/>
    <col min="9223" max="9234" width="10.7109375" style="94" bestFit="1" customWidth="1"/>
    <col min="9235" max="9470" width="9.140625" style="94"/>
    <col min="9471" max="9471" width="16.28515625" style="94" bestFit="1" customWidth="1"/>
    <col min="9472" max="9472" width="63.28515625" style="94" customWidth="1"/>
    <col min="9473" max="9473" width="22" style="94" customWidth="1"/>
    <col min="9474" max="9476" width="8" style="94" bestFit="1" customWidth="1"/>
    <col min="9477" max="9477" width="13.85546875" style="94" customWidth="1"/>
    <col min="9478" max="9478" width="17.28515625" style="94" bestFit="1" customWidth="1"/>
    <col min="9479" max="9490" width="10.7109375" style="94" bestFit="1" customWidth="1"/>
    <col min="9491" max="9726" width="9.140625" style="94"/>
    <col min="9727" max="9727" width="16.28515625" style="94" bestFit="1" customWidth="1"/>
    <col min="9728" max="9728" width="63.28515625" style="94" customWidth="1"/>
    <col min="9729" max="9729" width="22" style="94" customWidth="1"/>
    <col min="9730" max="9732" width="8" style="94" bestFit="1" customWidth="1"/>
    <col min="9733" max="9733" width="13.85546875" style="94" customWidth="1"/>
    <col min="9734" max="9734" width="17.28515625" style="94" bestFit="1" customWidth="1"/>
    <col min="9735" max="9746" width="10.7109375" style="94" bestFit="1" customWidth="1"/>
    <col min="9747" max="9982" width="9.140625" style="94"/>
    <col min="9983" max="9983" width="16.28515625" style="94" bestFit="1" customWidth="1"/>
    <col min="9984" max="9984" width="63.28515625" style="94" customWidth="1"/>
    <col min="9985" max="9985" width="22" style="94" customWidth="1"/>
    <col min="9986" max="9988" width="8" style="94" bestFit="1" customWidth="1"/>
    <col min="9989" max="9989" width="13.85546875" style="94" customWidth="1"/>
    <col min="9990" max="9990" width="17.28515625" style="94" bestFit="1" customWidth="1"/>
    <col min="9991" max="10002" width="10.7109375" style="94" bestFit="1" customWidth="1"/>
    <col min="10003" max="10238" width="9.140625" style="94"/>
    <col min="10239" max="10239" width="16.28515625" style="94" bestFit="1" customWidth="1"/>
    <col min="10240" max="10240" width="63.28515625" style="94" customWidth="1"/>
    <col min="10241" max="10241" width="22" style="94" customWidth="1"/>
    <col min="10242" max="10244" width="8" style="94" bestFit="1" customWidth="1"/>
    <col min="10245" max="10245" width="13.85546875" style="94" customWidth="1"/>
    <col min="10246" max="10246" width="17.28515625" style="94" bestFit="1" customWidth="1"/>
    <col min="10247" max="10258" width="10.7109375" style="94" bestFit="1" customWidth="1"/>
    <col min="10259" max="10494" width="9.140625" style="94"/>
    <col min="10495" max="10495" width="16.28515625" style="94" bestFit="1" customWidth="1"/>
    <col min="10496" max="10496" width="63.28515625" style="94" customWidth="1"/>
    <col min="10497" max="10497" width="22" style="94" customWidth="1"/>
    <col min="10498" max="10500" width="8" style="94" bestFit="1" customWidth="1"/>
    <col min="10501" max="10501" width="13.85546875" style="94" customWidth="1"/>
    <col min="10502" max="10502" width="17.28515625" style="94" bestFit="1" customWidth="1"/>
    <col min="10503" max="10514" width="10.7109375" style="94" bestFit="1" customWidth="1"/>
    <col min="10515" max="10750" width="9.140625" style="94"/>
    <col min="10751" max="10751" width="16.28515625" style="94" bestFit="1" customWidth="1"/>
    <col min="10752" max="10752" width="63.28515625" style="94" customWidth="1"/>
    <col min="10753" max="10753" width="22" style="94" customWidth="1"/>
    <col min="10754" max="10756" width="8" style="94" bestFit="1" customWidth="1"/>
    <col min="10757" max="10757" width="13.85546875" style="94" customWidth="1"/>
    <col min="10758" max="10758" width="17.28515625" style="94" bestFit="1" customWidth="1"/>
    <col min="10759" max="10770" width="10.7109375" style="94" bestFit="1" customWidth="1"/>
    <col min="10771" max="11006" width="9.140625" style="94"/>
    <col min="11007" max="11007" width="16.28515625" style="94" bestFit="1" customWidth="1"/>
    <col min="11008" max="11008" width="63.28515625" style="94" customWidth="1"/>
    <col min="11009" max="11009" width="22" style="94" customWidth="1"/>
    <col min="11010" max="11012" width="8" style="94" bestFit="1" customWidth="1"/>
    <col min="11013" max="11013" width="13.85546875" style="94" customWidth="1"/>
    <col min="11014" max="11014" width="17.28515625" style="94" bestFit="1" customWidth="1"/>
    <col min="11015" max="11026" width="10.7109375" style="94" bestFit="1" customWidth="1"/>
    <col min="11027" max="11262" width="9.140625" style="94"/>
    <col min="11263" max="11263" width="16.28515625" style="94" bestFit="1" customWidth="1"/>
    <col min="11264" max="11264" width="63.28515625" style="94" customWidth="1"/>
    <col min="11265" max="11265" width="22" style="94" customWidth="1"/>
    <col min="11266" max="11268" width="8" style="94" bestFit="1" customWidth="1"/>
    <col min="11269" max="11269" width="13.85546875" style="94" customWidth="1"/>
    <col min="11270" max="11270" width="17.28515625" style="94" bestFit="1" customWidth="1"/>
    <col min="11271" max="11282" width="10.7109375" style="94" bestFit="1" customWidth="1"/>
    <col min="11283" max="11518" width="9.140625" style="94"/>
    <col min="11519" max="11519" width="16.28515625" style="94" bestFit="1" customWidth="1"/>
    <col min="11520" max="11520" width="63.28515625" style="94" customWidth="1"/>
    <col min="11521" max="11521" width="22" style="94" customWidth="1"/>
    <col min="11522" max="11524" width="8" style="94" bestFit="1" customWidth="1"/>
    <col min="11525" max="11525" width="13.85546875" style="94" customWidth="1"/>
    <col min="11526" max="11526" width="17.28515625" style="94" bestFit="1" customWidth="1"/>
    <col min="11527" max="11538" width="10.7109375" style="94" bestFit="1" customWidth="1"/>
    <col min="11539" max="11774" width="9.140625" style="94"/>
    <col min="11775" max="11775" width="16.28515625" style="94" bestFit="1" customWidth="1"/>
    <col min="11776" max="11776" width="63.28515625" style="94" customWidth="1"/>
    <col min="11777" max="11777" width="22" style="94" customWidth="1"/>
    <col min="11778" max="11780" width="8" style="94" bestFit="1" customWidth="1"/>
    <col min="11781" max="11781" width="13.85546875" style="94" customWidth="1"/>
    <col min="11782" max="11782" width="17.28515625" style="94" bestFit="1" customWidth="1"/>
    <col min="11783" max="11794" width="10.7109375" style="94" bestFit="1" customWidth="1"/>
    <col min="11795" max="12030" width="9.140625" style="94"/>
    <col min="12031" max="12031" width="16.28515625" style="94" bestFit="1" customWidth="1"/>
    <col min="12032" max="12032" width="63.28515625" style="94" customWidth="1"/>
    <col min="12033" max="12033" width="22" style="94" customWidth="1"/>
    <col min="12034" max="12036" width="8" style="94" bestFit="1" customWidth="1"/>
    <col min="12037" max="12037" width="13.85546875" style="94" customWidth="1"/>
    <col min="12038" max="12038" width="17.28515625" style="94" bestFit="1" customWidth="1"/>
    <col min="12039" max="12050" width="10.7109375" style="94" bestFit="1" customWidth="1"/>
    <col min="12051" max="12286" width="9.140625" style="94"/>
    <col min="12287" max="12287" width="16.28515625" style="94" bestFit="1" customWidth="1"/>
    <col min="12288" max="12288" width="63.28515625" style="94" customWidth="1"/>
    <col min="12289" max="12289" width="22" style="94" customWidth="1"/>
    <col min="12290" max="12292" width="8" style="94" bestFit="1" customWidth="1"/>
    <col min="12293" max="12293" width="13.85546875" style="94" customWidth="1"/>
    <col min="12294" max="12294" width="17.28515625" style="94" bestFit="1" customWidth="1"/>
    <col min="12295" max="12306" width="10.7109375" style="94" bestFit="1" customWidth="1"/>
    <col min="12307" max="12542" width="9.140625" style="94"/>
    <col min="12543" max="12543" width="16.28515625" style="94" bestFit="1" customWidth="1"/>
    <col min="12544" max="12544" width="63.28515625" style="94" customWidth="1"/>
    <col min="12545" max="12545" width="22" style="94" customWidth="1"/>
    <col min="12546" max="12548" width="8" style="94" bestFit="1" customWidth="1"/>
    <col min="12549" max="12549" width="13.85546875" style="94" customWidth="1"/>
    <col min="12550" max="12550" width="17.28515625" style="94" bestFit="1" customWidth="1"/>
    <col min="12551" max="12562" width="10.7109375" style="94" bestFit="1" customWidth="1"/>
    <col min="12563" max="12798" width="9.140625" style="94"/>
    <col min="12799" max="12799" width="16.28515625" style="94" bestFit="1" customWidth="1"/>
    <col min="12800" max="12800" width="63.28515625" style="94" customWidth="1"/>
    <col min="12801" max="12801" width="22" style="94" customWidth="1"/>
    <col min="12802" max="12804" width="8" style="94" bestFit="1" customWidth="1"/>
    <col min="12805" max="12805" width="13.85546875" style="94" customWidth="1"/>
    <col min="12806" max="12806" width="17.28515625" style="94" bestFit="1" customWidth="1"/>
    <col min="12807" max="12818" width="10.7109375" style="94" bestFit="1" customWidth="1"/>
    <col min="12819" max="13054" width="9.140625" style="94"/>
    <col min="13055" max="13055" width="16.28515625" style="94" bestFit="1" customWidth="1"/>
    <col min="13056" max="13056" width="63.28515625" style="94" customWidth="1"/>
    <col min="13057" max="13057" width="22" style="94" customWidth="1"/>
    <col min="13058" max="13060" width="8" style="94" bestFit="1" customWidth="1"/>
    <col min="13061" max="13061" width="13.85546875" style="94" customWidth="1"/>
    <col min="13062" max="13062" width="17.28515625" style="94" bestFit="1" customWidth="1"/>
    <col min="13063" max="13074" width="10.7109375" style="94" bestFit="1" customWidth="1"/>
    <col min="13075" max="13310" width="9.140625" style="94"/>
    <col min="13311" max="13311" width="16.28515625" style="94" bestFit="1" customWidth="1"/>
    <col min="13312" max="13312" width="63.28515625" style="94" customWidth="1"/>
    <col min="13313" max="13313" width="22" style="94" customWidth="1"/>
    <col min="13314" max="13316" width="8" style="94" bestFit="1" customWidth="1"/>
    <col min="13317" max="13317" width="13.85546875" style="94" customWidth="1"/>
    <col min="13318" max="13318" width="17.28515625" style="94" bestFit="1" customWidth="1"/>
    <col min="13319" max="13330" width="10.7109375" style="94" bestFit="1" customWidth="1"/>
    <col min="13331" max="13566" width="9.140625" style="94"/>
    <col min="13567" max="13567" width="16.28515625" style="94" bestFit="1" customWidth="1"/>
    <col min="13568" max="13568" width="63.28515625" style="94" customWidth="1"/>
    <col min="13569" max="13569" width="22" style="94" customWidth="1"/>
    <col min="13570" max="13572" width="8" style="94" bestFit="1" customWidth="1"/>
    <col min="13573" max="13573" width="13.85546875" style="94" customWidth="1"/>
    <col min="13574" max="13574" width="17.28515625" style="94" bestFit="1" customWidth="1"/>
    <col min="13575" max="13586" width="10.7109375" style="94" bestFit="1" customWidth="1"/>
    <col min="13587" max="13822" width="9.140625" style="94"/>
    <col min="13823" max="13823" width="16.28515625" style="94" bestFit="1" customWidth="1"/>
    <col min="13824" max="13824" width="63.28515625" style="94" customWidth="1"/>
    <col min="13825" max="13825" width="22" style="94" customWidth="1"/>
    <col min="13826" max="13828" width="8" style="94" bestFit="1" customWidth="1"/>
    <col min="13829" max="13829" width="13.85546875" style="94" customWidth="1"/>
    <col min="13830" max="13830" width="17.28515625" style="94" bestFit="1" customWidth="1"/>
    <col min="13831" max="13842" width="10.7109375" style="94" bestFit="1" customWidth="1"/>
    <col min="13843" max="14078" width="9.140625" style="94"/>
    <col min="14079" max="14079" width="16.28515625" style="94" bestFit="1" customWidth="1"/>
    <col min="14080" max="14080" width="63.28515625" style="94" customWidth="1"/>
    <col min="14081" max="14081" width="22" style="94" customWidth="1"/>
    <col min="14082" max="14084" width="8" style="94" bestFit="1" customWidth="1"/>
    <col min="14085" max="14085" width="13.85546875" style="94" customWidth="1"/>
    <col min="14086" max="14086" width="17.28515625" style="94" bestFit="1" customWidth="1"/>
    <col min="14087" max="14098" width="10.7109375" style="94" bestFit="1" customWidth="1"/>
    <col min="14099" max="14334" width="9.140625" style="94"/>
    <col min="14335" max="14335" width="16.28515625" style="94" bestFit="1" customWidth="1"/>
    <col min="14336" max="14336" width="63.28515625" style="94" customWidth="1"/>
    <col min="14337" max="14337" width="22" style="94" customWidth="1"/>
    <col min="14338" max="14340" width="8" style="94" bestFit="1" customWidth="1"/>
    <col min="14341" max="14341" width="13.85546875" style="94" customWidth="1"/>
    <col min="14342" max="14342" width="17.28515625" style="94" bestFit="1" customWidth="1"/>
    <col min="14343" max="14354" width="10.7109375" style="94" bestFit="1" customWidth="1"/>
    <col min="14355" max="14590" width="9.140625" style="94"/>
    <col min="14591" max="14591" width="16.28515625" style="94" bestFit="1" customWidth="1"/>
    <col min="14592" max="14592" width="63.28515625" style="94" customWidth="1"/>
    <col min="14593" max="14593" width="22" style="94" customWidth="1"/>
    <col min="14594" max="14596" width="8" style="94" bestFit="1" customWidth="1"/>
    <col min="14597" max="14597" width="13.85546875" style="94" customWidth="1"/>
    <col min="14598" max="14598" width="17.28515625" style="94" bestFit="1" customWidth="1"/>
    <col min="14599" max="14610" width="10.7109375" style="94" bestFit="1" customWidth="1"/>
    <col min="14611" max="14846" width="9.140625" style="94"/>
    <col min="14847" max="14847" width="16.28515625" style="94" bestFit="1" customWidth="1"/>
    <col min="14848" max="14848" width="63.28515625" style="94" customWidth="1"/>
    <col min="14849" max="14849" width="22" style="94" customWidth="1"/>
    <col min="14850" max="14852" width="8" style="94" bestFit="1" customWidth="1"/>
    <col min="14853" max="14853" width="13.85546875" style="94" customWidth="1"/>
    <col min="14854" max="14854" width="17.28515625" style="94" bestFit="1" customWidth="1"/>
    <col min="14855" max="14866" width="10.7109375" style="94" bestFit="1" customWidth="1"/>
    <col min="14867" max="15102" width="9.140625" style="94"/>
    <col min="15103" max="15103" width="16.28515625" style="94" bestFit="1" customWidth="1"/>
    <col min="15104" max="15104" width="63.28515625" style="94" customWidth="1"/>
    <col min="15105" max="15105" width="22" style="94" customWidth="1"/>
    <col min="15106" max="15108" width="8" style="94" bestFit="1" customWidth="1"/>
    <col min="15109" max="15109" width="13.85546875" style="94" customWidth="1"/>
    <col min="15110" max="15110" width="17.28515625" style="94" bestFit="1" customWidth="1"/>
    <col min="15111" max="15122" width="10.7109375" style="94" bestFit="1" customWidth="1"/>
    <col min="15123" max="15358" width="9.140625" style="94"/>
    <col min="15359" max="15359" width="16.28515625" style="94" bestFit="1" customWidth="1"/>
    <col min="15360" max="15360" width="63.28515625" style="94" customWidth="1"/>
    <col min="15361" max="15361" width="22" style="94" customWidth="1"/>
    <col min="15362" max="15364" width="8" style="94" bestFit="1" customWidth="1"/>
    <col min="15365" max="15365" width="13.85546875" style="94" customWidth="1"/>
    <col min="15366" max="15366" width="17.28515625" style="94" bestFit="1" customWidth="1"/>
    <col min="15367" max="15378" width="10.7109375" style="94" bestFit="1" customWidth="1"/>
    <col min="15379" max="15614" width="9.140625" style="94"/>
    <col min="15615" max="15615" width="16.28515625" style="94" bestFit="1" customWidth="1"/>
    <col min="15616" max="15616" width="63.28515625" style="94" customWidth="1"/>
    <col min="15617" max="15617" width="22" style="94" customWidth="1"/>
    <col min="15618" max="15620" width="8" style="94" bestFit="1" customWidth="1"/>
    <col min="15621" max="15621" width="13.85546875" style="94" customWidth="1"/>
    <col min="15622" max="15622" width="17.28515625" style="94" bestFit="1" customWidth="1"/>
    <col min="15623" max="15634" width="10.7109375" style="94" bestFit="1" customWidth="1"/>
    <col min="15635" max="15870" width="9.140625" style="94"/>
    <col min="15871" max="15871" width="16.28515625" style="94" bestFit="1" customWidth="1"/>
    <col min="15872" max="15872" width="63.28515625" style="94" customWidth="1"/>
    <col min="15873" max="15873" width="22" style="94" customWidth="1"/>
    <col min="15874" max="15876" width="8" style="94" bestFit="1" customWidth="1"/>
    <col min="15877" max="15877" width="13.85546875" style="94" customWidth="1"/>
    <col min="15878" max="15878" width="17.28515625" style="94" bestFit="1" customWidth="1"/>
    <col min="15879" max="15890" width="10.7109375" style="94" bestFit="1" customWidth="1"/>
    <col min="15891" max="16126" width="9.140625" style="94"/>
    <col min="16127" max="16127" width="16.28515625" style="94" bestFit="1" customWidth="1"/>
    <col min="16128" max="16128" width="63.28515625" style="94" customWidth="1"/>
    <col min="16129" max="16129" width="22" style="94" customWidth="1"/>
    <col min="16130" max="16132" width="8" style="94" bestFit="1" customWidth="1"/>
    <col min="16133" max="16133" width="13.85546875" style="94" customWidth="1"/>
    <col min="16134" max="16134" width="17.28515625" style="94" bestFit="1" customWidth="1"/>
    <col min="16135" max="16146" width="10.7109375" style="94" bestFit="1" customWidth="1"/>
    <col min="16147" max="16384" width="9.140625" style="94"/>
  </cols>
  <sheetData>
    <row r="1" spans="1:32" s="217" customFormat="1" ht="24.95" customHeight="1">
      <c r="B1" s="2272" t="str">
        <f>IF(dms_DataQuality="backcast",INDEX(dms_Worksheet_List,MATCH(dms_Model,dms_Model_List))&amp;" BACKCAST",INDEX(dms_Worksheet_List,MATCH(dms_Model,dms_Model_List)))</f>
        <v>REGULATORY REPORTING STATEMENT</v>
      </c>
      <c r="C1" s="518"/>
      <c r="D1" s="518"/>
      <c r="E1" s="518"/>
      <c r="F1" s="518"/>
      <c r="G1" s="518"/>
      <c r="H1" s="518"/>
      <c r="I1" s="518"/>
      <c r="J1" s="518"/>
      <c r="K1" s="518"/>
      <c r="L1" s="518"/>
      <c r="M1" s="518"/>
      <c r="N1" s="518"/>
      <c r="O1" s="518"/>
      <c r="P1" s="518"/>
      <c r="Q1" s="518"/>
      <c r="R1" s="518"/>
      <c r="S1" s="518"/>
      <c r="T1" s="518"/>
      <c r="U1" s="518"/>
      <c r="V1" s="518"/>
      <c r="W1" s="518"/>
      <c r="X1" s="518"/>
      <c r="Y1" s="518"/>
      <c r="Z1" s="518"/>
      <c r="AA1" s="518"/>
      <c r="AB1" s="518"/>
      <c r="AC1"/>
      <c r="AD1"/>
      <c r="AE1"/>
    </row>
    <row r="2" spans="1:32" s="217" customFormat="1" ht="24.95" customHeight="1">
      <c r="B2" s="2277" t="str">
        <f>INDEX(dms_TradingNameFull_List,MATCH(dms_TradingName,dms_TradingName_List))</f>
        <v>Multinet Gas (DB No.1) Pty Ltd (ACN 086 026 986), Multinet Gas (DB No.2) Pty Ltd (ACN 086 230 122)</v>
      </c>
      <c r="C2" s="220"/>
      <c r="D2" s="220"/>
      <c r="E2" s="220"/>
      <c r="F2" s="220"/>
      <c r="G2" s="220"/>
      <c r="H2" s="220"/>
      <c r="I2" s="220"/>
      <c r="J2" s="220"/>
      <c r="K2" s="220"/>
      <c r="L2" s="220"/>
      <c r="M2" s="220"/>
      <c r="N2" s="220"/>
      <c r="O2" s="220"/>
      <c r="P2" s="220"/>
      <c r="Q2" s="220"/>
      <c r="R2" s="220"/>
      <c r="S2" s="220"/>
      <c r="T2" s="220"/>
      <c r="U2" s="220"/>
      <c r="V2" s="220"/>
      <c r="W2" s="220"/>
      <c r="X2" s="220"/>
      <c r="Y2" s="220"/>
      <c r="Z2" s="220"/>
      <c r="AA2" s="220"/>
      <c r="AB2" s="220"/>
      <c r="AC2"/>
      <c r="AD2"/>
      <c r="AE2"/>
    </row>
    <row r="3" spans="1:32" s="217" customFormat="1" ht="24.95" customHeight="1">
      <c r="B3" s="2277" t="str">
        <f ca="1">IF(SUM(dms_SingleYear_Model)&gt;0,CRY,CONCATENATE(FRCP_y1," to ",dms_MultiYear_FinalYear_Result))</f>
        <v>2018 to 2022</v>
      </c>
      <c r="C3" s="221"/>
      <c r="D3" s="221"/>
      <c r="E3" s="221"/>
      <c r="F3" s="221"/>
      <c r="G3" s="221"/>
      <c r="H3" s="221"/>
      <c r="I3" s="221"/>
      <c r="J3" s="221"/>
      <c r="K3" s="221"/>
      <c r="L3" s="221"/>
      <c r="M3" s="221"/>
      <c r="N3" s="221"/>
      <c r="O3" s="221"/>
      <c r="P3" s="221"/>
      <c r="Q3" s="221"/>
      <c r="R3" s="221"/>
      <c r="S3" s="221"/>
      <c r="T3" s="221"/>
      <c r="U3" s="221"/>
      <c r="V3" s="221"/>
      <c r="W3" s="221"/>
      <c r="X3" s="221"/>
      <c r="Y3" s="221"/>
      <c r="Z3" s="221"/>
      <c r="AA3" s="221"/>
      <c r="AB3" s="221"/>
      <c r="AC3"/>
      <c r="AD3"/>
      <c r="AE3"/>
    </row>
    <row r="4" spans="1:32" s="159" customFormat="1" ht="24" customHeight="1">
      <c r="B4" s="10" t="s">
        <v>496</v>
      </c>
      <c r="C4" s="12"/>
      <c r="D4" s="12"/>
      <c r="E4" s="12"/>
      <c r="F4" s="12"/>
      <c r="G4" s="12"/>
      <c r="H4" s="12"/>
      <c r="I4" s="12"/>
      <c r="J4" s="12"/>
      <c r="K4" s="12"/>
      <c r="L4" s="12"/>
      <c r="M4" s="12"/>
      <c r="N4" s="12"/>
      <c r="O4" s="12"/>
      <c r="P4" s="12"/>
      <c r="Q4" s="12"/>
      <c r="R4" s="12"/>
      <c r="S4" s="12"/>
      <c r="T4" s="12"/>
      <c r="U4" s="12"/>
      <c r="V4" s="12"/>
      <c r="W4" s="12"/>
      <c r="X4" s="12"/>
      <c r="Y4" s="12"/>
      <c r="Z4" s="12"/>
      <c r="AA4" s="12"/>
      <c r="AB4" s="12"/>
      <c r="AC4"/>
      <c r="AD4"/>
      <c r="AE4"/>
    </row>
    <row r="5" spans="1:32">
      <c r="A5" s="391"/>
      <c r="B5" s="940"/>
      <c r="C5" s="725"/>
      <c r="D5" s="725"/>
      <c r="E5" s="725"/>
      <c r="F5" s="725"/>
      <c r="G5" s="725"/>
      <c r="H5" s="725"/>
      <c r="I5" s="725"/>
      <c r="J5" s="725"/>
      <c r="K5" s="725"/>
      <c r="L5" s="725"/>
      <c r="M5" s="725"/>
      <c r="N5" s="725"/>
      <c r="O5" s="725"/>
      <c r="P5" s="725"/>
      <c r="Q5" s="725"/>
      <c r="R5" s="725"/>
      <c r="S5" s="725"/>
      <c r="T5" s="725"/>
      <c r="U5" s="725"/>
      <c r="V5" s="725"/>
      <c r="W5" s="725"/>
      <c r="X5" s="725"/>
      <c r="Y5" s="725"/>
      <c r="Z5" s="725"/>
      <c r="AA5" s="725"/>
      <c r="AB5" s="725"/>
    </row>
    <row r="6" spans="1:32" customFormat="1">
      <c r="A6" s="282"/>
      <c r="B6" s="282"/>
      <c r="C6" s="282"/>
      <c r="D6" s="282"/>
      <c r="E6" s="282"/>
      <c r="F6" s="282"/>
      <c r="G6" s="282"/>
      <c r="H6" s="282"/>
      <c r="I6" s="282"/>
      <c r="J6" s="282"/>
      <c r="K6" s="282"/>
      <c r="L6" s="282"/>
      <c r="M6" s="282"/>
      <c r="N6" s="282"/>
      <c r="O6" s="282"/>
      <c r="P6" s="282"/>
      <c r="Q6" s="282"/>
      <c r="R6" s="282"/>
      <c r="S6" s="282"/>
      <c r="T6" s="282"/>
      <c r="U6" s="282"/>
      <c r="V6" s="282"/>
      <c r="W6" s="282"/>
      <c r="X6" s="282"/>
      <c r="Y6" s="282"/>
      <c r="Z6" s="282"/>
      <c r="AA6" s="282"/>
      <c r="AB6" s="282"/>
    </row>
    <row r="7" spans="1:32">
      <c r="A7" s="725"/>
      <c r="B7" s="4880" t="s">
        <v>61</v>
      </c>
      <c r="C7" s="4880"/>
      <c r="D7" s="4880"/>
      <c r="E7" s="4880"/>
      <c r="F7" s="4880"/>
      <c r="G7" s="4880"/>
      <c r="H7" s="4880"/>
      <c r="I7" s="725"/>
      <c r="J7" s="725"/>
      <c r="K7" s="725"/>
      <c r="L7" s="725"/>
      <c r="M7" s="725"/>
      <c r="N7" s="725"/>
      <c r="O7" s="725"/>
      <c r="P7" s="725"/>
      <c r="Q7" s="725"/>
      <c r="R7" s="725"/>
      <c r="S7" s="725"/>
      <c r="T7" s="725"/>
      <c r="U7" s="725"/>
      <c r="V7" s="725"/>
      <c r="W7" s="725"/>
      <c r="X7" s="725"/>
      <c r="Y7" s="725"/>
      <c r="Z7" s="725"/>
      <c r="AA7" s="725"/>
      <c r="AB7" s="725"/>
    </row>
    <row r="8" spans="1:32" ht="12.75" customHeight="1">
      <c r="A8" s="725"/>
      <c r="B8" s="4881" t="s">
        <v>239</v>
      </c>
      <c r="C8" s="4881"/>
      <c r="D8" s="4881"/>
      <c r="E8" s="4881"/>
      <c r="F8" s="4881"/>
      <c r="G8" s="4881"/>
      <c r="H8" s="4881"/>
      <c r="I8" s="725"/>
      <c r="J8" s="725"/>
      <c r="K8" s="725"/>
      <c r="L8" s="725"/>
      <c r="M8" s="725"/>
      <c r="N8" s="725"/>
      <c r="O8" s="725"/>
      <c r="P8" s="725"/>
      <c r="Q8" s="725"/>
      <c r="R8" s="725"/>
      <c r="S8" s="725"/>
      <c r="T8" s="725"/>
      <c r="U8" s="725"/>
      <c r="V8" s="725"/>
      <c r="W8" s="725"/>
      <c r="X8" s="725"/>
      <c r="Y8" s="725"/>
      <c r="Z8" s="725"/>
      <c r="AA8" s="725"/>
      <c r="AB8" s="725"/>
    </row>
    <row r="9" spans="1:32" s="69" customFormat="1" ht="12.75" customHeight="1">
      <c r="A9" s="392"/>
      <c r="B9" s="4211" t="s">
        <v>497</v>
      </c>
      <c r="C9" s="4211"/>
      <c r="D9" s="154"/>
      <c r="E9" s="154"/>
      <c r="F9" s="811"/>
      <c r="G9" s="154"/>
      <c r="H9" s="154"/>
      <c r="I9" s="299"/>
      <c r="J9" s="299"/>
      <c r="K9" s="299"/>
      <c r="L9" s="299"/>
      <c r="M9" s="299"/>
      <c r="N9" s="299"/>
      <c r="O9" s="299"/>
      <c r="P9" s="392"/>
      <c r="Q9" s="392"/>
      <c r="R9" s="392"/>
      <c r="S9" s="299"/>
      <c r="T9" s="299"/>
      <c r="U9" s="392"/>
      <c r="V9" s="392"/>
      <c r="W9" s="392"/>
      <c r="X9" s="299"/>
      <c r="Y9" s="299"/>
      <c r="Z9" s="392"/>
      <c r="AA9" s="392"/>
      <c r="AB9" s="392"/>
      <c r="AC9"/>
      <c r="AD9"/>
      <c r="AE9"/>
    </row>
    <row r="10" spans="1:32" ht="20.25" customHeight="1">
      <c r="A10" s="725"/>
      <c r="B10" s="4882" t="s">
        <v>406</v>
      </c>
      <c r="C10" s="4883"/>
      <c r="D10" s="4883"/>
      <c r="E10" s="4883"/>
      <c r="F10" s="4883"/>
      <c r="G10" s="4883"/>
      <c r="H10" s="4883"/>
      <c r="I10" s="725"/>
      <c r="J10" s="725"/>
      <c r="K10" s="725"/>
      <c r="L10" s="725"/>
      <c r="M10" s="725"/>
      <c r="N10" s="725"/>
      <c r="O10" s="725"/>
      <c r="P10" s="725"/>
      <c r="Q10" s="725"/>
      <c r="R10" s="725"/>
      <c r="S10" s="725"/>
      <c r="T10" s="725"/>
      <c r="U10" s="725"/>
      <c r="V10" s="725"/>
      <c r="W10" s="725"/>
      <c r="X10" s="725"/>
      <c r="Y10" s="725"/>
      <c r="Z10" s="725"/>
      <c r="AA10" s="725"/>
      <c r="AB10" s="725"/>
    </row>
    <row r="11" spans="1:32" ht="33.75" customHeight="1" thickBot="1">
      <c r="A11" s="725"/>
      <c r="B11" s="147"/>
      <c r="C11" s="725"/>
      <c r="D11" s="725"/>
      <c r="E11" s="725"/>
      <c r="F11" s="725"/>
      <c r="G11" s="725"/>
      <c r="H11" s="725"/>
      <c r="I11" s="725"/>
      <c r="J11" s="725"/>
      <c r="K11" s="725"/>
      <c r="L11" s="725"/>
      <c r="M11" s="725"/>
      <c r="N11" s="725"/>
      <c r="O11" s="725"/>
      <c r="P11" s="725"/>
      <c r="Q11" s="725"/>
      <c r="R11" s="725"/>
      <c r="S11" s="725"/>
      <c r="T11" s="725"/>
      <c r="U11" s="725"/>
      <c r="V11" s="725"/>
      <c r="W11" s="725"/>
      <c r="X11" s="725"/>
      <c r="Y11" s="725"/>
      <c r="Z11" s="725"/>
      <c r="AA11" s="725"/>
      <c r="AB11" s="725"/>
    </row>
    <row r="12" spans="1:32">
      <c r="A12" s="725"/>
      <c r="B12" s="937" t="s">
        <v>265</v>
      </c>
      <c r="C12" s="725"/>
      <c r="D12" s="725"/>
      <c r="E12" s="725"/>
      <c r="F12" s="725"/>
      <c r="G12" s="725"/>
      <c r="H12" s="725"/>
      <c r="I12" s="725"/>
      <c r="J12" s="725"/>
      <c r="K12" s="725"/>
      <c r="L12" s="725"/>
      <c r="M12" s="725"/>
      <c r="N12" s="725"/>
      <c r="O12" s="725"/>
      <c r="P12" s="725"/>
      <c r="Q12" s="725"/>
      <c r="R12" s="725"/>
      <c r="S12" s="725"/>
      <c r="T12" s="725"/>
      <c r="U12" s="725"/>
      <c r="V12" s="725"/>
      <c r="W12" s="725"/>
      <c r="X12" s="725"/>
      <c r="Y12" s="725"/>
      <c r="Z12" s="725"/>
      <c r="AA12" s="725"/>
      <c r="AB12" s="725"/>
    </row>
    <row r="13" spans="1:32" ht="27" customHeight="1" thickBot="1">
      <c r="A13" s="725"/>
      <c r="B13" s="939"/>
      <c r="C13" s="725"/>
      <c r="D13" s="725"/>
      <c r="E13" s="725"/>
      <c r="F13" s="725"/>
      <c r="G13" s="725"/>
      <c r="H13" s="725"/>
      <c r="I13" s="725"/>
      <c r="J13" s="725"/>
      <c r="K13" s="725"/>
      <c r="L13" s="725"/>
      <c r="M13" s="725"/>
      <c r="N13" s="725"/>
      <c r="O13" s="725"/>
      <c r="P13" s="725"/>
      <c r="Q13" s="725"/>
      <c r="R13" s="725"/>
      <c r="S13" s="725"/>
      <c r="T13" s="725"/>
      <c r="U13" s="725"/>
      <c r="V13" s="725"/>
      <c r="W13" s="725"/>
      <c r="X13" s="725"/>
      <c r="Y13" s="725"/>
      <c r="Z13" s="725"/>
      <c r="AA13" s="725"/>
      <c r="AB13" s="725"/>
    </row>
    <row r="14" spans="1:32">
      <c r="A14" s="725"/>
      <c r="B14" s="725"/>
      <c r="C14" s="725"/>
      <c r="D14" s="725"/>
      <c r="E14" s="725"/>
      <c r="F14" s="725"/>
      <c r="G14" s="725"/>
      <c r="H14" s="725"/>
      <c r="I14" s="725"/>
      <c r="J14" s="725"/>
      <c r="K14" s="725"/>
      <c r="L14" s="725"/>
      <c r="M14" s="725"/>
      <c r="N14" s="725"/>
      <c r="O14" s="725"/>
      <c r="P14" s="725"/>
      <c r="Q14" s="725"/>
      <c r="R14" s="725"/>
      <c r="S14" s="725"/>
      <c r="T14" s="725"/>
      <c r="U14" s="725"/>
      <c r="V14" s="725"/>
      <c r="W14" s="725"/>
      <c r="X14" s="725"/>
      <c r="Y14" s="725"/>
      <c r="Z14" s="725"/>
      <c r="AA14" s="725"/>
      <c r="AB14" s="725"/>
    </row>
    <row r="15" spans="1:32" ht="13.5" thickBot="1">
      <c r="A15" s="725"/>
      <c r="B15" s="725"/>
      <c r="C15" s="725"/>
      <c r="D15" s="725"/>
      <c r="E15" s="725"/>
      <c r="F15" s="725"/>
      <c r="G15" s="725"/>
      <c r="H15" s="725"/>
      <c r="I15" s="725"/>
      <c r="J15" s="725"/>
      <c r="K15" s="725"/>
      <c r="L15" s="725"/>
      <c r="M15" s="725"/>
      <c r="N15" s="725"/>
      <c r="O15" s="725"/>
      <c r="P15" s="725"/>
      <c r="Q15" s="725"/>
      <c r="R15" s="725"/>
      <c r="S15" s="725"/>
      <c r="T15" s="725"/>
      <c r="U15" s="725"/>
      <c r="V15" s="725"/>
      <c r="W15" s="725"/>
      <c r="X15" s="725"/>
      <c r="Y15" s="725"/>
      <c r="Z15" s="725"/>
      <c r="AA15" s="725"/>
      <c r="AB15" s="725"/>
    </row>
    <row r="16" spans="1:32" s="69" customFormat="1" ht="34.5" customHeight="1" thickBot="1">
      <c r="A16" s="392"/>
      <c r="B16" s="833" t="s">
        <v>498</v>
      </c>
      <c r="C16" s="863"/>
      <c r="D16" s="863"/>
      <c r="E16" s="863"/>
      <c r="F16" s="863"/>
      <c r="G16" s="863"/>
      <c r="H16" s="863"/>
      <c r="I16" s="863"/>
      <c r="J16" s="863"/>
      <c r="K16" s="864"/>
      <c r="L16" s="864"/>
      <c r="M16" s="864"/>
      <c r="N16" s="864"/>
      <c r="O16" s="864"/>
      <c r="P16" s="864"/>
      <c r="Q16" s="864"/>
      <c r="R16" s="864"/>
      <c r="S16" s="864"/>
      <c r="T16" s="864"/>
      <c r="U16" s="864"/>
      <c r="V16" s="864"/>
      <c r="W16" s="864"/>
      <c r="X16" s="864"/>
      <c r="Y16" s="864"/>
      <c r="Z16" s="864"/>
      <c r="AA16" s="864"/>
      <c r="AB16" s="864"/>
      <c r="AC16" s="864"/>
      <c r="AD16"/>
      <c r="AE16"/>
      <c r="AF16"/>
    </row>
    <row r="17" spans="1:135" ht="20.25" customHeight="1">
      <c r="A17" s="725"/>
      <c r="B17" s="4884"/>
      <c r="C17" s="4794" t="s">
        <v>664</v>
      </c>
      <c r="D17" s="4797" t="s">
        <v>72</v>
      </c>
      <c r="E17" s="4873" t="s">
        <v>37</v>
      </c>
      <c r="F17" s="4752"/>
      <c r="G17" s="4752"/>
      <c r="H17" s="4752"/>
      <c r="I17" s="4752"/>
      <c r="J17" s="4732" t="s">
        <v>75</v>
      </c>
      <c r="K17" s="4732"/>
      <c r="L17" s="4732"/>
      <c r="M17" s="4732"/>
      <c r="N17" s="4732"/>
      <c r="O17" s="4837" t="s">
        <v>267</v>
      </c>
      <c r="P17" s="4837"/>
      <c r="Q17" s="4837"/>
      <c r="R17" s="4837"/>
      <c r="S17" s="4837"/>
      <c r="T17" s="4837"/>
      <c r="U17" s="4837"/>
      <c r="V17" s="4837"/>
      <c r="W17" s="4837"/>
      <c r="X17" s="4837"/>
      <c r="Y17" s="4837"/>
      <c r="Z17" s="4837"/>
      <c r="AA17" s="4837"/>
      <c r="AB17" s="4837"/>
      <c r="AC17" s="4838"/>
      <c r="AF17"/>
    </row>
    <row r="18" spans="1:135" s="65" customFormat="1" ht="20.25" customHeight="1">
      <c r="A18" s="282"/>
      <c r="B18" s="4885"/>
      <c r="C18" s="4795"/>
      <c r="D18" s="4798"/>
      <c r="E18" s="4839" t="s">
        <v>357</v>
      </c>
      <c r="F18" s="4840"/>
      <c r="G18" s="4840"/>
      <c r="H18" s="4840"/>
      <c r="I18" s="4840"/>
      <c r="J18" s="4840"/>
      <c r="K18" s="4840"/>
      <c r="L18" s="4840"/>
      <c r="M18" s="4840"/>
      <c r="N18" s="4840"/>
      <c r="O18" s="4840"/>
      <c r="P18" s="4840"/>
      <c r="Q18" s="4840"/>
      <c r="R18" s="4840"/>
      <c r="S18" s="4840"/>
      <c r="T18" s="4840"/>
      <c r="U18" s="4840"/>
      <c r="V18" s="4840"/>
      <c r="W18" s="4840"/>
      <c r="X18" s="4840"/>
      <c r="Y18" s="4840"/>
      <c r="Z18" s="4840"/>
      <c r="AA18" s="4840"/>
      <c r="AB18" s="4840"/>
      <c r="AC18" s="4841"/>
      <c r="AD18"/>
      <c r="AE18"/>
      <c r="AF18"/>
    </row>
    <row r="19" spans="1:135" s="65" customFormat="1" ht="20.25" customHeight="1">
      <c r="A19" s="282"/>
      <c r="B19" s="4885"/>
      <c r="C19" s="4795"/>
      <c r="D19" s="4798"/>
      <c r="E19" s="4839" t="s">
        <v>56</v>
      </c>
      <c r="F19" s="4840"/>
      <c r="G19" s="4845"/>
      <c r="H19" s="4842" t="s">
        <v>397</v>
      </c>
      <c r="I19" s="4843"/>
      <c r="J19" s="4843"/>
      <c r="K19" s="4843"/>
      <c r="L19" s="4843"/>
      <c r="M19" s="4843"/>
      <c r="N19" s="4843"/>
      <c r="O19" s="4843"/>
      <c r="P19" s="4843"/>
      <c r="Q19" s="4843"/>
      <c r="R19" s="4843"/>
      <c r="S19" s="4843"/>
      <c r="T19" s="4843"/>
      <c r="U19" s="4843"/>
      <c r="V19" s="4843"/>
      <c r="W19" s="4843"/>
      <c r="X19" s="4843"/>
      <c r="Y19" s="4843"/>
      <c r="Z19" s="4843"/>
      <c r="AA19" s="4843"/>
      <c r="AB19" s="4843"/>
      <c r="AC19" s="4844"/>
      <c r="AD19"/>
      <c r="AE19"/>
      <c r="AF19"/>
    </row>
    <row r="20" spans="1:135" s="65" customFormat="1" ht="20.25" customHeight="1" thickBot="1">
      <c r="A20" s="282"/>
      <c r="B20" s="4886"/>
      <c r="C20" s="4796"/>
      <c r="D20" s="4799"/>
      <c r="E20" s="892">
        <f>CRCP_y1</f>
        <v>2013</v>
      </c>
      <c r="F20" s="892">
        <f>CRCP_y2</f>
        <v>2014</v>
      </c>
      <c r="G20" s="892">
        <f>CRCP_y3</f>
        <v>2015</v>
      </c>
      <c r="H20" s="892">
        <f>CRCP_y4</f>
        <v>2016</v>
      </c>
      <c r="I20" s="892">
        <f>CRCP_y5</f>
        <v>2017</v>
      </c>
      <c r="J20" s="892" t="str">
        <f>CONCATENATE(IF(dms_RPT="Calendar",I20+1,(LEFT(I20,4)+1&amp;"-"&amp;IF(MID(I20,6,2)&lt;"09","0"&amp;RIGHT(I20,1)+1,RIGHT(I20,2)+1))))</f>
        <v>2018</v>
      </c>
      <c r="K20" s="892" t="str">
        <f t="shared" ref="K20:AC20" si="0">CONCATENATE(IF(dms_RPT="Calendar",J20+1,(LEFT(J20,4)+1&amp;"-"&amp;IF(MID(J20,6,2)&lt;"09","0"&amp;RIGHT(J20,1)+1,RIGHT(J20,2)+1))))</f>
        <v>2019</v>
      </c>
      <c r="L20" s="892" t="str">
        <f t="shared" si="0"/>
        <v>2020</v>
      </c>
      <c r="M20" s="892" t="str">
        <f t="shared" si="0"/>
        <v>2021</v>
      </c>
      <c r="N20" s="892" t="str">
        <f t="shared" si="0"/>
        <v>2022</v>
      </c>
      <c r="O20" s="892" t="str">
        <f t="shared" si="0"/>
        <v>2023</v>
      </c>
      <c r="P20" s="892" t="str">
        <f t="shared" si="0"/>
        <v>2024</v>
      </c>
      <c r="Q20" s="892" t="str">
        <f t="shared" si="0"/>
        <v>2025</v>
      </c>
      <c r="R20" s="892" t="str">
        <f t="shared" si="0"/>
        <v>2026</v>
      </c>
      <c r="S20" s="892" t="str">
        <f t="shared" si="0"/>
        <v>2027</v>
      </c>
      <c r="T20" s="892" t="str">
        <f t="shared" si="0"/>
        <v>2028</v>
      </c>
      <c r="U20" s="892" t="str">
        <f t="shared" si="0"/>
        <v>2029</v>
      </c>
      <c r="V20" s="892" t="str">
        <f t="shared" si="0"/>
        <v>2030</v>
      </c>
      <c r="W20" s="892" t="str">
        <f t="shared" si="0"/>
        <v>2031</v>
      </c>
      <c r="X20" s="892" t="str">
        <f t="shared" si="0"/>
        <v>2032</v>
      </c>
      <c r="Y20" s="892" t="str">
        <f t="shared" si="0"/>
        <v>2033</v>
      </c>
      <c r="Z20" s="892" t="str">
        <f t="shared" si="0"/>
        <v>2034</v>
      </c>
      <c r="AA20" s="892" t="str">
        <f t="shared" si="0"/>
        <v>2035</v>
      </c>
      <c r="AB20" s="892" t="str">
        <f t="shared" si="0"/>
        <v>2036</v>
      </c>
      <c r="AC20" s="892" t="str">
        <f t="shared" si="0"/>
        <v>2037</v>
      </c>
      <c r="AD20"/>
      <c r="AE20"/>
      <c r="AF20"/>
    </row>
    <row r="21" spans="1:135" s="92" customFormat="1" ht="18.75" customHeight="1" thickBot="1">
      <c r="A21" s="299"/>
      <c r="B21" s="771" t="s">
        <v>661</v>
      </c>
      <c r="C21" s="772"/>
      <c r="D21" s="772"/>
      <c r="E21" s="772"/>
      <c r="F21" s="772"/>
      <c r="G21" s="772"/>
      <c r="H21" s="772"/>
      <c r="I21" s="772"/>
      <c r="J21" s="772"/>
      <c r="K21" s="814"/>
      <c r="L21" s="814"/>
      <c r="M21" s="814"/>
      <c r="N21" s="814"/>
      <c r="O21" s="814"/>
      <c r="P21" s="814"/>
      <c r="Q21" s="814"/>
      <c r="R21" s="814"/>
      <c r="S21" s="814"/>
      <c r="T21" s="814"/>
      <c r="U21" s="814"/>
      <c r="V21" s="814"/>
      <c r="W21" s="814"/>
      <c r="X21" s="814"/>
      <c r="Y21" s="814"/>
      <c r="Z21" s="814"/>
      <c r="AA21" s="814"/>
      <c r="AB21" s="814"/>
      <c r="AC21" s="773"/>
      <c r="AD21" s="1266"/>
      <c r="AE21" s="1266"/>
      <c r="AF21" s="1266"/>
      <c r="DF21" s="1266"/>
      <c r="DG21" s="1266"/>
      <c r="DH21" s="1266"/>
      <c r="DI21" s="1266"/>
      <c r="DJ21" s="1266"/>
      <c r="DK21" s="1266"/>
      <c r="DL21" s="1266"/>
      <c r="DM21" s="1266"/>
      <c r="DN21" s="1266"/>
      <c r="DO21" s="1266"/>
      <c r="DP21" s="1266"/>
      <c r="DQ21" s="1266"/>
      <c r="DR21" s="1266"/>
      <c r="DS21" s="1266"/>
      <c r="DT21" s="1266"/>
      <c r="DU21" s="1266"/>
      <c r="DV21" s="1266"/>
      <c r="DW21" s="1266"/>
      <c r="DX21" s="1266"/>
      <c r="DY21" s="1266"/>
      <c r="DZ21" s="1266"/>
      <c r="EA21" s="1266"/>
      <c r="EB21" s="1266"/>
      <c r="EC21" s="1266"/>
      <c r="ED21" s="1266"/>
      <c r="EE21" s="1266"/>
    </row>
    <row r="22" spans="1:135" s="501" customFormat="1">
      <c r="B22" s="4878" t="s">
        <v>1469</v>
      </c>
      <c r="C22" s="4876" t="s">
        <v>48</v>
      </c>
      <c r="D22" s="4877"/>
      <c r="E22" s="1691"/>
      <c r="F22" s="1680"/>
      <c r="G22" s="1680"/>
      <c r="H22" s="1680"/>
      <c r="I22" s="1692"/>
      <c r="J22" s="1679"/>
      <c r="K22" s="1651"/>
      <c r="L22" s="1651"/>
      <c r="M22" s="1651"/>
      <c r="N22" s="1652"/>
      <c r="O22" s="1650"/>
      <c r="P22" s="1651"/>
      <c r="Q22" s="1651"/>
      <c r="R22" s="1651"/>
      <c r="S22" s="1651"/>
      <c r="T22" s="1651"/>
      <c r="U22" s="1651"/>
      <c r="V22" s="1651"/>
      <c r="W22" s="1651"/>
      <c r="X22" s="1651"/>
      <c r="Y22" s="1651"/>
      <c r="Z22" s="1651"/>
      <c r="AA22" s="1651"/>
      <c r="AB22" s="1651"/>
      <c r="AC22" s="1652"/>
      <c r="AD22" s="1266"/>
      <c r="AE22" s="1266"/>
      <c r="AF22" s="223"/>
      <c r="AG22" s="223"/>
      <c r="AH22" s="223"/>
      <c r="AI22" s="223"/>
      <c r="AJ22" s="223"/>
      <c r="AK22" s="223"/>
      <c r="AL22" s="223"/>
      <c r="AM22" s="223"/>
      <c r="AN22" s="223"/>
      <c r="AO22" s="223"/>
      <c r="AP22" s="223"/>
      <c r="AQ22" s="223"/>
      <c r="AR22" s="223"/>
      <c r="AS22" s="223"/>
      <c r="AT22" s="223"/>
      <c r="AU22" s="223"/>
      <c r="AV22" s="223"/>
      <c r="AW22" s="223"/>
      <c r="AX22" s="223"/>
      <c r="AY22" s="223"/>
      <c r="AZ22" s="223"/>
      <c r="BA22" s="223"/>
      <c r="BB22" s="223"/>
      <c r="BC22" s="223"/>
      <c r="BD22" s="223"/>
      <c r="BE22" s="223"/>
      <c r="BF22" s="223"/>
      <c r="BG22" s="223"/>
      <c r="BH22" s="223"/>
      <c r="BI22" s="223"/>
      <c r="BJ22" s="223"/>
      <c r="BK22" s="223"/>
      <c r="BL22" s="223"/>
      <c r="BM22" s="223"/>
      <c r="BN22" s="223"/>
      <c r="BO22" s="223"/>
      <c r="BP22" s="223"/>
      <c r="BQ22" s="223"/>
      <c r="BR22" s="223"/>
      <c r="BS22" s="223"/>
      <c r="BT22" s="223"/>
      <c r="BU22" s="223"/>
      <c r="BV22" s="223"/>
      <c r="BW22" s="223"/>
      <c r="BX22" s="223"/>
      <c r="BY22" s="223"/>
      <c r="BZ22" s="223"/>
      <c r="CA22" s="223"/>
      <c r="CB22" s="223"/>
      <c r="CC22" s="223"/>
      <c r="CD22" s="223"/>
      <c r="CE22" s="223"/>
      <c r="CF22" s="223"/>
      <c r="CG22" s="223"/>
      <c r="CH22" s="223"/>
      <c r="CI22" s="223"/>
      <c r="CJ22" s="223"/>
      <c r="CK22" s="223"/>
      <c r="CL22" s="223"/>
      <c r="CM22" s="223"/>
      <c r="CN22" s="223"/>
      <c r="CO22" s="223"/>
      <c r="CP22" s="223"/>
      <c r="CQ22" s="223"/>
      <c r="CR22" s="223"/>
      <c r="CS22" s="223"/>
      <c r="CT22" s="223"/>
      <c r="CU22" s="223"/>
      <c r="CV22" s="223"/>
      <c r="CW22" s="223"/>
      <c r="CX22" s="223"/>
      <c r="CY22" s="223"/>
      <c r="CZ22" s="223"/>
      <c r="DA22" s="223"/>
      <c r="DB22" s="223"/>
      <c r="DC22" s="223"/>
      <c r="DD22" s="223"/>
      <c r="DE22" s="223"/>
      <c r="DF22" s="223"/>
      <c r="DG22" s="223"/>
      <c r="DH22" s="223"/>
      <c r="DI22" s="223"/>
      <c r="DJ22" s="223"/>
      <c r="DK22" s="223"/>
      <c r="DL22" s="223"/>
      <c r="DM22" s="223"/>
      <c r="DN22" s="223"/>
      <c r="DO22" s="223"/>
      <c r="DP22" s="223"/>
    </row>
    <row r="23" spans="1:135" s="501" customFormat="1">
      <c r="B23" s="4878"/>
      <c r="C23" s="890" t="s">
        <v>289</v>
      </c>
      <c r="D23" s="790" t="s">
        <v>288</v>
      </c>
      <c r="E23" s="1654"/>
      <c r="F23" s="889"/>
      <c r="G23" s="889"/>
      <c r="H23" s="889"/>
      <c r="I23" s="1648"/>
      <c r="J23" s="738"/>
      <c r="K23" s="708"/>
      <c r="L23" s="708"/>
      <c r="M23" s="708"/>
      <c r="N23" s="790"/>
      <c r="O23" s="738"/>
      <c r="P23" s="708"/>
      <c r="Q23" s="708"/>
      <c r="R23" s="708"/>
      <c r="S23" s="708"/>
      <c r="T23" s="708"/>
      <c r="U23" s="708"/>
      <c r="V23" s="708"/>
      <c r="W23" s="708"/>
      <c r="X23" s="708"/>
      <c r="Y23" s="708"/>
      <c r="Z23" s="708"/>
      <c r="AA23" s="708"/>
      <c r="AB23" s="708"/>
      <c r="AC23" s="790"/>
      <c r="AD23" s="1266"/>
      <c r="AE23" s="1266"/>
      <c r="AF23" s="223"/>
      <c r="AG23" s="223"/>
      <c r="AH23" s="223"/>
      <c r="AI23" s="223"/>
      <c r="AJ23" s="223"/>
      <c r="AK23" s="223"/>
      <c r="AL23" s="223"/>
      <c r="AM23" s="223"/>
      <c r="AN23" s="223"/>
      <c r="AO23" s="223"/>
      <c r="AP23" s="223"/>
      <c r="AQ23" s="223"/>
      <c r="AR23" s="223"/>
      <c r="AS23" s="223"/>
      <c r="AT23" s="223"/>
      <c r="AU23" s="223"/>
      <c r="AV23" s="223"/>
      <c r="AW23" s="223"/>
      <c r="AX23" s="223"/>
      <c r="AY23" s="223"/>
      <c r="AZ23" s="223"/>
      <c r="BA23" s="223"/>
      <c r="BB23" s="223"/>
      <c r="BC23" s="223"/>
      <c r="BD23" s="223"/>
      <c r="BE23" s="223"/>
      <c r="BF23" s="223"/>
      <c r="BG23" s="223"/>
      <c r="BH23" s="223"/>
      <c r="BI23" s="223"/>
      <c r="BJ23" s="223"/>
      <c r="BK23" s="223"/>
      <c r="BL23" s="223"/>
      <c r="BM23" s="223"/>
      <c r="BN23" s="223"/>
      <c r="BO23" s="223"/>
      <c r="BP23" s="223"/>
      <c r="BQ23" s="223"/>
      <c r="BR23" s="223"/>
      <c r="BS23" s="223"/>
      <c r="BT23" s="223"/>
      <c r="BU23" s="223"/>
      <c r="BV23" s="223"/>
      <c r="BW23" s="223"/>
      <c r="BX23" s="223"/>
      <c r="BY23" s="223"/>
      <c r="BZ23" s="223"/>
      <c r="CA23" s="223"/>
      <c r="CB23" s="223"/>
      <c r="CC23" s="223"/>
      <c r="CD23" s="223"/>
      <c r="CE23" s="223"/>
      <c r="CF23" s="223"/>
      <c r="CG23" s="223"/>
      <c r="CH23" s="223"/>
      <c r="CI23" s="223"/>
      <c r="CJ23" s="223"/>
      <c r="CK23" s="223"/>
      <c r="CL23" s="223"/>
      <c r="CM23" s="223"/>
      <c r="CN23" s="223"/>
      <c r="CO23" s="223"/>
      <c r="CP23" s="223"/>
      <c r="CQ23" s="223"/>
      <c r="CR23" s="223"/>
      <c r="CS23" s="223"/>
      <c r="CT23" s="223"/>
      <c r="CU23" s="223"/>
      <c r="CV23" s="223"/>
      <c r="CW23" s="223"/>
      <c r="CX23" s="223"/>
      <c r="CY23" s="223"/>
      <c r="CZ23" s="223"/>
      <c r="DA23" s="223"/>
      <c r="DB23" s="223"/>
      <c r="DC23" s="223"/>
      <c r="DD23" s="223"/>
      <c r="DE23" s="223"/>
      <c r="DF23" s="223"/>
      <c r="DG23" s="223"/>
      <c r="DH23" s="223"/>
      <c r="DI23" s="223"/>
      <c r="DJ23" s="223"/>
      <c r="DK23" s="223"/>
      <c r="DL23" s="223"/>
      <c r="DM23" s="223"/>
      <c r="DN23" s="223"/>
      <c r="DO23" s="223"/>
      <c r="DP23" s="223"/>
    </row>
    <row r="24" spans="1:135" s="501" customFormat="1">
      <c r="B24" s="4878"/>
      <c r="C24" s="890" t="s">
        <v>289</v>
      </c>
      <c r="D24" s="790" t="s">
        <v>288</v>
      </c>
      <c r="E24" s="1654"/>
      <c r="F24" s="889"/>
      <c r="G24" s="889"/>
      <c r="H24" s="889"/>
      <c r="I24" s="1648"/>
      <c r="J24" s="738"/>
      <c r="K24" s="708"/>
      <c r="L24" s="708"/>
      <c r="M24" s="708"/>
      <c r="N24" s="790"/>
      <c r="O24" s="738"/>
      <c r="P24" s="708"/>
      <c r="Q24" s="708"/>
      <c r="R24" s="708"/>
      <c r="S24" s="708"/>
      <c r="T24" s="708"/>
      <c r="U24" s="708"/>
      <c r="V24" s="708"/>
      <c r="W24" s="708"/>
      <c r="X24" s="708"/>
      <c r="Y24" s="708"/>
      <c r="Z24" s="708"/>
      <c r="AA24" s="708"/>
      <c r="AB24" s="708"/>
      <c r="AC24" s="790"/>
      <c r="AD24" s="1266"/>
      <c r="AE24" s="1266"/>
      <c r="AF24" s="223"/>
      <c r="AG24" s="223"/>
      <c r="AH24" s="223"/>
      <c r="AI24" s="223"/>
      <c r="AJ24" s="223"/>
      <c r="AK24" s="223"/>
      <c r="AL24" s="223"/>
      <c r="AM24" s="223"/>
      <c r="AN24" s="223"/>
      <c r="AO24" s="223"/>
      <c r="AP24" s="223"/>
      <c r="AQ24" s="223"/>
      <c r="AR24" s="223"/>
      <c r="AS24" s="223"/>
      <c r="AT24" s="223"/>
      <c r="AU24" s="223"/>
      <c r="AV24" s="223"/>
      <c r="AW24" s="223"/>
      <c r="AX24" s="223"/>
      <c r="AY24" s="223"/>
      <c r="AZ24" s="223"/>
      <c r="BA24" s="223"/>
      <c r="BB24" s="223"/>
      <c r="BC24" s="223"/>
      <c r="BD24" s="223"/>
      <c r="BE24" s="223"/>
      <c r="BF24" s="223"/>
      <c r="BG24" s="223"/>
      <c r="BH24" s="223"/>
      <c r="BI24" s="223"/>
      <c r="BJ24" s="223"/>
      <c r="BK24" s="223"/>
      <c r="BL24" s="223"/>
      <c r="BM24" s="223"/>
      <c r="BN24" s="223"/>
      <c r="BO24" s="223"/>
      <c r="BP24" s="223"/>
      <c r="BQ24" s="223"/>
      <c r="BR24" s="223"/>
      <c r="BS24" s="223"/>
      <c r="BT24" s="223"/>
      <c r="BU24" s="223"/>
      <c r="BV24" s="223"/>
      <c r="BW24" s="223"/>
      <c r="BX24" s="223"/>
      <c r="BY24" s="223"/>
      <c r="BZ24" s="223"/>
      <c r="CA24" s="223"/>
      <c r="CB24" s="223"/>
      <c r="CC24" s="223"/>
      <c r="CD24" s="223"/>
      <c r="CE24" s="223"/>
      <c r="CF24" s="223"/>
      <c r="CG24" s="223"/>
      <c r="CH24" s="223"/>
      <c r="CI24" s="223"/>
      <c r="CJ24" s="223"/>
      <c r="CK24" s="223"/>
      <c r="CL24" s="223"/>
      <c r="CM24" s="223"/>
      <c r="CN24" s="223"/>
      <c r="CO24" s="223"/>
      <c r="CP24" s="223"/>
      <c r="CQ24" s="223"/>
      <c r="CR24" s="223"/>
      <c r="CS24" s="223"/>
      <c r="CT24" s="223"/>
      <c r="CU24" s="223"/>
      <c r="CV24" s="223"/>
      <c r="CW24" s="223"/>
      <c r="CX24" s="223"/>
      <c r="CY24" s="223"/>
      <c r="CZ24" s="223"/>
      <c r="DA24" s="223"/>
      <c r="DB24" s="223"/>
      <c r="DC24" s="223"/>
      <c r="DD24" s="223"/>
      <c r="DE24" s="223"/>
      <c r="DF24" s="223"/>
      <c r="DG24" s="223"/>
      <c r="DH24" s="223"/>
      <c r="DI24" s="223"/>
      <c r="DJ24" s="223"/>
      <c r="DK24" s="223"/>
      <c r="DL24" s="223"/>
      <c r="DM24" s="223"/>
      <c r="DN24" s="223"/>
      <c r="DO24" s="223"/>
      <c r="DP24" s="223"/>
    </row>
    <row r="25" spans="1:135" s="501" customFormat="1">
      <c r="B25" s="4878"/>
      <c r="C25" s="890" t="s">
        <v>289</v>
      </c>
      <c r="D25" s="790" t="s">
        <v>288</v>
      </c>
      <c r="E25" s="1654"/>
      <c r="F25" s="889"/>
      <c r="G25" s="889"/>
      <c r="H25" s="889"/>
      <c r="I25" s="1648"/>
      <c r="J25" s="738"/>
      <c r="K25" s="708"/>
      <c r="L25" s="708"/>
      <c r="M25" s="708"/>
      <c r="N25" s="790"/>
      <c r="O25" s="738"/>
      <c r="P25" s="708"/>
      <c r="Q25" s="708"/>
      <c r="R25" s="708"/>
      <c r="S25" s="708"/>
      <c r="T25" s="708"/>
      <c r="U25" s="708"/>
      <c r="V25" s="708"/>
      <c r="W25" s="708"/>
      <c r="X25" s="708"/>
      <c r="Y25" s="708"/>
      <c r="Z25" s="708"/>
      <c r="AA25" s="708"/>
      <c r="AB25" s="708"/>
      <c r="AC25" s="790"/>
      <c r="AD25" s="1266"/>
      <c r="AE25" s="1266"/>
      <c r="AF25" s="223"/>
      <c r="AG25" s="223"/>
      <c r="AH25" s="223"/>
      <c r="AI25" s="223"/>
      <c r="AJ25" s="223"/>
      <c r="AK25" s="223"/>
      <c r="AL25" s="223"/>
      <c r="AM25" s="223"/>
      <c r="AN25" s="223"/>
      <c r="AO25" s="223"/>
      <c r="AP25" s="223"/>
      <c r="AQ25" s="223"/>
      <c r="AR25" s="223"/>
      <c r="AS25" s="223"/>
      <c r="AT25" s="223"/>
      <c r="AU25" s="223"/>
      <c r="AV25" s="223"/>
      <c r="AW25" s="223"/>
      <c r="AX25" s="223"/>
      <c r="AY25" s="223"/>
      <c r="AZ25" s="223"/>
      <c r="BA25" s="223"/>
      <c r="BB25" s="223"/>
      <c r="BC25" s="223"/>
      <c r="BD25" s="223"/>
      <c r="BE25" s="223"/>
      <c r="BF25" s="223"/>
      <c r="BG25" s="223"/>
      <c r="BH25" s="223"/>
      <c r="BI25" s="223"/>
      <c r="BJ25" s="223"/>
      <c r="BK25" s="223"/>
      <c r="BL25" s="223"/>
      <c r="BM25" s="223"/>
      <c r="BN25" s="223"/>
      <c r="BO25" s="223"/>
      <c r="BP25" s="223"/>
      <c r="BQ25" s="223"/>
      <c r="BR25" s="223"/>
      <c r="BS25" s="223"/>
      <c r="BT25" s="223"/>
      <c r="BU25" s="223"/>
      <c r="BV25" s="223"/>
      <c r="BW25" s="223"/>
      <c r="BX25" s="223"/>
      <c r="BY25" s="223"/>
      <c r="BZ25" s="223"/>
      <c r="CA25" s="223"/>
      <c r="CB25" s="223"/>
      <c r="CC25" s="223"/>
      <c r="CD25" s="223"/>
      <c r="CE25" s="223"/>
      <c r="CF25" s="223"/>
      <c r="CG25" s="223"/>
      <c r="CH25" s="223"/>
      <c r="CI25" s="223"/>
      <c r="CJ25" s="223"/>
      <c r="CK25" s="223"/>
      <c r="CL25" s="223"/>
      <c r="CM25" s="223"/>
      <c r="CN25" s="223"/>
      <c r="CO25" s="223"/>
      <c r="CP25" s="223"/>
      <c r="CQ25" s="223"/>
      <c r="CR25" s="223"/>
      <c r="CS25" s="223"/>
      <c r="CT25" s="223"/>
      <c r="CU25" s="223"/>
      <c r="CV25" s="223"/>
      <c r="CW25" s="223"/>
      <c r="CX25" s="223"/>
      <c r="CY25" s="223"/>
      <c r="CZ25" s="223"/>
      <c r="DA25" s="223"/>
      <c r="DB25" s="223"/>
      <c r="DC25" s="223"/>
      <c r="DD25" s="223"/>
      <c r="DE25" s="223"/>
      <c r="DF25" s="223"/>
      <c r="DG25" s="223"/>
      <c r="DH25" s="223"/>
      <c r="DI25" s="223"/>
      <c r="DJ25" s="223"/>
      <c r="DK25" s="223"/>
      <c r="DL25" s="223"/>
      <c r="DM25" s="223"/>
      <c r="DN25" s="223"/>
      <c r="DO25" s="223"/>
      <c r="DP25" s="223"/>
    </row>
    <row r="26" spans="1:135" s="501" customFormat="1">
      <c r="B26" s="4878"/>
      <c r="C26" s="890" t="s">
        <v>289</v>
      </c>
      <c r="D26" s="790" t="s">
        <v>288</v>
      </c>
      <c r="E26" s="1654"/>
      <c r="F26" s="889"/>
      <c r="G26" s="889"/>
      <c r="H26" s="889"/>
      <c r="I26" s="1648"/>
      <c r="J26" s="738"/>
      <c r="K26" s="708"/>
      <c r="L26" s="708"/>
      <c r="M26" s="708"/>
      <c r="N26" s="790"/>
      <c r="O26" s="738"/>
      <c r="P26" s="708"/>
      <c r="Q26" s="708"/>
      <c r="R26" s="708"/>
      <c r="S26" s="708"/>
      <c r="T26" s="708"/>
      <c r="U26" s="708"/>
      <c r="V26" s="708"/>
      <c r="W26" s="708"/>
      <c r="X26" s="708"/>
      <c r="Y26" s="708"/>
      <c r="Z26" s="708"/>
      <c r="AA26" s="708"/>
      <c r="AB26" s="708"/>
      <c r="AC26" s="790"/>
      <c r="AD26" s="1266"/>
      <c r="AE26" s="1266"/>
      <c r="AF26" s="223"/>
      <c r="AG26" s="223"/>
      <c r="AH26" s="223"/>
      <c r="AI26" s="223"/>
      <c r="AJ26" s="223"/>
      <c r="AK26" s="223"/>
      <c r="AL26" s="223"/>
      <c r="AM26" s="223"/>
      <c r="AN26" s="223"/>
      <c r="AO26" s="223"/>
      <c r="AP26" s="223"/>
      <c r="AQ26" s="223"/>
      <c r="AR26" s="223"/>
      <c r="AS26" s="223"/>
      <c r="AT26" s="223"/>
      <c r="AU26" s="223"/>
      <c r="AV26" s="223"/>
      <c r="AW26" s="223"/>
      <c r="AX26" s="223"/>
      <c r="AY26" s="223"/>
      <c r="AZ26" s="223"/>
      <c r="BA26" s="223"/>
      <c r="BB26" s="223"/>
      <c r="BC26" s="223"/>
      <c r="BD26" s="223"/>
      <c r="BE26" s="223"/>
      <c r="BF26" s="223"/>
      <c r="BG26" s="223"/>
      <c r="BH26" s="223"/>
      <c r="BI26" s="223"/>
      <c r="BJ26" s="223"/>
      <c r="BK26" s="223"/>
      <c r="BL26" s="223"/>
      <c r="BM26" s="223"/>
      <c r="BN26" s="223"/>
      <c r="BO26" s="223"/>
      <c r="BP26" s="223"/>
      <c r="BQ26" s="223"/>
      <c r="BR26" s="223"/>
      <c r="BS26" s="223"/>
      <c r="BT26" s="223"/>
      <c r="BU26" s="223"/>
      <c r="BV26" s="223"/>
      <c r="BW26" s="223"/>
      <c r="BX26" s="223"/>
      <c r="BY26" s="223"/>
      <c r="BZ26" s="223"/>
      <c r="CA26" s="223"/>
      <c r="CB26" s="223"/>
      <c r="CC26" s="223"/>
      <c r="CD26" s="223"/>
      <c r="CE26" s="223"/>
      <c r="CF26" s="223"/>
      <c r="CG26" s="223"/>
      <c r="CH26" s="223"/>
      <c r="CI26" s="223"/>
      <c r="CJ26" s="223"/>
      <c r="CK26" s="223"/>
      <c r="CL26" s="223"/>
      <c r="CM26" s="223"/>
      <c r="CN26" s="223"/>
      <c r="CO26" s="223"/>
      <c r="CP26" s="223"/>
      <c r="CQ26" s="223"/>
      <c r="CR26" s="223"/>
      <c r="CS26" s="223"/>
      <c r="CT26" s="223"/>
      <c r="CU26" s="223"/>
      <c r="CV26" s="223"/>
      <c r="CW26" s="223"/>
      <c r="CX26" s="223"/>
      <c r="CY26" s="223"/>
      <c r="CZ26" s="223"/>
      <c r="DA26" s="223"/>
      <c r="DB26" s="223"/>
      <c r="DC26" s="223"/>
      <c r="DD26" s="223"/>
      <c r="DE26" s="223"/>
      <c r="DF26" s="223"/>
      <c r="DG26" s="223"/>
      <c r="DH26" s="223"/>
      <c r="DI26" s="223"/>
      <c r="DJ26" s="223"/>
      <c r="DK26" s="223"/>
      <c r="DL26" s="223"/>
      <c r="DM26" s="223"/>
      <c r="DN26" s="223"/>
      <c r="DO26" s="223"/>
      <c r="DP26" s="223"/>
    </row>
    <row r="27" spans="1:135" s="501" customFormat="1">
      <c r="B27" s="4878"/>
      <c r="C27" s="890" t="s">
        <v>289</v>
      </c>
      <c r="D27" s="790" t="s">
        <v>288</v>
      </c>
      <c r="E27" s="1654"/>
      <c r="F27" s="889"/>
      <c r="G27" s="889"/>
      <c r="H27" s="889"/>
      <c r="I27" s="1648"/>
      <c r="J27" s="738"/>
      <c r="K27" s="708"/>
      <c r="L27" s="708"/>
      <c r="M27" s="708"/>
      <c r="N27" s="790"/>
      <c r="O27" s="738"/>
      <c r="P27" s="708"/>
      <c r="Q27" s="708"/>
      <c r="R27" s="708"/>
      <c r="S27" s="708"/>
      <c r="T27" s="708"/>
      <c r="U27" s="708"/>
      <c r="V27" s="708"/>
      <c r="W27" s="708"/>
      <c r="X27" s="708"/>
      <c r="Y27" s="708"/>
      <c r="Z27" s="708"/>
      <c r="AA27" s="708"/>
      <c r="AB27" s="708"/>
      <c r="AC27" s="790"/>
      <c r="AD27" s="1266"/>
      <c r="AE27" s="1266"/>
      <c r="AF27" s="223"/>
      <c r="AG27" s="223"/>
      <c r="AH27" s="223"/>
      <c r="AI27" s="223"/>
      <c r="AJ27" s="223"/>
      <c r="AK27" s="223"/>
      <c r="AL27" s="223"/>
      <c r="AM27" s="223"/>
      <c r="AN27" s="223"/>
      <c r="AO27" s="223"/>
      <c r="AP27" s="223"/>
      <c r="AQ27" s="223"/>
      <c r="AR27" s="223"/>
      <c r="AS27" s="223"/>
      <c r="AT27" s="223"/>
      <c r="AU27" s="223"/>
      <c r="AV27" s="223"/>
      <c r="AW27" s="223"/>
      <c r="AX27" s="223"/>
      <c r="AY27" s="223"/>
      <c r="AZ27" s="223"/>
      <c r="BA27" s="223"/>
      <c r="BB27" s="223"/>
      <c r="BC27" s="223"/>
      <c r="BD27" s="223"/>
      <c r="BE27" s="223"/>
      <c r="BF27" s="223"/>
      <c r="BG27" s="223"/>
      <c r="BH27" s="223"/>
      <c r="BI27" s="223"/>
      <c r="BJ27" s="223"/>
      <c r="BK27" s="223"/>
      <c r="BL27" s="223"/>
      <c r="BM27" s="223"/>
      <c r="BN27" s="223"/>
      <c r="BO27" s="223"/>
      <c r="BP27" s="223"/>
      <c r="BQ27" s="223"/>
      <c r="BR27" s="223"/>
      <c r="BS27" s="223"/>
      <c r="BT27" s="223"/>
      <c r="BU27" s="223"/>
      <c r="BV27" s="223"/>
      <c r="BW27" s="223"/>
      <c r="BX27" s="223"/>
      <c r="BY27" s="223"/>
      <c r="BZ27" s="223"/>
      <c r="CA27" s="223"/>
      <c r="CB27" s="223"/>
      <c r="CC27" s="223"/>
      <c r="CD27" s="223"/>
      <c r="CE27" s="223"/>
      <c r="CF27" s="223"/>
      <c r="CG27" s="223"/>
      <c r="CH27" s="223"/>
      <c r="CI27" s="223"/>
      <c r="CJ27" s="223"/>
      <c r="CK27" s="223"/>
      <c r="CL27" s="223"/>
      <c r="CM27" s="223"/>
      <c r="CN27" s="223"/>
      <c r="CO27" s="223"/>
      <c r="CP27" s="223"/>
      <c r="CQ27" s="223"/>
      <c r="CR27" s="223"/>
      <c r="CS27" s="223"/>
      <c r="CT27" s="223"/>
      <c r="CU27" s="223"/>
      <c r="CV27" s="223"/>
      <c r="CW27" s="223"/>
      <c r="CX27" s="223"/>
      <c r="CY27" s="223"/>
      <c r="CZ27" s="223"/>
      <c r="DA27" s="223"/>
      <c r="DB27" s="223"/>
      <c r="DC27" s="223"/>
      <c r="DD27" s="223"/>
      <c r="DE27" s="223"/>
      <c r="DF27" s="223"/>
      <c r="DG27" s="223"/>
      <c r="DH27" s="223"/>
      <c r="DI27" s="223"/>
      <c r="DJ27" s="223"/>
      <c r="DK27" s="223"/>
      <c r="DL27" s="223"/>
      <c r="DM27" s="223"/>
      <c r="DN27" s="223"/>
      <c r="DO27" s="223"/>
      <c r="DP27" s="223"/>
    </row>
    <row r="28" spans="1:135" s="501" customFormat="1">
      <c r="B28" s="4878"/>
      <c r="C28" s="890" t="s">
        <v>289</v>
      </c>
      <c r="D28" s="790" t="s">
        <v>288</v>
      </c>
      <c r="E28" s="1654"/>
      <c r="F28" s="889"/>
      <c r="G28" s="889"/>
      <c r="H28" s="889"/>
      <c r="I28" s="1648"/>
      <c r="J28" s="738"/>
      <c r="K28" s="708"/>
      <c r="L28" s="708"/>
      <c r="M28" s="708"/>
      <c r="N28" s="790"/>
      <c r="O28" s="738"/>
      <c r="P28" s="708"/>
      <c r="Q28" s="708"/>
      <c r="R28" s="708"/>
      <c r="S28" s="708"/>
      <c r="T28" s="708"/>
      <c r="U28" s="708"/>
      <c r="V28" s="708"/>
      <c r="W28" s="708"/>
      <c r="X28" s="708"/>
      <c r="Y28" s="708"/>
      <c r="Z28" s="708"/>
      <c r="AA28" s="708"/>
      <c r="AB28" s="708"/>
      <c r="AC28" s="790"/>
      <c r="AD28" s="1266"/>
      <c r="AE28" s="1266"/>
      <c r="AF28" s="223"/>
      <c r="AG28" s="223"/>
      <c r="AH28" s="223"/>
      <c r="AI28" s="223"/>
      <c r="AJ28" s="223"/>
      <c r="AK28" s="223"/>
      <c r="AL28" s="223"/>
      <c r="AM28" s="223"/>
      <c r="AN28" s="223"/>
      <c r="AO28" s="223"/>
      <c r="AP28" s="223"/>
      <c r="AQ28" s="223"/>
      <c r="AR28" s="223"/>
      <c r="AS28" s="223"/>
      <c r="AT28" s="223"/>
      <c r="AU28" s="223"/>
      <c r="AV28" s="223"/>
      <c r="AW28" s="223"/>
      <c r="AX28" s="223"/>
      <c r="AY28" s="223"/>
      <c r="AZ28" s="223"/>
      <c r="BA28" s="223"/>
      <c r="BB28" s="223"/>
      <c r="BC28" s="223"/>
      <c r="BD28" s="223"/>
      <c r="BE28" s="223"/>
      <c r="BF28" s="223"/>
      <c r="BG28" s="223"/>
      <c r="BH28" s="223"/>
      <c r="BI28" s="223"/>
      <c r="BJ28" s="223"/>
      <c r="BK28" s="223"/>
      <c r="BL28" s="223"/>
      <c r="BM28" s="223"/>
      <c r="BN28" s="223"/>
      <c r="BO28" s="223"/>
      <c r="BP28" s="223"/>
      <c r="BQ28" s="223"/>
      <c r="BR28" s="223"/>
      <c r="BS28" s="223"/>
      <c r="BT28" s="223"/>
      <c r="BU28" s="223"/>
      <c r="BV28" s="223"/>
      <c r="BW28" s="223"/>
      <c r="BX28" s="223"/>
      <c r="BY28" s="223"/>
      <c r="BZ28" s="223"/>
      <c r="CA28" s="223"/>
      <c r="CB28" s="223"/>
      <c r="CC28" s="223"/>
      <c r="CD28" s="223"/>
      <c r="CE28" s="223"/>
      <c r="CF28" s="223"/>
      <c r="CG28" s="223"/>
      <c r="CH28" s="223"/>
      <c r="CI28" s="223"/>
      <c r="CJ28" s="223"/>
      <c r="CK28" s="223"/>
      <c r="CL28" s="223"/>
      <c r="CM28" s="223"/>
      <c r="CN28" s="223"/>
      <c r="CO28" s="223"/>
      <c r="CP28" s="223"/>
      <c r="CQ28" s="223"/>
      <c r="CR28" s="223"/>
      <c r="CS28" s="223"/>
      <c r="CT28" s="223"/>
      <c r="CU28" s="223"/>
      <c r="CV28" s="223"/>
      <c r="CW28" s="223"/>
      <c r="CX28" s="223"/>
      <c r="CY28" s="223"/>
      <c r="CZ28" s="223"/>
      <c r="DA28" s="223"/>
      <c r="DB28" s="223"/>
      <c r="DC28" s="223"/>
      <c r="DD28" s="223"/>
      <c r="DE28" s="223"/>
      <c r="DF28" s="223"/>
      <c r="DG28" s="223"/>
      <c r="DH28" s="223"/>
      <c r="DI28" s="223"/>
      <c r="DJ28" s="223"/>
      <c r="DK28" s="223"/>
      <c r="DL28" s="223"/>
      <c r="DM28" s="223"/>
      <c r="DN28" s="223"/>
      <c r="DO28" s="223"/>
      <c r="DP28" s="223"/>
    </row>
    <row r="29" spans="1:135" s="501" customFormat="1" ht="13.5" thickBot="1">
      <c r="B29" s="4879"/>
      <c r="C29" s="1655" t="s">
        <v>65</v>
      </c>
      <c r="D29" s="924"/>
      <c r="E29" s="943">
        <f t="shared" ref="E29:O29" si="1">SUM(E23:E28)</f>
        <v>0</v>
      </c>
      <c r="F29" s="925">
        <f t="shared" si="1"/>
        <v>0</v>
      </c>
      <c r="G29" s="925">
        <f t="shared" si="1"/>
        <v>0</v>
      </c>
      <c r="H29" s="925">
        <f t="shared" si="1"/>
        <v>0</v>
      </c>
      <c r="I29" s="930">
        <f t="shared" si="1"/>
        <v>0</v>
      </c>
      <c r="J29" s="1653">
        <f t="shared" si="1"/>
        <v>0</v>
      </c>
      <c r="K29" s="925">
        <f t="shared" si="1"/>
        <v>0</v>
      </c>
      <c r="L29" s="925">
        <f t="shared" si="1"/>
        <v>0</v>
      </c>
      <c r="M29" s="925">
        <f t="shared" si="1"/>
        <v>0</v>
      </c>
      <c r="N29" s="924">
        <f t="shared" si="1"/>
        <v>0</v>
      </c>
      <c r="O29" s="1653">
        <f t="shared" si="1"/>
        <v>0</v>
      </c>
      <c r="P29" s="925">
        <f t="shared" ref="P29:AC29" si="2">SUM(P23:P28)</f>
        <v>0</v>
      </c>
      <c r="Q29" s="925">
        <f t="shared" si="2"/>
        <v>0</v>
      </c>
      <c r="R29" s="925">
        <f t="shared" si="2"/>
        <v>0</v>
      </c>
      <c r="S29" s="925">
        <f t="shared" si="2"/>
        <v>0</v>
      </c>
      <c r="T29" s="925">
        <f t="shared" si="2"/>
        <v>0</v>
      </c>
      <c r="U29" s="925">
        <f t="shared" si="2"/>
        <v>0</v>
      </c>
      <c r="V29" s="925">
        <f t="shared" si="2"/>
        <v>0</v>
      </c>
      <c r="W29" s="925">
        <f t="shared" si="2"/>
        <v>0</v>
      </c>
      <c r="X29" s="925">
        <f t="shared" si="2"/>
        <v>0</v>
      </c>
      <c r="Y29" s="925">
        <f t="shared" si="2"/>
        <v>0</v>
      </c>
      <c r="Z29" s="925">
        <f t="shared" si="2"/>
        <v>0</v>
      </c>
      <c r="AA29" s="925">
        <f t="shared" si="2"/>
        <v>0</v>
      </c>
      <c r="AB29" s="925">
        <f t="shared" si="2"/>
        <v>0</v>
      </c>
      <c r="AC29" s="924">
        <f t="shared" si="2"/>
        <v>0</v>
      </c>
      <c r="AD29" s="1266"/>
      <c r="AE29" s="1266"/>
      <c r="AF29" s="223"/>
      <c r="AG29" s="223"/>
      <c r="AH29" s="223"/>
      <c r="AI29" s="223"/>
      <c r="AJ29" s="223"/>
      <c r="AK29" s="223"/>
      <c r="AL29" s="223"/>
      <c r="AM29" s="223"/>
      <c r="AN29" s="223"/>
      <c r="AO29" s="223"/>
      <c r="AP29" s="223"/>
      <c r="AQ29" s="223"/>
      <c r="AR29" s="223"/>
      <c r="AS29" s="223"/>
      <c r="AT29" s="223"/>
      <c r="AU29" s="223"/>
      <c r="AV29" s="223"/>
      <c r="AW29" s="223"/>
      <c r="AX29" s="223"/>
      <c r="AY29" s="223"/>
      <c r="AZ29" s="223"/>
      <c r="BA29" s="223"/>
      <c r="BB29" s="223"/>
      <c r="BC29" s="223"/>
      <c r="BD29" s="223"/>
      <c r="BE29" s="223"/>
      <c r="BF29" s="223"/>
      <c r="BG29" s="223"/>
      <c r="BH29" s="223"/>
      <c r="BI29" s="223"/>
      <c r="BJ29" s="223"/>
      <c r="BK29" s="223"/>
      <c r="BL29" s="223"/>
      <c r="BM29" s="223"/>
      <c r="BN29" s="223"/>
      <c r="BO29" s="223"/>
      <c r="BP29" s="223"/>
      <c r="BQ29" s="223"/>
      <c r="BR29" s="223"/>
      <c r="BS29" s="223"/>
      <c r="BT29" s="223"/>
      <c r="BU29" s="223"/>
      <c r="BV29" s="223"/>
      <c r="BW29" s="223"/>
      <c r="BX29" s="223"/>
      <c r="BY29" s="223"/>
      <c r="BZ29" s="223"/>
      <c r="CA29" s="223"/>
      <c r="CB29" s="223"/>
      <c r="CC29" s="223"/>
      <c r="CD29" s="223"/>
      <c r="CE29" s="223"/>
      <c r="CF29" s="223"/>
      <c r="CG29" s="223"/>
      <c r="CH29" s="223"/>
      <c r="CI29" s="223"/>
      <c r="CJ29" s="223"/>
      <c r="CK29" s="223"/>
      <c r="CL29" s="223"/>
      <c r="CM29" s="223"/>
      <c r="CN29" s="223"/>
      <c r="CO29" s="223"/>
      <c r="CP29" s="223"/>
      <c r="CQ29" s="223"/>
      <c r="CR29" s="223"/>
      <c r="CS29" s="223"/>
      <c r="CT29" s="223"/>
      <c r="CU29" s="223"/>
      <c r="CV29" s="223"/>
      <c r="CW29" s="223"/>
      <c r="CX29" s="223"/>
      <c r="CY29" s="223"/>
      <c r="CZ29" s="223"/>
      <c r="DA29" s="223"/>
      <c r="DB29" s="223"/>
      <c r="DC29" s="223"/>
      <c r="DD29" s="223"/>
      <c r="DE29" s="223"/>
      <c r="DF29" s="223"/>
      <c r="DG29" s="223"/>
      <c r="DH29" s="223"/>
      <c r="DI29" s="223"/>
      <c r="DJ29" s="223"/>
      <c r="DK29" s="223"/>
      <c r="DL29" s="223"/>
      <c r="DM29" s="223"/>
      <c r="DN29" s="223"/>
      <c r="DO29" s="223"/>
      <c r="DP29" s="223"/>
    </row>
    <row r="30" spans="1:135" s="501" customFormat="1">
      <c r="B30" s="4878" t="s">
        <v>1469</v>
      </c>
      <c r="C30" s="4787" t="s">
        <v>48</v>
      </c>
      <c r="D30" s="4788"/>
      <c r="E30" s="1649"/>
      <c r="F30" s="1609"/>
      <c r="G30" s="1609"/>
      <c r="H30" s="1609"/>
      <c r="I30" s="1647"/>
      <c r="J30" s="1650"/>
      <c r="K30" s="1651"/>
      <c r="L30" s="1651"/>
      <c r="M30" s="1651"/>
      <c r="N30" s="1652"/>
      <c r="O30" s="1650"/>
      <c r="P30" s="1651"/>
      <c r="Q30" s="1651"/>
      <c r="R30" s="1651"/>
      <c r="S30" s="1651"/>
      <c r="T30" s="1651"/>
      <c r="U30" s="1651"/>
      <c r="V30" s="1651"/>
      <c r="W30" s="1651"/>
      <c r="X30" s="1651"/>
      <c r="Y30" s="1651"/>
      <c r="Z30" s="1651"/>
      <c r="AA30" s="1651"/>
      <c r="AB30" s="1651"/>
      <c r="AC30" s="1652"/>
      <c r="AD30" s="1266"/>
      <c r="AE30" s="1266"/>
      <c r="AF30" s="223"/>
      <c r="AG30" s="223"/>
      <c r="AH30" s="223"/>
      <c r="AI30" s="223"/>
      <c r="AJ30" s="223"/>
      <c r="AK30" s="223"/>
      <c r="AL30" s="223"/>
      <c r="AM30" s="223"/>
      <c r="AN30" s="223"/>
      <c r="AO30" s="223"/>
      <c r="AP30" s="223"/>
      <c r="AQ30" s="223"/>
      <c r="AR30" s="223"/>
      <c r="AS30" s="223"/>
      <c r="AT30" s="223"/>
      <c r="AU30" s="223"/>
      <c r="AV30" s="223"/>
      <c r="AW30" s="223"/>
      <c r="AX30" s="223"/>
      <c r="AY30" s="223"/>
      <c r="AZ30" s="223"/>
      <c r="BA30" s="223"/>
      <c r="BB30" s="223"/>
      <c r="BC30" s="223"/>
      <c r="BD30" s="223"/>
      <c r="BE30" s="223"/>
      <c r="BF30" s="223"/>
      <c r="BG30" s="223"/>
      <c r="BH30" s="223"/>
      <c r="BI30" s="223"/>
      <c r="BJ30" s="223"/>
      <c r="BK30" s="223"/>
      <c r="BL30" s="223"/>
      <c r="BM30" s="223"/>
      <c r="BN30" s="223"/>
      <c r="BO30" s="223"/>
      <c r="BP30" s="223"/>
      <c r="BQ30" s="223"/>
      <c r="BR30" s="223"/>
      <c r="BS30" s="223"/>
      <c r="BT30" s="223"/>
      <c r="BU30" s="223"/>
      <c r="BV30" s="223"/>
      <c r="BW30" s="223"/>
      <c r="BX30" s="223"/>
      <c r="BY30" s="223"/>
      <c r="BZ30" s="223"/>
      <c r="CA30" s="223"/>
      <c r="CB30" s="223"/>
      <c r="CC30" s="223"/>
      <c r="CD30" s="223"/>
      <c r="CE30" s="223"/>
      <c r="CF30" s="223"/>
      <c r="CG30" s="223"/>
      <c r="CH30" s="223"/>
      <c r="CI30" s="223"/>
      <c r="CJ30" s="223"/>
      <c r="CK30" s="223"/>
      <c r="CL30" s="223"/>
      <c r="CM30" s="223"/>
      <c r="CN30" s="223"/>
      <c r="CO30" s="223"/>
      <c r="CP30" s="223"/>
      <c r="CQ30" s="223"/>
      <c r="CR30" s="223"/>
      <c r="CS30" s="223"/>
      <c r="CT30" s="223"/>
      <c r="CU30" s="223"/>
      <c r="CV30" s="223"/>
      <c r="CW30" s="223"/>
      <c r="CX30" s="223"/>
      <c r="CY30" s="223"/>
      <c r="CZ30" s="223"/>
      <c r="DA30" s="223"/>
      <c r="DB30" s="223"/>
      <c r="DC30" s="223"/>
      <c r="DD30" s="223"/>
      <c r="DE30" s="223"/>
      <c r="DF30" s="223"/>
      <c r="DG30" s="223"/>
      <c r="DH30" s="223"/>
      <c r="DI30" s="223"/>
      <c r="DJ30" s="223"/>
      <c r="DK30" s="223"/>
      <c r="DL30" s="223"/>
      <c r="DM30" s="223"/>
      <c r="DN30" s="223"/>
      <c r="DO30" s="223"/>
      <c r="DP30" s="223"/>
    </row>
    <row r="31" spans="1:135" s="501" customFormat="1">
      <c r="B31" s="4878"/>
      <c r="C31" s="890" t="s">
        <v>289</v>
      </c>
      <c r="D31" s="790" t="s">
        <v>288</v>
      </c>
      <c r="E31" s="1654"/>
      <c r="F31" s="889"/>
      <c r="G31" s="889"/>
      <c r="H31" s="889"/>
      <c r="I31" s="1648"/>
      <c r="J31" s="738"/>
      <c r="K31" s="708"/>
      <c r="L31" s="708"/>
      <c r="M31" s="708"/>
      <c r="N31" s="790"/>
      <c r="O31" s="738"/>
      <c r="P31" s="708"/>
      <c r="Q31" s="708"/>
      <c r="R31" s="708"/>
      <c r="S31" s="708"/>
      <c r="T31" s="708"/>
      <c r="U31" s="708"/>
      <c r="V31" s="708"/>
      <c r="W31" s="708"/>
      <c r="X31" s="708"/>
      <c r="Y31" s="708"/>
      <c r="Z31" s="708"/>
      <c r="AA31" s="708"/>
      <c r="AB31" s="708"/>
      <c r="AC31" s="790"/>
      <c r="AD31" s="1266"/>
      <c r="AE31" s="1266"/>
      <c r="AF31" s="223"/>
      <c r="AG31" s="223"/>
      <c r="AH31" s="223"/>
      <c r="AI31" s="223"/>
      <c r="AJ31" s="223"/>
      <c r="AK31" s="223"/>
      <c r="AL31" s="223"/>
      <c r="AM31" s="223"/>
      <c r="AN31" s="223"/>
      <c r="AO31" s="223"/>
      <c r="AP31" s="223"/>
      <c r="AQ31" s="223"/>
      <c r="AR31" s="223"/>
      <c r="AS31" s="223"/>
      <c r="AT31" s="223"/>
      <c r="AU31" s="223"/>
      <c r="AV31" s="223"/>
      <c r="AW31" s="223"/>
      <c r="AX31" s="223"/>
      <c r="AY31" s="223"/>
      <c r="AZ31" s="223"/>
      <c r="BA31" s="223"/>
      <c r="BB31" s="223"/>
      <c r="BC31" s="223"/>
      <c r="BD31" s="223"/>
      <c r="BE31" s="223"/>
      <c r="BF31" s="223"/>
      <c r="BG31" s="223"/>
      <c r="BH31" s="223"/>
      <c r="BI31" s="223"/>
      <c r="BJ31" s="223"/>
      <c r="BK31" s="223"/>
      <c r="BL31" s="223"/>
      <c r="BM31" s="223"/>
      <c r="BN31" s="223"/>
      <c r="BO31" s="223"/>
      <c r="BP31" s="223"/>
      <c r="BQ31" s="223"/>
      <c r="BR31" s="223"/>
      <c r="BS31" s="223"/>
      <c r="BT31" s="223"/>
      <c r="BU31" s="223"/>
      <c r="BV31" s="223"/>
      <c r="BW31" s="223"/>
      <c r="BX31" s="223"/>
      <c r="BY31" s="223"/>
      <c r="BZ31" s="223"/>
      <c r="CA31" s="223"/>
      <c r="CB31" s="223"/>
      <c r="CC31" s="223"/>
      <c r="CD31" s="223"/>
      <c r="CE31" s="223"/>
      <c r="CF31" s="223"/>
      <c r="CG31" s="223"/>
      <c r="CH31" s="223"/>
      <c r="CI31" s="223"/>
      <c r="CJ31" s="223"/>
      <c r="CK31" s="223"/>
      <c r="CL31" s="223"/>
      <c r="CM31" s="223"/>
      <c r="CN31" s="223"/>
      <c r="CO31" s="223"/>
      <c r="CP31" s="223"/>
      <c r="CQ31" s="223"/>
      <c r="CR31" s="223"/>
      <c r="CS31" s="223"/>
      <c r="CT31" s="223"/>
      <c r="CU31" s="223"/>
      <c r="CV31" s="223"/>
      <c r="CW31" s="223"/>
      <c r="CX31" s="223"/>
      <c r="CY31" s="223"/>
      <c r="CZ31" s="223"/>
      <c r="DA31" s="223"/>
      <c r="DB31" s="223"/>
      <c r="DC31" s="223"/>
      <c r="DD31" s="223"/>
      <c r="DE31" s="223"/>
      <c r="DF31" s="223"/>
      <c r="DG31" s="223"/>
      <c r="DH31" s="223"/>
      <c r="DI31" s="223"/>
      <c r="DJ31" s="223"/>
      <c r="DK31" s="223"/>
      <c r="DL31" s="223"/>
      <c r="DM31" s="223"/>
      <c r="DN31" s="223"/>
      <c r="DO31" s="223"/>
      <c r="DP31" s="223"/>
    </row>
    <row r="32" spans="1:135" s="501" customFormat="1">
      <c r="B32" s="4878"/>
      <c r="C32" s="890" t="s">
        <v>289</v>
      </c>
      <c r="D32" s="790" t="s">
        <v>288</v>
      </c>
      <c r="E32" s="1654"/>
      <c r="F32" s="889"/>
      <c r="G32" s="889"/>
      <c r="H32" s="889"/>
      <c r="I32" s="1648"/>
      <c r="J32" s="738"/>
      <c r="K32" s="708"/>
      <c r="L32" s="708"/>
      <c r="M32" s="708"/>
      <c r="N32" s="790"/>
      <c r="O32" s="738"/>
      <c r="P32" s="708"/>
      <c r="Q32" s="708"/>
      <c r="R32" s="708"/>
      <c r="S32" s="708"/>
      <c r="T32" s="708"/>
      <c r="U32" s="708"/>
      <c r="V32" s="708"/>
      <c r="W32" s="708"/>
      <c r="X32" s="708"/>
      <c r="Y32" s="708"/>
      <c r="Z32" s="708"/>
      <c r="AA32" s="708"/>
      <c r="AB32" s="708"/>
      <c r="AC32" s="790"/>
      <c r="AD32" s="1266"/>
      <c r="AE32" s="1266"/>
      <c r="AF32" s="223"/>
      <c r="AG32" s="223"/>
      <c r="AH32" s="223"/>
      <c r="AI32" s="223"/>
      <c r="AJ32" s="223"/>
      <c r="AK32" s="223"/>
      <c r="AL32" s="223"/>
      <c r="AM32" s="223"/>
      <c r="AN32" s="223"/>
      <c r="AO32" s="223"/>
      <c r="AP32" s="223"/>
      <c r="AQ32" s="223"/>
      <c r="AR32" s="223"/>
      <c r="AS32" s="223"/>
      <c r="AT32" s="223"/>
      <c r="AU32" s="223"/>
      <c r="AV32" s="223"/>
      <c r="AW32" s="223"/>
      <c r="AX32" s="223"/>
      <c r="AY32" s="223"/>
      <c r="AZ32" s="223"/>
      <c r="BA32" s="223"/>
      <c r="BB32" s="223"/>
      <c r="BC32" s="223"/>
      <c r="BD32" s="223"/>
      <c r="BE32" s="223"/>
      <c r="BF32" s="223"/>
      <c r="BG32" s="223"/>
      <c r="BH32" s="223"/>
      <c r="BI32" s="223"/>
      <c r="BJ32" s="223"/>
      <c r="BK32" s="223"/>
      <c r="BL32" s="223"/>
      <c r="BM32" s="223"/>
      <c r="BN32" s="223"/>
      <c r="BO32" s="223"/>
      <c r="BP32" s="223"/>
      <c r="BQ32" s="223"/>
      <c r="BR32" s="223"/>
      <c r="BS32" s="223"/>
      <c r="BT32" s="223"/>
      <c r="BU32" s="223"/>
      <c r="BV32" s="223"/>
      <c r="BW32" s="223"/>
      <c r="BX32" s="223"/>
      <c r="BY32" s="223"/>
      <c r="BZ32" s="223"/>
      <c r="CA32" s="223"/>
      <c r="CB32" s="223"/>
      <c r="CC32" s="223"/>
      <c r="CD32" s="223"/>
      <c r="CE32" s="223"/>
      <c r="CF32" s="223"/>
      <c r="CG32" s="223"/>
      <c r="CH32" s="223"/>
      <c r="CI32" s="223"/>
      <c r="CJ32" s="223"/>
      <c r="CK32" s="223"/>
      <c r="CL32" s="223"/>
      <c r="CM32" s="223"/>
      <c r="CN32" s="223"/>
      <c r="CO32" s="223"/>
      <c r="CP32" s="223"/>
      <c r="CQ32" s="223"/>
      <c r="CR32" s="223"/>
      <c r="CS32" s="223"/>
      <c r="CT32" s="223"/>
      <c r="CU32" s="223"/>
      <c r="CV32" s="223"/>
      <c r="CW32" s="223"/>
      <c r="CX32" s="223"/>
      <c r="CY32" s="223"/>
      <c r="CZ32" s="223"/>
      <c r="DA32" s="223"/>
      <c r="DB32" s="223"/>
      <c r="DC32" s="223"/>
      <c r="DD32" s="223"/>
      <c r="DE32" s="223"/>
      <c r="DF32" s="223"/>
      <c r="DG32" s="223"/>
      <c r="DH32" s="223"/>
      <c r="DI32" s="223"/>
      <c r="DJ32" s="223"/>
      <c r="DK32" s="223"/>
      <c r="DL32" s="223"/>
      <c r="DM32" s="223"/>
      <c r="DN32" s="223"/>
      <c r="DO32" s="223"/>
      <c r="DP32" s="223"/>
    </row>
    <row r="33" spans="2:120" s="501" customFormat="1">
      <c r="B33" s="4878"/>
      <c r="C33" s="890" t="s">
        <v>289</v>
      </c>
      <c r="D33" s="790" t="s">
        <v>288</v>
      </c>
      <c r="E33" s="1654"/>
      <c r="F33" s="889"/>
      <c r="G33" s="889"/>
      <c r="H33" s="889"/>
      <c r="I33" s="1648"/>
      <c r="J33" s="738"/>
      <c r="K33" s="708"/>
      <c r="L33" s="708"/>
      <c r="M33" s="708"/>
      <c r="N33" s="790"/>
      <c r="O33" s="738"/>
      <c r="P33" s="708"/>
      <c r="Q33" s="708"/>
      <c r="R33" s="708"/>
      <c r="S33" s="708"/>
      <c r="T33" s="708"/>
      <c r="U33" s="708"/>
      <c r="V33" s="708"/>
      <c r="W33" s="708"/>
      <c r="X33" s="708"/>
      <c r="Y33" s="708"/>
      <c r="Z33" s="708"/>
      <c r="AA33" s="708"/>
      <c r="AB33" s="708"/>
      <c r="AC33" s="790"/>
      <c r="AD33" s="1266"/>
      <c r="AE33" s="1266"/>
      <c r="AF33" s="223"/>
      <c r="AG33" s="223"/>
      <c r="AH33" s="223"/>
      <c r="AI33" s="223"/>
      <c r="AJ33" s="223"/>
      <c r="AK33" s="223"/>
      <c r="AL33" s="223"/>
      <c r="AM33" s="223"/>
      <c r="AN33" s="223"/>
      <c r="AO33" s="223"/>
      <c r="AP33" s="223"/>
      <c r="AQ33" s="223"/>
      <c r="AR33" s="223"/>
      <c r="AS33" s="223"/>
      <c r="AT33" s="223"/>
      <c r="AU33" s="223"/>
      <c r="AV33" s="223"/>
      <c r="AW33" s="223"/>
      <c r="AX33" s="223"/>
      <c r="AY33" s="223"/>
      <c r="AZ33" s="223"/>
      <c r="BA33" s="223"/>
      <c r="BB33" s="223"/>
      <c r="BC33" s="223"/>
      <c r="BD33" s="223"/>
      <c r="BE33" s="223"/>
      <c r="BF33" s="223"/>
      <c r="BG33" s="223"/>
      <c r="BH33" s="223"/>
      <c r="BI33" s="223"/>
      <c r="BJ33" s="223"/>
      <c r="BK33" s="223"/>
      <c r="BL33" s="223"/>
      <c r="BM33" s="223"/>
      <c r="BN33" s="223"/>
      <c r="BO33" s="223"/>
      <c r="BP33" s="223"/>
      <c r="BQ33" s="223"/>
      <c r="BR33" s="223"/>
      <c r="BS33" s="223"/>
      <c r="BT33" s="223"/>
      <c r="BU33" s="223"/>
      <c r="BV33" s="223"/>
      <c r="BW33" s="223"/>
      <c r="BX33" s="223"/>
      <c r="BY33" s="223"/>
      <c r="BZ33" s="223"/>
      <c r="CA33" s="223"/>
      <c r="CB33" s="223"/>
      <c r="CC33" s="223"/>
      <c r="CD33" s="223"/>
      <c r="CE33" s="223"/>
      <c r="CF33" s="223"/>
      <c r="CG33" s="223"/>
      <c r="CH33" s="223"/>
      <c r="CI33" s="223"/>
      <c r="CJ33" s="223"/>
      <c r="CK33" s="223"/>
      <c r="CL33" s="223"/>
      <c r="CM33" s="223"/>
      <c r="CN33" s="223"/>
      <c r="CO33" s="223"/>
      <c r="CP33" s="223"/>
      <c r="CQ33" s="223"/>
      <c r="CR33" s="223"/>
      <c r="CS33" s="223"/>
      <c r="CT33" s="223"/>
      <c r="CU33" s="223"/>
      <c r="CV33" s="223"/>
      <c r="CW33" s="223"/>
      <c r="CX33" s="223"/>
      <c r="CY33" s="223"/>
      <c r="CZ33" s="223"/>
      <c r="DA33" s="223"/>
      <c r="DB33" s="223"/>
      <c r="DC33" s="223"/>
      <c r="DD33" s="223"/>
      <c r="DE33" s="223"/>
      <c r="DF33" s="223"/>
      <c r="DG33" s="223"/>
      <c r="DH33" s="223"/>
      <c r="DI33" s="223"/>
      <c r="DJ33" s="223"/>
      <c r="DK33" s="223"/>
      <c r="DL33" s="223"/>
      <c r="DM33" s="223"/>
      <c r="DN33" s="223"/>
      <c r="DO33" s="223"/>
      <c r="DP33" s="223"/>
    </row>
    <row r="34" spans="2:120" s="501" customFormat="1">
      <c r="B34" s="4878"/>
      <c r="C34" s="890" t="s">
        <v>289</v>
      </c>
      <c r="D34" s="790" t="s">
        <v>288</v>
      </c>
      <c r="E34" s="1654"/>
      <c r="F34" s="889"/>
      <c r="G34" s="889"/>
      <c r="H34" s="889"/>
      <c r="I34" s="1648"/>
      <c r="J34" s="738"/>
      <c r="K34" s="708"/>
      <c r="L34" s="708"/>
      <c r="M34" s="708"/>
      <c r="N34" s="790"/>
      <c r="O34" s="738"/>
      <c r="P34" s="708"/>
      <c r="Q34" s="708"/>
      <c r="R34" s="708"/>
      <c r="S34" s="708"/>
      <c r="T34" s="708"/>
      <c r="U34" s="708"/>
      <c r="V34" s="708"/>
      <c r="W34" s="708"/>
      <c r="X34" s="708"/>
      <c r="Y34" s="708"/>
      <c r="Z34" s="708"/>
      <c r="AA34" s="708"/>
      <c r="AB34" s="708"/>
      <c r="AC34" s="790"/>
      <c r="AD34" s="1266"/>
      <c r="AE34" s="1266"/>
      <c r="AF34" s="223"/>
      <c r="AG34" s="223"/>
      <c r="AH34" s="223"/>
      <c r="AI34" s="223"/>
      <c r="AJ34" s="223"/>
      <c r="AK34" s="223"/>
      <c r="AL34" s="223"/>
      <c r="AM34" s="223"/>
      <c r="AN34" s="223"/>
      <c r="AO34" s="223"/>
      <c r="AP34" s="223"/>
      <c r="AQ34" s="223"/>
      <c r="AR34" s="223"/>
      <c r="AS34" s="223"/>
      <c r="AT34" s="223"/>
      <c r="AU34" s="223"/>
      <c r="AV34" s="223"/>
      <c r="AW34" s="223"/>
      <c r="AX34" s="223"/>
      <c r="AY34" s="223"/>
      <c r="AZ34" s="223"/>
      <c r="BA34" s="223"/>
      <c r="BB34" s="223"/>
      <c r="BC34" s="223"/>
      <c r="BD34" s="223"/>
      <c r="BE34" s="223"/>
      <c r="BF34" s="223"/>
      <c r="BG34" s="223"/>
      <c r="BH34" s="223"/>
      <c r="BI34" s="223"/>
      <c r="BJ34" s="223"/>
      <c r="BK34" s="223"/>
      <c r="BL34" s="223"/>
      <c r="BM34" s="223"/>
      <c r="BN34" s="223"/>
      <c r="BO34" s="223"/>
      <c r="BP34" s="223"/>
      <c r="BQ34" s="223"/>
      <c r="BR34" s="223"/>
      <c r="BS34" s="223"/>
      <c r="BT34" s="223"/>
      <c r="BU34" s="223"/>
      <c r="BV34" s="223"/>
      <c r="BW34" s="223"/>
      <c r="BX34" s="223"/>
      <c r="BY34" s="223"/>
      <c r="BZ34" s="223"/>
      <c r="CA34" s="223"/>
      <c r="CB34" s="223"/>
      <c r="CC34" s="223"/>
      <c r="CD34" s="223"/>
      <c r="CE34" s="223"/>
      <c r="CF34" s="223"/>
      <c r="CG34" s="223"/>
      <c r="CH34" s="223"/>
      <c r="CI34" s="223"/>
      <c r="CJ34" s="223"/>
      <c r="CK34" s="223"/>
      <c r="CL34" s="223"/>
      <c r="CM34" s="223"/>
      <c r="CN34" s="223"/>
      <c r="CO34" s="223"/>
      <c r="CP34" s="223"/>
      <c r="CQ34" s="223"/>
      <c r="CR34" s="223"/>
      <c r="CS34" s="223"/>
      <c r="CT34" s="223"/>
      <c r="CU34" s="223"/>
      <c r="CV34" s="223"/>
      <c r="CW34" s="223"/>
      <c r="CX34" s="223"/>
      <c r="CY34" s="223"/>
      <c r="CZ34" s="223"/>
      <c r="DA34" s="223"/>
      <c r="DB34" s="223"/>
      <c r="DC34" s="223"/>
      <c r="DD34" s="223"/>
      <c r="DE34" s="223"/>
      <c r="DF34" s="223"/>
      <c r="DG34" s="223"/>
      <c r="DH34" s="223"/>
      <c r="DI34" s="223"/>
      <c r="DJ34" s="223"/>
      <c r="DK34" s="223"/>
      <c r="DL34" s="223"/>
      <c r="DM34" s="223"/>
      <c r="DN34" s="223"/>
      <c r="DO34" s="223"/>
      <c r="DP34" s="223"/>
    </row>
    <row r="35" spans="2:120" s="501" customFormat="1">
      <c r="B35" s="4878"/>
      <c r="C35" s="890" t="s">
        <v>289</v>
      </c>
      <c r="D35" s="790" t="s">
        <v>288</v>
      </c>
      <c r="E35" s="1654"/>
      <c r="F35" s="889"/>
      <c r="G35" s="889"/>
      <c r="H35" s="889"/>
      <c r="I35" s="1648"/>
      <c r="J35" s="738"/>
      <c r="K35" s="708"/>
      <c r="L35" s="708"/>
      <c r="M35" s="708"/>
      <c r="N35" s="790"/>
      <c r="O35" s="738"/>
      <c r="P35" s="708"/>
      <c r="Q35" s="708"/>
      <c r="R35" s="708"/>
      <c r="S35" s="708"/>
      <c r="T35" s="708"/>
      <c r="U35" s="708"/>
      <c r="V35" s="708"/>
      <c r="W35" s="708"/>
      <c r="X35" s="708"/>
      <c r="Y35" s="708"/>
      <c r="Z35" s="708"/>
      <c r="AA35" s="708"/>
      <c r="AB35" s="708"/>
      <c r="AC35" s="790"/>
      <c r="AD35" s="1266"/>
      <c r="AE35" s="1266"/>
      <c r="AF35" s="223"/>
      <c r="AG35" s="223"/>
      <c r="AH35" s="223"/>
      <c r="AI35" s="223"/>
      <c r="AJ35" s="223"/>
      <c r="AK35" s="223"/>
      <c r="AL35" s="223"/>
      <c r="AM35" s="223"/>
      <c r="AN35" s="223"/>
      <c r="AO35" s="223"/>
      <c r="AP35" s="223"/>
      <c r="AQ35" s="223"/>
      <c r="AR35" s="223"/>
      <c r="AS35" s="223"/>
      <c r="AT35" s="223"/>
      <c r="AU35" s="223"/>
      <c r="AV35" s="223"/>
      <c r="AW35" s="223"/>
      <c r="AX35" s="223"/>
      <c r="AY35" s="223"/>
      <c r="AZ35" s="223"/>
      <c r="BA35" s="223"/>
      <c r="BB35" s="223"/>
      <c r="BC35" s="223"/>
      <c r="BD35" s="223"/>
      <c r="BE35" s="223"/>
      <c r="BF35" s="223"/>
      <c r="BG35" s="223"/>
      <c r="BH35" s="223"/>
      <c r="BI35" s="223"/>
      <c r="BJ35" s="223"/>
      <c r="BK35" s="223"/>
      <c r="BL35" s="223"/>
      <c r="BM35" s="223"/>
      <c r="BN35" s="223"/>
      <c r="BO35" s="223"/>
      <c r="BP35" s="223"/>
      <c r="BQ35" s="223"/>
      <c r="BR35" s="223"/>
      <c r="BS35" s="223"/>
      <c r="BT35" s="223"/>
      <c r="BU35" s="223"/>
      <c r="BV35" s="223"/>
      <c r="BW35" s="223"/>
      <c r="BX35" s="223"/>
      <c r="BY35" s="223"/>
      <c r="BZ35" s="223"/>
      <c r="CA35" s="223"/>
      <c r="CB35" s="223"/>
      <c r="CC35" s="223"/>
      <c r="CD35" s="223"/>
      <c r="CE35" s="223"/>
      <c r="CF35" s="223"/>
      <c r="CG35" s="223"/>
      <c r="CH35" s="223"/>
      <c r="CI35" s="223"/>
      <c r="CJ35" s="223"/>
      <c r="CK35" s="223"/>
      <c r="CL35" s="223"/>
      <c r="CM35" s="223"/>
      <c r="CN35" s="223"/>
      <c r="CO35" s="223"/>
      <c r="CP35" s="223"/>
      <c r="CQ35" s="223"/>
      <c r="CR35" s="223"/>
      <c r="CS35" s="223"/>
      <c r="CT35" s="223"/>
      <c r="CU35" s="223"/>
      <c r="CV35" s="223"/>
      <c r="CW35" s="223"/>
      <c r="CX35" s="223"/>
      <c r="CY35" s="223"/>
      <c r="CZ35" s="223"/>
      <c r="DA35" s="223"/>
      <c r="DB35" s="223"/>
      <c r="DC35" s="223"/>
      <c r="DD35" s="223"/>
      <c r="DE35" s="223"/>
      <c r="DF35" s="223"/>
      <c r="DG35" s="223"/>
      <c r="DH35" s="223"/>
      <c r="DI35" s="223"/>
      <c r="DJ35" s="223"/>
      <c r="DK35" s="223"/>
      <c r="DL35" s="223"/>
      <c r="DM35" s="223"/>
      <c r="DN35" s="223"/>
      <c r="DO35" s="223"/>
      <c r="DP35" s="223"/>
    </row>
    <row r="36" spans="2:120" s="501" customFormat="1">
      <c r="B36" s="4878"/>
      <c r="C36" s="890" t="s">
        <v>289</v>
      </c>
      <c r="D36" s="790" t="s">
        <v>288</v>
      </c>
      <c r="E36" s="1654"/>
      <c r="F36" s="889"/>
      <c r="G36" s="889"/>
      <c r="H36" s="889"/>
      <c r="I36" s="1648"/>
      <c r="J36" s="738"/>
      <c r="K36" s="708"/>
      <c r="L36" s="708"/>
      <c r="M36" s="708"/>
      <c r="N36" s="790"/>
      <c r="O36" s="738"/>
      <c r="P36" s="708"/>
      <c r="Q36" s="708"/>
      <c r="R36" s="708"/>
      <c r="S36" s="708"/>
      <c r="T36" s="708"/>
      <c r="U36" s="708"/>
      <c r="V36" s="708"/>
      <c r="W36" s="708"/>
      <c r="X36" s="708"/>
      <c r="Y36" s="708"/>
      <c r="Z36" s="708"/>
      <c r="AA36" s="708"/>
      <c r="AB36" s="708"/>
      <c r="AC36" s="790"/>
      <c r="AD36" s="1266"/>
      <c r="AE36" s="1266"/>
      <c r="AF36" s="223"/>
      <c r="AG36" s="223"/>
      <c r="AH36" s="223"/>
      <c r="AI36" s="223"/>
      <c r="AJ36" s="223"/>
      <c r="AK36" s="223"/>
      <c r="AL36" s="223"/>
      <c r="AM36" s="223"/>
      <c r="AN36" s="223"/>
      <c r="AO36" s="223"/>
      <c r="AP36" s="223"/>
      <c r="AQ36" s="223"/>
      <c r="AR36" s="223"/>
      <c r="AS36" s="223"/>
      <c r="AT36" s="223"/>
      <c r="AU36" s="223"/>
      <c r="AV36" s="223"/>
      <c r="AW36" s="223"/>
      <c r="AX36" s="223"/>
      <c r="AY36" s="223"/>
      <c r="AZ36" s="223"/>
      <c r="BA36" s="223"/>
      <c r="BB36" s="223"/>
      <c r="BC36" s="223"/>
      <c r="BD36" s="223"/>
      <c r="BE36" s="223"/>
      <c r="BF36" s="223"/>
      <c r="BG36" s="223"/>
      <c r="BH36" s="223"/>
      <c r="BI36" s="223"/>
      <c r="BJ36" s="223"/>
      <c r="BK36" s="223"/>
      <c r="BL36" s="223"/>
      <c r="BM36" s="223"/>
      <c r="BN36" s="223"/>
      <c r="BO36" s="223"/>
      <c r="BP36" s="223"/>
      <c r="BQ36" s="223"/>
      <c r="BR36" s="223"/>
      <c r="BS36" s="223"/>
      <c r="BT36" s="223"/>
      <c r="BU36" s="223"/>
      <c r="BV36" s="223"/>
      <c r="BW36" s="223"/>
      <c r="BX36" s="223"/>
      <c r="BY36" s="223"/>
      <c r="BZ36" s="223"/>
      <c r="CA36" s="223"/>
      <c r="CB36" s="223"/>
      <c r="CC36" s="223"/>
      <c r="CD36" s="223"/>
      <c r="CE36" s="223"/>
      <c r="CF36" s="223"/>
      <c r="CG36" s="223"/>
      <c r="CH36" s="223"/>
      <c r="CI36" s="223"/>
      <c r="CJ36" s="223"/>
      <c r="CK36" s="223"/>
      <c r="CL36" s="223"/>
      <c r="CM36" s="223"/>
      <c r="CN36" s="223"/>
      <c r="CO36" s="223"/>
      <c r="CP36" s="223"/>
      <c r="CQ36" s="223"/>
      <c r="CR36" s="223"/>
      <c r="CS36" s="223"/>
      <c r="CT36" s="223"/>
      <c r="CU36" s="223"/>
      <c r="CV36" s="223"/>
      <c r="CW36" s="223"/>
      <c r="CX36" s="223"/>
      <c r="CY36" s="223"/>
      <c r="CZ36" s="223"/>
      <c r="DA36" s="223"/>
      <c r="DB36" s="223"/>
      <c r="DC36" s="223"/>
      <c r="DD36" s="223"/>
      <c r="DE36" s="223"/>
      <c r="DF36" s="223"/>
      <c r="DG36" s="223"/>
      <c r="DH36" s="223"/>
      <c r="DI36" s="223"/>
      <c r="DJ36" s="223"/>
      <c r="DK36" s="223"/>
      <c r="DL36" s="223"/>
      <c r="DM36" s="223"/>
      <c r="DN36" s="223"/>
      <c r="DO36" s="223"/>
      <c r="DP36" s="223"/>
    </row>
    <row r="37" spans="2:120" s="501" customFormat="1" ht="13.5" thickBot="1">
      <c r="B37" s="4879"/>
      <c r="C37" s="1655" t="s">
        <v>65</v>
      </c>
      <c r="D37" s="924"/>
      <c r="E37" s="943">
        <f t="shared" ref="E37:O37" si="3">SUM(E31:E36)</f>
        <v>0</v>
      </c>
      <c r="F37" s="925">
        <f t="shared" si="3"/>
        <v>0</v>
      </c>
      <c r="G37" s="925">
        <f t="shared" si="3"/>
        <v>0</v>
      </c>
      <c r="H37" s="925">
        <f t="shared" si="3"/>
        <v>0</v>
      </c>
      <c r="I37" s="930">
        <f t="shared" si="3"/>
        <v>0</v>
      </c>
      <c r="J37" s="1653">
        <f t="shared" si="3"/>
        <v>0</v>
      </c>
      <c r="K37" s="925">
        <f t="shared" si="3"/>
        <v>0</v>
      </c>
      <c r="L37" s="925">
        <f t="shared" si="3"/>
        <v>0</v>
      </c>
      <c r="M37" s="925">
        <f t="shared" si="3"/>
        <v>0</v>
      </c>
      <c r="N37" s="924">
        <f t="shared" si="3"/>
        <v>0</v>
      </c>
      <c r="O37" s="1653">
        <f t="shared" si="3"/>
        <v>0</v>
      </c>
      <c r="P37" s="925">
        <f t="shared" ref="P37:AC37" si="4">SUM(P31:P36)</f>
        <v>0</v>
      </c>
      <c r="Q37" s="925">
        <f t="shared" si="4"/>
        <v>0</v>
      </c>
      <c r="R37" s="925">
        <f t="shared" si="4"/>
        <v>0</v>
      </c>
      <c r="S37" s="925">
        <f t="shared" si="4"/>
        <v>0</v>
      </c>
      <c r="T37" s="925">
        <f t="shared" si="4"/>
        <v>0</v>
      </c>
      <c r="U37" s="925">
        <f t="shared" si="4"/>
        <v>0</v>
      </c>
      <c r="V37" s="925">
        <f t="shared" si="4"/>
        <v>0</v>
      </c>
      <c r="W37" s="925">
        <f t="shared" si="4"/>
        <v>0</v>
      </c>
      <c r="X37" s="925">
        <f t="shared" si="4"/>
        <v>0</v>
      </c>
      <c r="Y37" s="925">
        <f t="shared" si="4"/>
        <v>0</v>
      </c>
      <c r="Z37" s="925">
        <f t="shared" si="4"/>
        <v>0</v>
      </c>
      <c r="AA37" s="925">
        <f t="shared" si="4"/>
        <v>0</v>
      </c>
      <c r="AB37" s="925">
        <f t="shared" si="4"/>
        <v>0</v>
      </c>
      <c r="AC37" s="924">
        <f t="shared" si="4"/>
        <v>0</v>
      </c>
      <c r="AD37" s="1266"/>
      <c r="AE37" s="1266"/>
      <c r="AF37" s="223"/>
      <c r="AG37" s="223"/>
      <c r="AH37" s="223"/>
      <c r="AI37" s="223"/>
      <c r="AJ37" s="223"/>
      <c r="AK37" s="223"/>
      <c r="AL37" s="223"/>
      <c r="AM37" s="223"/>
      <c r="AN37" s="223"/>
      <c r="AO37" s="223"/>
      <c r="AP37" s="223"/>
      <c r="AQ37" s="223"/>
      <c r="AR37" s="223"/>
      <c r="AS37" s="223"/>
      <c r="AT37" s="223"/>
      <c r="AU37" s="223"/>
      <c r="AV37" s="223"/>
      <c r="AW37" s="223"/>
      <c r="AX37" s="223"/>
      <c r="AY37" s="223"/>
      <c r="AZ37" s="223"/>
      <c r="BA37" s="223"/>
      <c r="BB37" s="223"/>
      <c r="BC37" s="223"/>
      <c r="BD37" s="223"/>
      <c r="BE37" s="223"/>
      <c r="BF37" s="223"/>
      <c r="BG37" s="223"/>
      <c r="BH37" s="223"/>
      <c r="BI37" s="223"/>
      <c r="BJ37" s="223"/>
      <c r="BK37" s="223"/>
      <c r="BL37" s="223"/>
      <c r="BM37" s="223"/>
      <c r="BN37" s="223"/>
      <c r="BO37" s="223"/>
      <c r="BP37" s="223"/>
      <c r="BQ37" s="223"/>
      <c r="BR37" s="223"/>
      <c r="BS37" s="223"/>
      <c r="BT37" s="223"/>
      <c r="BU37" s="223"/>
      <c r="BV37" s="223"/>
      <c r="BW37" s="223"/>
      <c r="BX37" s="223"/>
      <c r="BY37" s="223"/>
      <c r="BZ37" s="223"/>
      <c r="CA37" s="223"/>
      <c r="CB37" s="223"/>
      <c r="CC37" s="223"/>
      <c r="CD37" s="223"/>
      <c r="CE37" s="223"/>
      <c r="CF37" s="223"/>
      <c r="CG37" s="223"/>
      <c r="CH37" s="223"/>
      <c r="CI37" s="223"/>
      <c r="CJ37" s="223"/>
      <c r="CK37" s="223"/>
      <c r="CL37" s="223"/>
      <c r="CM37" s="223"/>
      <c r="CN37" s="223"/>
      <c r="CO37" s="223"/>
      <c r="CP37" s="223"/>
      <c r="CQ37" s="223"/>
      <c r="CR37" s="223"/>
      <c r="CS37" s="223"/>
      <c r="CT37" s="223"/>
      <c r="CU37" s="223"/>
      <c r="CV37" s="223"/>
      <c r="CW37" s="223"/>
      <c r="CX37" s="223"/>
      <c r="CY37" s="223"/>
      <c r="CZ37" s="223"/>
      <c r="DA37" s="223"/>
      <c r="DB37" s="223"/>
      <c r="DC37" s="223"/>
      <c r="DD37" s="223"/>
      <c r="DE37" s="223"/>
      <c r="DF37" s="223"/>
      <c r="DG37" s="223"/>
      <c r="DH37" s="223"/>
      <c r="DI37" s="223"/>
      <c r="DJ37" s="223"/>
      <c r="DK37" s="223"/>
      <c r="DL37" s="223"/>
      <c r="DM37" s="223"/>
      <c r="DN37" s="223"/>
      <c r="DO37" s="223"/>
      <c r="DP37" s="223"/>
    </row>
    <row r="38" spans="2:120" s="501" customFormat="1">
      <c r="B38" s="4878" t="s">
        <v>1469</v>
      </c>
      <c r="C38" s="4787" t="s">
        <v>48</v>
      </c>
      <c r="D38" s="4788"/>
      <c r="E38" s="1649"/>
      <c r="F38" s="1609"/>
      <c r="G38" s="1609"/>
      <c r="H38" s="1609"/>
      <c r="I38" s="1647"/>
      <c r="J38" s="1650"/>
      <c r="K38" s="1651"/>
      <c r="L38" s="1651"/>
      <c r="M38" s="1651"/>
      <c r="N38" s="1652"/>
      <c r="O38" s="1650"/>
      <c r="P38" s="1651"/>
      <c r="Q38" s="1651"/>
      <c r="R38" s="1651"/>
      <c r="S38" s="1651"/>
      <c r="T38" s="1651"/>
      <c r="U38" s="1651"/>
      <c r="V38" s="1651"/>
      <c r="W38" s="1651"/>
      <c r="X38" s="1651"/>
      <c r="Y38" s="1651"/>
      <c r="Z38" s="1651"/>
      <c r="AA38" s="1651"/>
      <c r="AB38" s="1651"/>
      <c r="AC38" s="1652"/>
      <c r="AD38" s="1266"/>
      <c r="AE38" s="1266"/>
      <c r="AF38" s="223"/>
      <c r="AG38" s="223"/>
      <c r="AH38" s="223"/>
      <c r="AI38" s="223"/>
      <c r="AJ38" s="223"/>
      <c r="AK38" s="223"/>
      <c r="AL38" s="223"/>
      <c r="AM38" s="223"/>
      <c r="AN38" s="223"/>
      <c r="AO38" s="223"/>
      <c r="AP38" s="223"/>
      <c r="AQ38" s="223"/>
      <c r="AR38" s="223"/>
      <c r="AS38" s="223"/>
      <c r="AT38" s="223"/>
      <c r="AU38" s="223"/>
      <c r="AV38" s="223"/>
      <c r="AW38" s="223"/>
      <c r="AX38" s="223"/>
      <c r="AY38" s="223"/>
      <c r="AZ38" s="223"/>
      <c r="BA38" s="223"/>
      <c r="BB38" s="223"/>
      <c r="BC38" s="223"/>
      <c r="BD38" s="223"/>
      <c r="BE38" s="223"/>
      <c r="BF38" s="223"/>
      <c r="BG38" s="223"/>
      <c r="BH38" s="223"/>
      <c r="BI38" s="223"/>
      <c r="BJ38" s="223"/>
      <c r="BK38" s="223"/>
      <c r="BL38" s="223"/>
      <c r="BM38" s="223"/>
      <c r="BN38" s="223"/>
      <c r="BO38" s="223"/>
      <c r="BP38" s="223"/>
      <c r="BQ38" s="223"/>
      <c r="BR38" s="223"/>
      <c r="BS38" s="223"/>
      <c r="BT38" s="223"/>
      <c r="BU38" s="223"/>
      <c r="BV38" s="223"/>
      <c r="BW38" s="223"/>
      <c r="BX38" s="223"/>
      <c r="BY38" s="223"/>
      <c r="BZ38" s="223"/>
      <c r="CA38" s="223"/>
      <c r="CB38" s="223"/>
      <c r="CC38" s="223"/>
      <c r="CD38" s="223"/>
      <c r="CE38" s="223"/>
      <c r="CF38" s="223"/>
      <c r="CG38" s="223"/>
      <c r="CH38" s="223"/>
      <c r="CI38" s="223"/>
      <c r="CJ38" s="223"/>
      <c r="CK38" s="223"/>
      <c r="CL38" s="223"/>
      <c r="CM38" s="223"/>
      <c r="CN38" s="223"/>
      <c r="CO38" s="223"/>
      <c r="CP38" s="223"/>
      <c r="CQ38" s="223"/>
      <c r="CR38" s="223"/>
      <c r="CS38" s="223"/>
      <c r="CT38" s="223"/>
      <c r="CU38" s="223"/>
      <c r="CV38" s="223"/>
      <c r="CW38" s="223"/>
      <c r="CX38" s="223"/>
      <c r="CY38" s="223"/>
      <c r="CZ38" s="223"/>
      <c r="DA38" s="223"/>
      <c r="DB38" s="223"/>
      <c r="DC38" s="223"/>
      <c r="DD38" s="223"/>
      <c r="DE38" s="223"/>
      <c r="DF38" s="223"/>
      <c r="DG38" s="223"/>
      <c r="DH38" s="223"/>
      <c r="DI38" s="223"/>
      <c r="DJ38" s="223"/>
      <c r="DK38" s="223"/>
      <c r="DL38" s="223"/>
      <c r="DM38" s="223"/>
      <c r="DN38" s="223"/>
      <c r="DO38" s="223"/>
      <c r="DP38" s="223"/>
    </row>
    <row r="39" spans="2:120" s="501" customFormat="1">
      <c r="B39" s="4878"/>
      <c r="C39" s="890" t="s">
        <v>289</v>
      </c>
      <c r="D39" s="790" t="s">
        <v>288</v>
      </c>
      <c r="E39" s="1654"/>
      <c r="F39" s="889"/>
      <c r="G39" s="889"/>
      <c r="H39" s="889"/>
      <c r="I39" s="1648"/>
      <c r="J39" s="738"/>
      <c r="K39" s="708"/>
      <c r="L39" s="708"/>
      <c r="M39" s="708"/>
      <c r="N39" s="790"/>
      <c r="O39" s="738"/>
      <c r="P39" s="708"/>
      <c r="Q39" s="708"/>
      <c r="R39" s="708"/>
      <c r="S39" s="708"/>
      <c r="T39" s="708"/>
      <c r="U39" s="708"/>
      <c r="V39" s="708"/>
      <c r="W39" s="708"/>
      <c r="X39" s="708"/>
      <c r="Y39" s="708"/>
      <c r="Z39" s="708"/>
      <c r="AA39" s="708"/>
      <c r="AB39" s="708"/>
      <c r="AC39" s="790"/>
      <c r="AD39" s="1266"/>
      <c r="AE39" s="1266"/>
      <c r="AF39" s="223"/>
      <c r="AG39" s="223"/>
      <c r="AH39" s="223"/>
      <c r="AI39" s="223"/>
      <c r="AJ39" s="223"/>
      <c r="AK39" s="223"/>
      <c r="AL39" s="223"/>
      <c r="AM39" s="223"/>
      <c r="AN39" s="223"/>
      <c r="AO39" s="223"/>
      <c r="AP39" s="223"/>
      <c r="AQ39" s="223"/>
      <c r="AR39" s="223"/>
      <c r="AS39" s="223"/>
      <c r="AT39" s="223"/>
      <c r="AU39" s="223"/>
      <c r="AV39" s="223"/>
      <c r="AW39" s="223"/>
      <c r="AX39" s="223"/>
      <c r="AY39" s="223"/>
      <c r="AZ39" s="223"/>
      <c r="BA39" s="223"/>
      <c r="BB39" s="223"/>
      <c r="BC39" s="223"/>
      <c r="BD39" s="223"/>
      <c r="BE39" s="223"/>
      <c r="BF39" s="223"/>
      <c r="BG39" s="223"/>
      <c r="BH39" s="223"/>
      <c r="BI39" s="223"/>
      <c r="BJ39" s="223"/>
      <c r="BK39" s="223"/>
      <c r="BL39" s="223"/>
      <c r="BM39" s="223"/>
      <c r="BN39" s="223"/>
      <c r="BO39" s="223"/>
      <c r="BP39" s="223"/>
      <c r="BQ39" s="223"/>
      <c r="BR39" s="223"/>
      <c r="BS39" s="223"/>
      <c r="BT39" s="223"/>
      <c r="BU39" s="223"/>
      <c r="BV39" s="223"/>
      <c r="BW39" s="223"/>
      <c r="BX39" s="223"/>
      <c r="BY39" s="223"/>
      <c r="BZ39" s="223"/>
      <c r="CA39" s="223"/>
      <c r="CB39" s="223"/>
      <c r="CC39" s="223"/>
      <c r="CD39" s="223"/>
      <c r="CE39" s="223"/>
      <c r="CF39" s="223"/>
      <c r="CG39" s="223"/>
      <c r="CH39" s="223"/>
      <c r="CI39" s="223"/>
      <c r="CJ39" s="223"/>
      <c r="CK39" s="223"/>
      <c r="CL39" s="223"/>
      <c r="CM39" s="223"/>
      <c r="CN39" s="223"/>
      <c r="CO39" s="223"/>
      <c r="CP39" s="223"/>
      <c r="CQ39" s="223"/>
      <c r="CR39" s="223"/>
      <c r="CS39" s="223"/>
      <c r="CT39" s="223"/>
      <c r="CU39" s="223"/>
      <c r="CV39" s="223"/>
      <c r="CW39" s="223"/>
      <c r="CX39" s="223"/>
      <c r="CY39" s="223"/>
      <c r="CZ39" s="223"/>
      <c r="DA39" s="223"/>
      <c r="DB39" s="223"/>
      <c r="DC39" s="223"/>
      <c r="DD39" s="223"/>
      <c r="DE39" s="223"/>
      <c r="DF39" s="223"/>
      <c r="DG39" s="223"/>
      <c r="DH39" s="223"/>
      <c r="DI39" s="223"/>
      <c r="DJ39" s="223"/>
      <c r="DK39" s="223"/>
      <c r="DL39" s="223"/>
      <c r="DM39" s="223"/>
      <c r="DN39" s="223"/>
      <c r="DO39" s="223"/>
      <c r="DP39" s="223"/>
    </row>
    <row r="40" spans="2:120" s="501" customFormat="1">
      <c r="B40" s="4878"/>
      <c r="C40" s="890" t="s">
        <v>289</v>
      </c>
      <c r="D40" s="790" t="s">
        <v>288</v>
      </c>
      <c r="E40" s="1654"/>
      <c r="F40" s="889"/>
      <c r="G40" s="889"/>
      <c r="H40" s="889"/>
      <c r="I40" s="1648"/>
      <c r="J40" s="738"/>
      <c r="K40" s="708"/>
      <c r="L40" s="708"/>
      <c r="M40" s="708"/>
      <c r="N40" s="790"/>
      <c r="O40" s="738"/>
      <c r="P40" s="708"/>
      <c r="Q40" s="708"/>
      <c r="R40" s="708"/>
      <c r="S40" s="708"/>
      <c r="T40" s="708"/>
      <c r="U40" s="708"/>
      <c r="V40" s="708"/>
      <c r="W40" s="708"/>
      <c r="X40" s="708"/>
      <c r="Y40" s="708"/>
      <c r="Z40" s="708"/>
      <c r="AA40" s="708"/>
      <c r="AB40" s="708"/>
      <c r="AC40" s="790"/>
      <c r="AD40" s="1266"/>
      <c r="AE40" s="1266"/>
      <c r="AF40" s="223"/>
      <c r="AG40" s="223"/>
      <c r="AH40" s="223"/>
      <c r="AI40" s="223"/>
      <c r="AJ40" s="223"/>
      <c r="AK40" s="223"/>
      <c r="AL40" s="223"/>
      <c r="AM40" s="223"/>
      <c r="AN40" s="223"/>
      <c r="AO40" s="223"/>
      <c r="AP40" s="223"/>
      <c r="AQ40" s="223"/>
      <c r="AR40" s="223"/>
      <c r="AS40" s="223"/>
      <c r="AT40" s="223"/>
      <c r="AU40" s="223"/>
      <c r="AV40" s="223"/>
      <c r="AW40" s="223"/>
      <c r="AX40" s="223"/>
      <c r="AY40" s="223"/>
      <c r="AZ40" s="223"/>
      <c r="BA40" s="223"/>
      <c r="BB40" s="223"/>
      <c r="BC40" s="223"/>
      <c r="BD40" s="223"/>
      <c r="BE40" s="223"/>
      <c r="BF40" s="223"/>
      <c r="BG40" s="223"/>
      <c r="BH40" s="223"/>
      <c r="BI40" s="223"/>
      <c r="BJ40" s="223"/>
      <c r="BK40" s="223"/>
      <c r="BL40" s="223"/>
      <c r="BM40" s="223"/>
      <c r="BN40" s="223"/>
      <c r="BO40" s="223"/>
      <c r="BP40" s="223"/>
      <c r="BQ40" s="223"/>
      <c r="BR40" s="223"/>
      <c r="BS40" s="223"/>
      <c r="BT40" s="223"/>
      <c r="BU40" s="223"/>
      <c r="BV40" s="223"/>
      <c r="BW40" s="223"/>
      <c r="BX40" s="223"/>
      <c r="BY40" s="223"/>
      <c r="BZ40" s="223"/>
      <c r="CA40" s="223"/>
      <c r="CB40" s="223"/>
      <c r="CC40" s="223"/>
      <c r="CD40" s="223"/>
      <c r="CE40" s="223"/>
      <c r="CF40" s="223"/>
      <c r="CG40" s="223"/>
      <c r="CH40" s="223"/>
      <c r="CI40" s="223"/>
      <c r="CJ40" s="223"/>
      <c r="CK40" s="223"/>
      <c r="CL40" s="223"/>
      <c r="CM40" s="223"/>
      <c r="CN40" s="223"/>
      <c r="CO40" s="223"/>
      <c r="CP40" s="223"/>
      <c r="CQ40" s="223"/>
      <c r="CR40" s="223"/>
      <c r="CS40" s="223"/>
      <c r="CT40" s="223"/>
      <c r="CU40" s="223"/>
      <c r="CV40" s="223"/>
      <c r="CW40" s="223"/>
      <c r="CX40" s="223"/>
      <c r="CY40" s="223"/>
      <c r="CZ40" s="223"/>
      <c r="DA40" s="223"/>
      <c r="DB40" s="223"/>
      <c r="DC40" s="223"/>
      <c r="DD40" s="223"/>
      <c r="DE40" s="223"/>
      <c r="DF40" s="223"/>
      <c r="DG40" s="223"/>
      <c r="DH40" s="223"/>
      <c r="DI40" s="223"/>
      <c r="DJ40" s="223"/>
      <c r="DK40" s="223"/>
      <c r="DL40" s="223"/>
      <c r="DM40" s="223"/>
      <c r="DN40" s="223"/>
      <c r="DO40" s="223"/>
      <c r="DP40" s="223"/>
    </row>
    <row r="41" spans="2:120" s="501" customFormat="1">
      <c r="B41" s="4878"/>
      <c r="C41" s="890" t="s">
        <v>289</v>
      </c>
      <c r="D41" s="790" t="s">
        <v>288</v>
      </c>
      <c r="E41" s="1654"/>
      <c r="F41" s="889"/>
      <c r="G41" s="889"/>
      <c r="H41" s="889"/>
      <c r="I41" s="1648"/>
      <c r="J41" s="738"/>
      <c r="K41" s="708"/>
      <c r="L41" s="708"/>
      <c r="M41" s="708"/>
      <c r="N41" s="790"/>
      <c r="O41" s="738"/>
      <c r="P41" s="708"/>
      <c r="Q41" s="708"/>
      <c r="R41" s="708"/>
      <c r="S41" s="708"/>
      <c r="T41" s="708"/>
      <c r="U41" s="708"/>
      <c r="V41" s="708"/>
      <c r="W41" s="708"/>
      <c r="X41" s="708"/>
      <c r="Y41" s="708"/>
      <c r="Z41" s="708"/>
      <c r="AA41" s="708"/>
      <c r="AB41" s="708"/>
      <c r="AC41" s="790"/>
      <c r="AD41" s="1266"/>
      <c r="AE41" s="1266"/>
      <c r="AF41" s="223"/>
      <c r="AG41" s="223"/>
      <c r="AH41" s="223"/>
      <c r="AI41" s="223"/>
      <c r="AJ41" s="223"/>
      <c r="AK41" s="223"/>
      <c r="AL41" s="223"/>
      <c r="AM41" s="223"/>
      <c r="AN41" s="223"/>
      <c r="AO41" s="223"/>
      <c r="AP41" s="223"/>
      <c r="AQ41" s="223"/>
      <c r="AR41" s="223"/>
      <c r="AS41" s="223"/>
      <c r="AT41" s="223"/>
      <c r="AU41" s="223"/>
      <c r="AV41" s="223"/>
      <c r="AW41" s="223"/>
      <c r="AX41" s="223"/>
      <c r="AY41" s="223"/>
      <c r="AZ41" s="223"/>
      <c r="BA41" s="223"/>
      <c r="BB41" s="223"/>
      <c r="BC41" s="223"/>
      <c r="BD41" s="223"/>
      <c r="BE41" s="223"/>
      <c r="BF41" s="223"/>
      <c r="BG41" s="223"/>
      <c r="BH41" s="223"/>
      <c r="BI41" s="223"/>
      <c r="BJ41" s="223"/>
      <c r="BK41" s="223"/>
      <c r="BL41" s="223"/>
      <c r="BM41" s="223"/>
      <c r="BN41" s="223"/>
      <c r="BO41" s="223"/>
      <c r="BP41" s="223"/>
      <c r="BQ41" s="223"/>
      <c r="BR41" s="223"/>
      <c r="BS41" s="223"/>
      <c r="BT41" s="223"/>
      <c r="BU41" s="223"/>
      <c r="BV41" s="223"/>
      <c r="BW41" s="223"/>
      <c r="BX41" s="223"/>
      <c r="BY41" s="223"/>
      <c r="BZ41" s="223"/>
      <c r="CA41" s="223"/>
      <c r="CB41" s="223"/>
      <c r="CC41" s="223"/>
      <c r="CD41" s="223"/>
      <c r="CE41" s="223"/>
      <c r="CF41" s="223"/>
      <c r="CG41" s="223"/>
      <c r="CH41" s="223"/>
      <c r="CI41" s="223"/>
      <c r="CJ41" s="223"/>
      <c r="CK41" s="223"/>
      <c r="CL41" s="223"/>
      <c r="CM41" s="223"/>
      <c r="CN41" s="223"/>
      <c r="CO41" s="223"/>
      <c r="CP41" s="223"/>
      <c r="CQ41" s="223"/>
      <c r="CR41" s="223"/>
      <c r="CS41" s="223"/>
      <c r="CT41" s="223"/>
      <c r="CU41" s="223"/>
      <c r="CV41" s="223"/>
      <c r="CW41" s="223"/>
      <c r="CX41" s="223"/>
      <c r="CY41" s="223"/>
      <c r="CZ41" s="223"/>
      <c r="DA41" s="223"/>
      <c r="DB41" s="223"/>
      <c r="DC41" s="223"/>
      <c r="DD41" s="223"/>
      <c r="DE41" s="223"/>
      <c r="DF41" s="223"/>
      <c r="DG41" s="223"/>
      <c r="DH41" s="223"/>
      <c r="DI41" s="223"/>
      <c r="DJ41" s="223"/>
      <c r="DK41" s="223"/>
      <c r="DL41" s="223"/>
      <c r="DM41" s="223"/>
      <c r="DN41" s="223"/>
      <c r="DO41" s="223"/>
      <c r="DP41" s="223"/>
    </row>
    <row r="42" spans="2:120" s="501" customFormat="1">
      <c r="B42" s="4878"/>
      <c r="C42" s="890" t="s">
        <v>289</v>
      </c>
      <c r="D42" s="790" t="s">
        <v>288</v>
      </c>
      <c r="E42" s="1654"/>
      <c r="F42" s="889"/>
      <c r="G42" s="889"/>
      <c r="H42" s="889"/>
      <c r="I42" s="1648"/>
      <c r="J42" s="738"/>
      <c r="K42" s="708"/>
      <c r="L42" s="708"/>
      <c r="M42" s="708"/>
      <c r="N42" s="790"/>
      <c r="O42" s="738"/>
      <c r="P42" s="708"/>
      <c r="Q42" s="708"/>
      <c r="R42" s="708"/>
      <c r="S42" s="708"/>
      <c r="T42" s="708"/>
      <c r="U42" s="708"/>
      <c r="V42" s="708"/>
      <c r="W42" s="708"/>
      <c r="X42" s="708"/>
      <c r="Y42" s="708"/>
      <c r="Z42" s="708"/>
      <c r="AA42" s="708"/>
      <c r="AB42" s="708"/>
      <c r="AC42" s="790"/>
      <c r="AD42" s="1266"/>
      <c r="AE42" s="1266"/>
      <c r="AF42" s="223"/>
      <c r="AG42" s="223"/>
      <c r="AH42" s="223"/>
      <c r="AI42" s="223"/>
      <c r="AJ42" s="223"/>
      <c r="AK42" s="223"/>
      <c r="AL42" s="223"/>
      <c r="AM42" s="223"/>
      <c r="AN42" s="223"/>
      <c r="AO42" s="223"/>
      <c r="AP42" s="223"/>
      <c r="AQ42" s="223"/>
      <c r="AR42" s="223"/>
      <c r="AS42" s="223"/>
      <c r="AT42" s="223"/>
      <c r="AU42" s="223"/>
      <c r="AV42" s="223"/>
      <c r="AW42" s="223"/>
      <c r="AX42" s="223"/>
      <c r="AY42" s="223"/>
      <c r="AZ42" s="223"/>
      <c r="BA42" s="223"/>
      <c r="BB42" s="223"/>
      <c r="BC42" s="223"/>
      <c r="BD42" s="223"/>
      <c r="BE42" s="223"/>
      <c r="BF42" s="223"/>
      <c r="BG42" s="223"/>
      <c r="BH42" s="223"/>
      <c r="BI42" s="223"/>
      <c r="BJ42" s="223"/>
      <c r="BK42" s="223"/>
      <c r="BL42" s="223"/>
      <c r="BM42" s="223"/>
      <c r="BN42" s="223"/>
      <c r="BO42" s="223"/>
      <c r="BP42" s="223"/>
      <c r="BQ42" s="223"/>
      <c r="BR42" s="223"/>
      <c r="BS42" s="223"/>
      <c r="BT42" s="223"/>
      <c r="BU42" s="223"/>
      <c r="BV42" s="223"/>
      <c r="BW42" s="223"/>
      <c r="BX42" s="223"/>
      <c r="BY42" s="223"/>
      <c r="BZ42" s="223"/>
      <c r="CA42" s="223"/>
      <c r="CB42" s="223"/>
      <c r="CC42" s="223"/>
      <c r="CD42" s="223"/>
      <c r="CE42" s="223"/>
      <c r="CF42" s="223"/>
      <c r="CG42" s="223"/>
      <c r="CH42" s="223"/>
      <c r="CI42" s="223"/>
      <c r="CJ42" s="223"/>
      <c r="CK42" s="223"/>
      <c r="CL42" s="223"/>
      <c r="CM42" s="223"/>
      <c r="CN42" s="223"/>
      <c r="CO42" s="223"/>
      <c r="CP42" s="223"/>
      <c r="CQ42" s="223"/>
      <c r="CR42" s="223"/>
      <c r="CS42" s="223"/>
      <c r="CT42" s="223"/>
      <c r="CU42" s="223"/>
      <c r="CV42" s="223"/>
      <c r="CW42" s="223"/>
      <c r="CX42" s="223"/>
      <c r="CY42" s="223"/>
      <c r="CZ42" s="223"/>
      <c r="DA42" s="223"/>
      <c r="DB42" s="223"/>
      <c r="DC42" s="223"/>
      <c r="DD42" s="223"/>
      <c r="DE42" s="223"/>
      <c r="DF42" s="223"/>
      <c r="DG42" s="223"/>
      <c r="DH42" s="223"/>
      <c r="DI42" s="223"/>
      <c r="DJ42" s="223"/>
      <c r="DK42" s="223"/>
      <c r="DL42" s="223"/>
      <c r="DM42" s="223"/>
      <c r="DN42" s="223"/>
      <c r="DO42" s="223"/>
      <c r="DP42" s="223"/>
    </row>
    <row r="43" spans="2:120" s="501" customFormat="1">
      <c r="B43" s="4878"/>
      <c r="C43" s="890" t="s">
        <v>289</v>
      </c>
      <c r="D43" s="790" t="s">
        <v>288</v>
      </c>
      <c r="E43" s="1654"/>
      <c r="F43" s="889"/>
      <c r="G43" s="889"/>
      <c r="H43" s="889"/>
      <c r="I43" s="1648"/>
      <c r="J43" s="738"/>
      <c r="K43" s="708"/>
      <c r="L43" s="708"/>
      <c r="M43" s="708"/>
      <c r="N43" s="790"/>
      <c r="O43" s="738"/>
      <c r="P43" s="708"/>
      <c r="Q43" s="708"/>
      <c r="R43" s="708"/>
      <c r="S43" s="708"/>
      <c r="T43" s="708"/>
      <c r="U43" s="708"/>
      <c r="V43" s="708"/>
      <c r="W43" s="708"/>
      <c r="X43" s="708"/>
      <c r="Y43" s="708"/>
      <c r="Z43" s="708"/>
      <c r="AA43" s="708"/>
      <c r="AB43" s="708"/>
      <c r="AC43" s="790"/>
      <c r="AD43" s="1266"/>
      <c r="AE43" s="1266"/>
      <c r="AF43" s="223"/>
      <c r="AG43" s="223"/>
      <c r="AH43" s="223"/>
      <c r="AI43" s="223"/>
      <c r="AJ43" s="223"/>
      <c r="AK43" s="223"/>
      <c r="AL43" s="223"/>
      <c r="AM43" s="223"/>
      <c r="AN43" s="223"/>
      <c r="AO43" s="223"/>
      <c r="AP43" s="223"/>
      <c r="AQ43" s="223"/>
      <c r="AR43" s="223"/>
      <c r="AS43" s="223"/>
      <c r="AT43" s="223"/>
      <c r="AU43" s="223"/>
      <c r="AV43" s="223"/>
      <c r="AW43" s="223"/>
      <c r="AX43" s="223"/>
      <c r="AY43" s="223"/>
      <c r="AZ43" s="223"/>
      <c r="BA43" s="223"/>
      <c r="BB43" s="223"/>
      <c r="BC43" s="223"/>
      <c r="BD43" s="223"/>
      <c r="BE43" s="223"/>
      <c r="BF43" s="223"/>
      <c r="BG43" s="223"/>
      <c r="BH43" s="223"/>
      <c r="BI43" s="223"/>
      <c r="BJ43" s="223"/>
      <c r="BK43" s="223"/>
      <c r="BL43" s="223"/>
      <c r="BM43" s="223"/>
      <c r="BN43" s="223"/>
      <c r="BO43" s="223"/>
      <c r="BP43" s="223"/>
      <c r="BQ43" s="223"/>
      <c r="BR43" s="223"/>
      <c r="BS43" s="223"/>
      <c r="BT43" s="223"/>
      <c r="BU43" s="223"/>
      <c r="BV43" s="223"/>
      <c r="BW43" s="223"/>
      <c r="BX43" s="223"/>
      <c r="BY43" s="223"/>
      <c r="BZ43" s="223"/>
      <c r="CA43" s="223"/>
      <c r="CB43" s="223"/>
      <c r="CC43" s="223"/>
      <c r="CD43" s="223"/>
      <c r="CE43" s="223"/>
      <c r="CF43" s="223"/>
      <c r="CG43" s="223"/>
      <c r="CH43" s="223"/>
      <c r="CI43" s="223"/>
      <c r="CJ43" s="223"/>
      <c r="CK43" s="223"/>
      <c r="CL43" s="223"/>
      <c r="CM43" s="223"/>
      <c r="CN43" s="223"/>
      <c r="CO43" s="223"/>
      <c r="CP43" s="223"/>
      <c r="CQ43" s="223"/>
      <c r="CR43" s="223"/>
      <c r="CS43" s="223"/>
      <c r="CT43" s="223"/>
      <c r="CU43" s="223"/>
      <c r="CV43" s="223"/>
      <c r="CW43" s="223"/>
      <c r="CX43" s="223"/>
      <c r="CY43" s="223"/>
      <c r="CZ43" s="223"/>
      <c r="DA43" s="223"/>
      <c r="DB43" s="223"/>
      <c r="DC43" s="223"/>
      <c r="DD43" s="223"/>
      <c r="DE43" s="223"/>
      <c r="DF43" s="223"/>
      <c r="DG43" s="223"/>
      <c r="DH43" s="223"/>
      <c r="DI43" s="223"/>
      <c r="DJ43" s="223"/>
      <c r="DK43" s="223"/>
      <c r="DL43" s="223"/>
      <c r="DM43" s="223"/>
      <c r="DN43" s="223"/>
      <c r="DO43" s="223"/>
      <c r="DP43" s="223"/>
    </row>
    <row r="44" spans="2:120" s="501" customFormat="1">
      <c r="B44" s="4878"/>
      <c r="C44" s="890" t="s">
        <v>289</v>
      </c>
      <c r="D44" s="790" t="s">
        <v>288</v>
      </c>
      <c r="E44" s="1654"/>
      <c r="F44" s="889"/>
      <c r="G44" s="889"/>
      <c r="H44" s="889"/>
      <c r="I44" s="1648"/>
      <c r="J44" s="738"/>
      <c r="K44" s="708"/>
      <c r="L44" s="708"/>
      <c r="M44" s="708"/>
      <c r="N44" s="790"/>
      <c r="O44" s="738"/>
      <c r="P44" s="708"/>
      <c r="Q44" s="708"/>
      <c r="R44" s="708"/>
      <c r="S44" s="708"/>
      <c r="T44" s="708"/>
      <c r="U44" s="708"/>
      <c r="V44" s="708"/>
      <c r="W44" s="708"/>
      <c r="X44" s="708"/>
      <c r="Y44" s="708"/>
      <c r="Z44" s="708"/>
      <c r="AA44" s="708"/>
      <c r="AB44" s="708"/>
      <c r="AC44" s="790"/>
      <c r="AD44" s="1266"/>
      <c r="AE44" s="1266"/>
      <c r="AF44" s="223"/>
      <c r="AG44" s="223"/>
      <c r="AH44" s="223"/>
      <c r="AI44" s="223"/>
      <c r="AJ44" s="223"/>
      <c r="AK44" s="223"/>
      <c r="AL44" s="223"/>
      <c r="AM44" s="223"/>
      <c r="AN44" s="223"/>
      <c r="AO44" s="223"/>
      <c r="AP44" s="223"/>
      <c r="AQ44" s="223"/>
      <c r="AR44" s="223"/>
      <c r="AS44" s="223"/>
      <c r="AT44" s="223"/>
      <c r="AU44" s="223"/>
      <c r="AV44" s="223"/>
      <c r="AW44" s="223"/>
      <c r="AX44" s="223"/>
      <c r="AY44" s="223"/>
      <c r="AZ44" s="223"/>
      <c r="BA44" s="223"/>
      <c r="BB44" s="223"/>
      <c r="BC44" s="223"/>
      <c r="BD44" s="223"/>
      <c r="BE44" s="223"/>
      <c r="BF44" s="223"/>
      <c r="BG44" s="223"/>
      <c r="BH44" s="223"/>
      <c r="BI44" s="223"/>
      <c r="BJ44" s="223"/>
      <c r="BK44" s="223"/>
      <c r="BL44" s="223"/>
      <c r="BM44" s="223"/>
      <c r="BN44" s="223"/>
      <c r="BO44" s="223"/>
      <c r="BP44" s="223"/>
      <c r="BQ44" s="223"/>
      <c r="BR44" s="223"/>
      <c r="BS44" s="223"/>
      <c r="BT44" s="223"/>
      <c r="BU44" s="223"/>
      <c r="BV44" s="223"/>
      <c r="BW44" s="223"/>
      <c r="BX44" s="223"/>
      <c r="BY44" s="223"/>
      <c r="BZ44" s="223"/>
      <c r="CA44" s="223"/>
      <c r="CB44" s="223"/>
      <c r="CC44" s="223"/>
      <c r="CD44" s="223"/>
      <c r="CE44" s="223"/>
      <c r="CF44" s="223"/>
      <c r="CG44" s="223"/>
      <c r="CH44" s="223"/>
      <c r="CI44" s="223"/>
      <c r="CJ44" s="223"/>
      <c r="CK44" s="223"/>
      <c r="CL44" s="223"/>
      <c r="CM44" s="223"/>
      <c r="CN44" s="223"/>
      <c r="CO44" s="223"/>
      <c r="CP44" s="223"/>
      <c r="CQ44" s="223"/>
      <c r="CR44" s="223"/>
      <c r="CS44" s="223"/>
      <c r="CT44" s="223"/>
      <c r="CU44" s="223"/>
      <c r="CV44" s="223"/>
      <c r="CW44" s="223"/>
      <c r="CX44" s="223"/>
      <c r="CY44" s="223"/>
      <c r="CZ44" s="223"/>
      <c r="DA44" s="223"/>
      <c r="DB44" s="223"/>
      <c r="DC44" s="223"/>
      <c r="DD44" s="223"/>
      <c r="DE44" s="223"/>
      <c r="DF44" s="223"/>
      <c r="DG44" s="223"/>
      <c r="DH44" s="223"/>
      <c r="DI44" s="223"/>
      <c r="DJ44" s="223"/>
      <c r="DK44" s="223"/>
      <c r="DL44" s="223"/>
      <c r="DM44" s="223"/>
      <c r="DN44" s="223"/>
      <c r="DO44" s="223"/>
      <c r="DP44" s="223"/>
    </row>
    <row r="45" spans="2:120" s="501" customFormat="1" ht="13.5" thickBot="1">
      <c r="B45" s="4879"/>
      <c r="C45" s="1655" t="s">
        <v>65</v>
      </c>
      <c r="D45" s="924"/>
      <c r="E45" s="943">
        <f t="shared" ref="E45:O45" si="5">SUM(E39:E44)</f>
        <v>0</v>
      </c>
      <c r="F45" s="925">
        <f t="shared" si="5"/>
        <v>0</v>
      </c>
      <c r="G45" s="925">
        <f t="shared" si="5"/>
        <v>0</v>
      </c>
      <c r="H45" s="925">
        <f t="shared" si="5"/>
        <v>0</v>
      </c>
      <c r="I45" s="930">
        <f t="shared" si="5"/>
        <v>0</v>
      </c>
      <c r="J45" s="1653">
        <f t="shared" si="5"/>
        <v>0</v>
      </c>
      <c r="K45" s="925">
        <f t="shared" si="5"/>
        <v>0</v>
      </c>
      <c r="L45" s="925">
        <f t="shared" si="5"/>
        <v>0</v>
      </c>
      <c r="M45" s="925">
        <f t="shared" si="5"/>
        <v>0</v>
      </c>
      <c r="N45" s="924">
        <f t="shared" si="5"/>
        <v>0</v>
      </c>
      <c r="O45" s="1653">
        <f t="shared" si="5"/>
        <v>0</v>
      </c>
      <c r="P45" s="925">
        <f t="shared" ref="P45:AC45" si="6">SUM(P39:P44)</f>
        <v>0</v>
      </c>
      <c r="Q45" s="925">
        <f t="shared" si="6"/>
        <v>0</v>
      </c>
      <c r="R45" s="925">
        <f t="shared" si="6"/>
        <v>0</v>
      </c>
      <c r="S45" s="925">
        <f t="shared" si="6"/>
        <v>0</v>
      </c>
      <c r="T45" s="925">
        <f t="shared" si="6"/>
        <v>0</v>
      </c>
      <c r="U45" s="925">
        <f t="shared" si="6"/>
        <v>0</v>
      </c>
      <c r="V45" s="925">
        <f t="shared" si="6"/>
        <v>0</v>
      </c>
      <c r="W45" s="925">
        <f t="shared" si="6"/>
        <v>0</v>
      </c>
      <c r="X45" s="925">
        <f t="shared" si="6"/>
        <v>0</v>
      </c>
      <c r="Y45" s="925">
        <f t="shared" si="6"/>
        <v>0</v>
      </c>
      <c r="Z45" s="925">
        <f t="shared" si="6"/>
        <v>0</v>
      </c>
      <c r="AA45" s="925">
        <f t="shared" si="6"/>
        <v>0</v>
      </c>
      <c r="AB45" s="925">
        <f t="shared" si="6"/>
        <v>0</v>
      </c>
      <c r="AC45" s="924">
        <f t="shared" si="6"/>
        <v>0</v>
      </c>
      <c r="AD45" s="1266"/>
      <c r="AE45" s="1266"/>
      <c r="AF45" s="223"/>
      <c r="AG45" s="223"/>
      <c r="AH45" s="223"/>
      <c r="AI45" s="223"/>
      <c r="AJ45" s="223"/>
      <c r="AK45" s="223"/>
      <c r="AL45" s="223"/>
      <c r="AM45" s="223"/>
      <c r="AN45" s="223"/>
      <c r="AO45" s="223"/>
      <c r="AP45" s="223"/>
      <c r="AQ45" s="223"/>
      <c r="AR45" s="223"/>
      <c r="AS45" s="223"/>
      <c r="AT45" s="223"/>
      <c r="AU45" s="223"/>
      <c r="AV45" s="223"/>
      <c r="AW45" s="223"/>
      <c r="AX45" s="223"/>
      <c r="AY45" s="223"/>
      <c r="AZ45" s="223"/>
      <c r="BA45" s="223"/>
      <c r="BB45" s="223"/>
      <c r="BC45" s="223"/>
      <c r="BD45" s="223"/>
      <c r="BE45" s="223"/>
      <c r="BF45" s="223"/>
      <c r="BG45" s="223"/>
      <c r="BH45" s="223"/>
      <c r="BI45" s="223"/>
      <c r="BJ45" s="223"/>
      <c r="BK45" s="223"/>
      <c r="BL45" s="223"/>
      <c r="BM45" s="223"/>
      <c r="BN45" s="223"/>
      <c r="BO45" s="223"/>
      <c r="BP45" s="223"/>
      <c r="BQ45" s="223"/>
      <c r="BR45" s="223"/>
      <c r="BS45" s="223"/>
      <c r="BT45" s="223"/>
      <c r="BU45" s="223"/>
      <c r="BV45" s="223"/>
      <c r="BW45" s="223"/>
      <c r="BX45" s="223"/>
      <c r="BY45" s="223"/>
      <c r="BZ45" s="223"/>
      <c r="CA45" s="223"/>
      <c r="CB45" s="223"/>
      <c r="CC45" s="223"/>
      <c r="CD45" s="223"/>
      <c r="CE45" s="223"/>
      <c r="CF45" s="223"/>
      <c r="CG45" s="223"/>
      <c r="CH45" s="223"/>
      <c r="CI45" s="223"/>
      <c r="CJ45" s="223"/>
      <c r="CK45" s="223"/>
      <c r="CL45" s="223"/>
      <c r="CM45" s="223"/>
      <c r="CN45" s="223"/>
      <c r="CO45" s="223"/>
      <c r="CP45" s="223"/>
      <c r="CQ45" s="223"/>
      <c r="CR45" s="223"/>
      <c r="CS45" s="223"/>
      <c r="CT45" s="223"/>
      <c r="CU45" s="223"/>
      <c r="CV45" s="223"/>
      <c r="CW45" s="223"/>
      <c r="CX45" s="223"/>
      <c r="CY45" s="223"/>
      <c r="CZ45" s="223"/>
      <c r="DA45" s="223"/>
      <c r="DB45" s="223"/>
      <c r="DC45" s="223"/>
      <c r="DD45" s="223"/>
      <c r="DE45" s="223"/>
      <c r="DF45" s="223"/>
      <c r="DG45" s="223"/>
      <c r="DH45" s="223"/>
      <c r="DI45" s="223"/>
      <c r="DJ45" s="223"/>
      <c r="DK45" s="223"/>
      <c r="DL45" s="223"/>
      <c r="DM45" s="223"/>
      <c r="DN45" s="223"/>
      <c r="DO45" s="223"/>
      <c r="DP45" s="223"/>
    </row>
    <row r="46" spans="2:120" s="501" customFormat="1">
      <c r="B46" s="4878" t="s">
        <v>1469</v>
      </c>
      <c r="C46" s="4787" t="s">
        <v>48</v>
      </c>
      <c r="D46" s="4788"/>
      <c r="E46" s="1649"/>
      <c r="F46" s="1609"/>
      <c r="G46" s="1609"/>
      <c r="H46" s="1609"/>
      <c r="I46" s="1647"/>
      <c r="J46" s="1650"/>
      <c r="K46" s="1651"/>
      <c r="L46" s="1651"/>
      <c r="M46" s="1651"/>
      <c r="N46" s="1652"/>
      <c r="O46" s="1650"/>
      <c r="P46" s="1651"/>
      <c r="Q46" s="1651"/>
      <c r="R46" s="1651"/>
      <c r="S46" s="1651"/>
      <c r="T46" s="1651"/>
      <c r="U46" s="1651"/>
      <c r="V46" s="1651"/>
      <c r="W46" s="1651"/>
      <c r="X46" s="1651"/>
      <c r="Y46" s="1651"/>
      <c r="Z46" s="1651"/>
      <c r="AA46" s="1651"/>
      <c r="AB46" s="1651"/>
      <c r="AC46" s="1652"/>
      <c r="AD46" s="1266"/>
      <c r="AE46" s="1266"/>
      <c r="AF46" s="223"/>
      <c r="AG46" s="223"/>
      <c r="AH46" s="223"/>
      <c r="AI46" s="223"/>
      <c r="AJ46" s="223"/>
      <c r="AK46" s="223"/>
      <c r="AL46" s="223"/>
      <c r="AM46" s="223"/>
      <c r="AN46" s="223"/>
      <c r="AO46" s="223"/>
      <c r="AP46" s="223"/>
      <c r="AQ46" s="223"/>
      <c r="AR46" s="223"/>
      <c r="AS46" s="223"/>
      <c r="AT46" s="223"/>
      <c r="AU46" s="223"/>
      <c r="AV46" s="223"/>
      <c r="AW46" s="223"/>
      <c r="AX46" s="223"/>
      <c r="AY46" s="223"/>
      <c r="AZ46" s="223"/>
      <c r="BA46" s="223"/>
      <c r="BB46" s="223"/>
      <c r="BC46" s="223"/>
      <c r="BD46" s="223"/>
      <c r="BE46" s="223"/>
      <c r="BF46" s="223"/>
      <c r="BG46" s="223"/>
      <c r="BH46" s="223"/>
      <c r="BI46" s="223"/>
      <c r="BJ46" s="223"/>
      <c r="BK46" s="223"/>
      <c r="BL46" s="223"/>
      <c r="BM46" s="223"/>
      <c r="BN46" s="223"/>
      <c r="BO46" s="223"/>
      <c r="BP46" s="223"/>
      <c r="BQ46" s="223"/>
      <c r="BR46" s="223"/>
      <c r="BS46" s="223"/>
      <c r="BT46" s="223"/>
      <c r="BU46" s="223"/>
      <c r="BV46" s="223"/>
      <c r="BW46" s="223"/>
      <c r="BX46" s="223"/>
      <c r="BY46" s="223"/>
      <c r="BZ46" s="223"/>
      <c r="CA46" s="223"/>
      <c r="CB46" s="223"/>
      <c r="CC46" s="223"/>
      <c r="CD46" s="223"/>
      <c r="CE46" s="223"/>
      <c r="CF46" s="223"/>
      <c r="CG46" s="223"/>
      <c r="CH46" s="223"/>
      <c r="CI46" s="223"/>
      <c r="CJ46" s="223"/>
      <c r="CK46" s="223"/>
      <c r="CL46" s="223"/>
      <c r="CM46" s="223"/>
      <c r="CN46" s="223"/>
      <c r="CO46" s="223"/>
      <c r="CP46" s="223"/>
      <c r="CQ46" s="223"/>
      <c r="CR46" s="223"/>
      <c r="CS46" s="223"/>
      <c r="CT46" s="223"/>
      <c r="CU46" s="223"/>
      <c r="CV46" s="223"/>
      <c r="CW46" s="223"/>
      <c r="CX46" s="223"/>
      <c r="CY46" s="223"/>
      <c r="CZ46" s="223"/>
      <c r="DA46" s="223"/>
      <c r="DB46" s="223"/>
      <c r="DC46" s="223"/>
      <c r="DD46" s="223"/>
      <c r="DE46" s="223"/>
      <c r="DF46" s="223"/>
      <c r="DG46" s="223"/>
      <c r="DH46" s="223"/>
      <c r="DI46" s="223"/>
      <c r="DJ46" s="223"/>
      <c r="DK46" s="223"/>
      <c r="DL46" s="223"/>
      <c r="DM46" s="223"/>
      <c r="DN46" s="223"/>
      <c r="DO46" s="223"/>
      <c r="DP46" s="223"/>
    </row>
    <row r="47" spans="2:120" s="501" customFormat="1">
      <c r="B47" s="4878"/>
      <c r="C47" s="890" t="s">
        <v>289</v>
      </c>
      <c r="D47" s="790" t="s">
        <v>288</v>
      </c>
      <c r="E47" s="1654"/>
      <c r="F47" s="889"/>
      <c r="G47" s="889"/>
      <c r="H47" s="889"/>
      <c r="I47" s="1648"/>
      <c r="J47" s="738"/>
      <c r="K47" s="708"/>
      <c r="L47" s="708"/>
      <c r="M47" s="708"/>
      <c r="N47" s="790"/>
      <c r="O47" s="738"/>
      <c r="P47" s="708"/>
      <c r="Q47" s="708"/>
      <c r="R47" s="708"/>
      <c r="S47" s="708"/>
      <c r="T47" s="708"/>
      <c r="U47" s="708"/>
      <c r="V47" s="708"/>
      <c r="W47" s="708"/>
      <c r="X47" s="708"/>
      <c r="Y47" s="708"/>
      <c r="Z47" s="708"/>
      <c r="AA47" s="708"/>
      <c r="AB47" s="708"/>
      <c r="AC47" s="790"/>
      <c r="AD47" s="1266"/>
      <c r="AE47" s="1266"/>
      <c r="AF47" s="223"/>
      <c r="AG47" s="223"/>
      <c r="AH47" s="223"/>
      <c r="AI47" s="223"/>
      <c r="AJ47" s="223"/>
      <c r="AK47" s="223"/>
      <c r="AL47" s="223"/>
      <c r="AM47" s="223"/>
      <c r="AN47" s="223"/>
      <c r="AO47" s="223"/>
      <c r="AP47" s="223"/>
      <c r="AQ47" s="223"/>
      <c r="AR47" s="223"/>
      <c r="AS47" s="223"/>
      <c r="AT47" s="223"/>
      <c r="AU47" s="223"/>
      <c r="AV47" s="223"/>
      <c r="AW47" s="223"/>
      <c r="AX47" s="223"/>
      <c r="AY47" s="223"/>
      <c r="AZ47" s="223"/>
      <c r="BA47" s="223"/>
      <c r="BB47" s="223"/>
      <c r="BC47" s="223"/>
      <c r="BD47" s="223"/>
      <c r="BE47" s="223"/>
      <c r="BF47" s="223"/>
      <c r="BG47" s="223"/>
      <c r="BH47" s="223"/>
      <c r="BI47" s="223"/>
      <c r="BJ47" s="223"/>
      <c r="BK47" s="223"/>
      <c r="BL47" s="223"/>
      <c r="BM47" s="223"/>
      <c r="BN47" s="223"/>
      <c r="BO47" s="223"/>
      <c r="BP47" s="223"/>
      <c r="BQ47" s="223"/>
      <c r="BR47" s="223"/>
      <c r="BS47" s="223"/>
      <c r="BT47" s="223"/>
      <c r="BU47" s="223"/>
      <c r="BV47" s="223"/>
      <c r="BW47" s="223"/>
      <c r="BX47" s="223"/>
      <c r="BY47" s="223"/>
      <c r="BZ47" s="223"/>
      <c r="CA47" s="223"/>
      <c r="CB47" s="223"/>
      <c r="CC47" s="223"/>
      <c r="CD47" s="223"/>
      <c r="CE47" s="223"/>
      <c r="CF47" s="223"/>
      <c r="CG47" s="223"/>
      <c r="CH47" s="223"/>
      <c r="CI47" s="223"/>
      <c r="CJ47" s="223"/>
      <c r="CK47" s="223"/>
      <c r="CL47" s="223"/>
      <c r="CM47" s="223"/>
      <c r="CN47" s="223"/>
      <c r="CO47" s="223"/>
      <c r="CP47" s="223"/>
      <c r="CQ47" s="223"/>
      <c r="CR47" s="223"/>
      <c r="CS47" s="223"/>
      <c r="CT47" s="223"/>
      <c r="CU47" s="223"/>
      <c r="CV47" s="223"/>
      <c r="CW47" s="223"/>
      <c r="CX47" s="223"/>
      <c r="CY47" s="223"/>
      <c r="CZ47" s="223"/>
      <c r="DA47" s="223"/>
      <c r="DB47" s="223"/>
      <c r="DC47" s="223"/>
      <c r="DD47" s="223"/>
      <c r="DE47" s="223"/>
      <c r="DF47" s="223"/>
      <c r="DG47" s="223"/>
      <c r="DH47" s="223"/>
      <c r="DI47" s="223"/>
      <c r="DJ47" s="223"/>
      <c r="DK47" s="223"/>
      <c r="DL47" s="223"/>
      <c r="DM47" s="223"/>
      <c r="DN47" s="223"/>
      <c r="DO47" s="223"/>
      <c r="DP47" s="223"/>
    </row>
    <row r="48" spans="2:120" s="501" customFormat="1">
      <c r="B48" s="4878"/>
      <c r="C48" s="890" t="s">
        <v>289</v>
      </c>
      <c r="D48" s="790" t="s">
        <v>288</v>
      </c>
      <c r="E48" s="1654"/>
      <c r="F48" s="889"/>
      <c r="G48" s="889"/>
      <c r="H48" s="889"/>
      <c r="I48" s="1648"/>
      <c r="J48" s="738"/>
      <c r="K48" s="708"/>
      <c r="L48" s="708"/>
      <c r="M48" s="708"/>
      <c r="N48" s="790"/>
      <c r="O48" s="738"/>
      <c r="P48" s="708"/>
      <c r="Q48" s="708"/>
      <c r="R48" s="708"/>
      <c r="S48" s="708"/>
      <c r="T48" s="708"/>
      <c r="U48" s="708"/>
      <c r="V48" s="708"/>
      <c r="W48" s="708"/>
      <c r="X48" s="708"/>
      <c r="Y48" s="708"/>
      <c r="Z48" s="708"/>
      <c r="AA48" s="708"/>
      <c r="AB48" s="708"/>
      <c r="AC48" s="790"/>
      <c r="AD48" s="1266"/>
      <c r="AE48" s="1266"/>
      <c r="AF48" s="223"/>
      <c r="AG48" s="223"/>
      <c r="AH48" s="223"/>
      <c r="AI48" s="223"/>
      <c r="AJ48" s="223"/>
      <c r="AK48" s="223"/>
      <c r="AL48" s="223"/>
      <c r="AM48" s="223"/>
      <c r="AN48" s="223"/>
      <c r="AO48" s="223"/>
      <c r="AP48" s="223"/>
      <c r="AQ48" s="223"/>
      <c r="AR48" s="223"/>
      <c r="AS48" s="223"/>
      <c r="AT48" s="223"/>
      <c r="AU48" s="223"/>
      <c r="AV48" s="223"/>
      <c r="AW48" s="223"/>
      <c r="AX48" s="223"/>
      <c r="AY48" s="223"/>
      <c r="AZ48" s="223"/>
      <c r="BA48" s="223"/>
      <c r="BB48" s="223"/>
      <c r="BC48" s="223"/>
      <c r="BD48" s="223"/>
      <c r="BE48" s="223"/>
      <c r="BF48" s="223"/>
      <c r="BG48" s="223"/>
      <c r="BH48" s="223"/>
      <c r="BI48" s="223"/>
      <c r="BJ48" s="223"/>
      <c r="BK48" s="223"/>
      <c r="BL48" s="223"/>
      <c r="BM48" s="223"/>
      <c r="BN48" s="223"/>
      <c r="BO48" s="223"/>
      <c r="BP48" s="223"/>
      <c r="BQ48" s="223"/>
      <c r="BR48" s="223"/>
      <c r="BS48" s="223"/>
      <c r="BT48" s="223"/>
      <c r="BU48" s="223"/>
      <c r="BV48" s="223"/>
      <c r="BW48" s="223"/>
      <c r="BX48" s="223"/>
      <c r="BY48" s="223"/>
      <c r="BZ48" s="223"/>
      <c r="CA48" s="223"/>
      <c r="CB48" s="223"/>
      <c r="CC48" s="223"/>
      <c r="CD48" s="223"/>
      <c r="CE48" s="223"/>
      <c r="CF48" s="223"/>
      <c r="CG48" s="223"/>
      <c r="CH48" s="223"/>
      <c r="CI48" s="223"/>
      <c r="CJ48" s="223"/>
      <c r="CK48" s="223"/>
      <c r="CL48" s="223"/>
      <c r="CM48" s="223"/>
      <c r="CN48" s="223"/>
      <c r="CO48" s="223"/>
      <c r="CP48" s="223"/>
      <c r="CQ48" s="223"/>
      <c r="CR48" s="223"/>
      <c r="CS48" s="223"/>
      <c r="CT48" s="223"/>
      <c r="CU48" s="223"/>
      <c r="CV48" s="223"/>
      <c r="CW48" s="223"/>
      <c r="CX48" s="223"/>
      <c r="CY48" s="223"/>
      <c r="CZ48" s="223"/>
      <c r="DA48" s="223"/>
      <c r="DB48" s="223"/>
      <c r="DC48" s="223"/>
      <c r="DD48" s="223"/>
      <c r="DE48" s="223"/>
      <c r="DF48" s="223"/>
      <c r="DG48" s="223"/>
      <c r="DH48" s="223"/>
      <c r="DI48" s="223"/>
      <c r="DJ48" s="223"/>
      <c r="DK48" s="223"/>
      <c r="DL48" s="223"/>
      <c r="DM48" s="223"/>
      <c r="DN48" s="223"/>
      <c r="DO48" s="223"/>
      <c r="DP48" s="223"/>
    </row>
    <row r="49" spans="1:135" s="501" customFormat="1">
      <c r="B49" s="4878"/>
      <c r="C49" s="890" t="s">
        <v>289</v>
      </c>
      <c r="D49" s="790" t="s">
        <v>288</v>
      </c>
      <c r="E49" s="1654"/>
      <c r="F49" s="889"/>
      <c r="G49" s="889"/>
      <c r="H49" s="889"/>
      <c r="I49" s="1648"/>
      <c r="J49" s="738"/>
      <c r="K49" s="708"/>
      <c r="L49" s="708"/>
      <c r="M49" s="708"/>
      <c r="N49" s="790"/>
      <c r="O49" s="738"/>
      <c r="P49" s="708"/>
      <c r="Q49" s="708"/>
      <c r="R49" s="708"/>
      <c r="S49" s="708"/>
      <c r="T49" s="708"/>
      <c r="U49" s="708"/>
      <c r="V49" s="708"/>
      <c r="W49" s="708"/>
      <c r="X49" s="708"/>
      <c r="Y49" s="708"/>
      <c r="Z49" s="708"/>
      <c r="AA49" s="708"/>
      <c r="AB49" s="708"/>
      <c r="AC49" s="790"/>
      <c r="AD49" s="1266"/>
      <c r="AE49" s="1266"/>
      <c r="AF49" s="223"/>
      <c r="AG49" s="223"/>
      <c r="AH49" s="223"/>
      <c r="AI49" s="223"/>
      <c r="AJ49" s="223"/>
      <c r="AK49" s="223"/>
      <c r="AL49" s="223"/>
      <c r="AM49" s="223"/>
      <c r="AN49" s="223"/>
      <c r="AO49" s="223"/>
      <c r="AP49" s="223"/>
      <c r="AQ49" s="223"/>
      <c r="AR49" s="223"/>
      <c r="AS49" s="223"/>
      <c r="AT49" s="223"/>
      <c r="AU49" s="223"/>
      <c r="AV49" s="223"/>
      <c r="AW49" s="223"/>
      <c r="AX49" s="223"/>
      <c r="AY49" s="223"/>
      <c r="AZ49" s="223"/>
      <c r="BA49" s="223"/>
      <c r="BB49" s="223"/>
      <c r="BC49" s="223"/>
      <c r="BD49" s="223"/>
      <c r="BE49" s="223"/>
      <c r="BF49" s="223"/>
      <c r="BG49" s="223"/>
      <c r="BH49" s="223"/>
      <c r="BI49" s="223"/>
      <c r="BJ49" s="223"/>
      <c r="BK49" s="223"/>
      <c r="BL49" s="223"/>
      <c r="BM49" s="223"/>
      <c r="BN49" s="223"/>
      <c r="BO49" s="223"/>
      <c r="BP49" s="223"/>
      <c r="BQ49" s="223"/>
      <c r="BR49" s="223"/>
      <c r="BS49" s="223"/>
      <c r="BT49" s="223"/>
      <c r="BU49" s="223"/>
      <c r="BV49" s="223"/>
      <c r="BW49" s="223"/>
      <c r="BX49" s="223"/>
      <c r="BY49" s="223"/>
      <c r="BZ49" s="223"/>
      <c r="CA49" s="223"/>
      <c r="CB49" s="223"/>
      <c r="CC49" s="223"/>
      <c r="CD49" s="223"/>
      <c r="CE49" s="223"/>
      <c r="CF49" s="223"/>
      <c r="CG49" s="223"/>
      <c r="CH49" s="223"/>
      <c r="CI49" s="223"/>
      <c r="CJ49" s="223"/>
      <c r="CK49" s="223"/>
      <c r="CL49" s="223"/>
      <c r="CM49" s="223"/>
      <c r="CN49" s="223"/>
      <c r="CO49" s="223"/>
      <c r="CP49" s="223"/>
      <c r="CQ49" s="223"/>
      <c r="CR49" s="223"/>
      <c r="CS49" s="223"/>
      <c r="CT49" s="223"/>
      <c r="CU49" s="223"/>
      <c r="CV49" s="223"/>
      <c r="CW49" s="223"/>
      <c r="CX49" s="223"/>
      <c r="CY49" s="223"/>
      <c r="CZ49" s="223"/>
      <c r="DA49" s="223"/>
      <c r="DB49" s="223"/>
      <c r="DC49" s="223"/>
      <c r="DD49" s="223"/>
      <c r="DE49" s="223"/>
      <c r="DF49" s="223"/>
      <c r="DG49" s="223"/>
      <c r="DH49" s="223"/>
      <c r="DI49" s="223"/>
      <c r="DJ49" s="223"/>
      <c r="DK49" s="223"/>
      <c r="DL49" s="223"/>
      <c r="DM49" s="223"/>
      <c r="DN49" s="223"/>
      <c r="DO49" s="223"/>
      <c r="DP49" s="223"/>
    </row>
    <row r="50" spans="1:135" s="501" customFormat="1">
      <c r="B50" s="4878"/>
      <c r="C50" s="890" t="s">
        <v>289</v>
      </c>
      <c r="D50" s="790" t="s">
        <v>288</v>
      </c>
      <c r="E50" s="1654"/>
      <c r="F50" s="889"/>
      <c r="G50" s="889"/>
      <c r="H50" s="889"/>
      <c r="I50" s="1648"/>
      <c r="J50" s="738"/>
      <c r="K50" s="708"/>
      <c r="L50" s="708"/>
      <c r="M50" s="708"/>
      <c r="N50" s="790"/>
      <c r="O50" s="738"/>
      <c r="P50" s="708"/>
      <c r="Q50" s="708"/>
      <c r="R50" s="708"/>
      <c r="S50" s="708"/>
      <c r="T50" s="708"/>
      <c r="U50" s="708"/>
      <c r="V50" s="708"/>
      <c r="W50" s="708"/>
      <c r="X50" s="708"/>
      <c r="Y50" s="708"/>
      <c r="Z50" s="708"/>
      <c r="AA50" s="708"/>
      <c r="AB50" s="708"/>
      <c r="AC50" s="790"/>
      <c r="AD50" s="1266"/>
      <c r="AE50" s="1266"/>
      <c r="AF50" s="223"/>
      <c r="AG50" s="223"/>
      <c r="AH50" s="223"/>
      <c r="AI50" s="223"/>
      <c r="AJ50" s="223"/>
      <c r="AK50" s="223"/>
      <c r="AL50" s="223"/>
      <c r="AM50" s="223"/>
      <c r="AN50" s="223"/>
      <c r="AO50" s="223"/>
      <c r="AP50" s="223"/>
      <c r="AQ50" s="223"/>
      <c r="AR50" s="223"/>
      <c r="AS50" s="223"/>
      <c r="AT50" s="223"/>
      <c r="AU50" s="223"/>
      <c r="AV50" s="223"/>
      <c r="AW50" s="223"/>
      <c r="AX50" s="223"/>
      <c r="AY50" s="223"/>
      <c r="AZ50" s="223"/>
      <c r="BA50" s="223"/>
      <c r="BB50" s="223"/>
      <c r="BC50" s="223"/>
      <c r="BD50" s="223"/>
      <c r="BE50" s="223"/>
      <c r="BF50" s="223"/>
      <c r="BG50" s="223"/>
      <c r="BH50" s="223"/>
      <c r="BI50" s="223"/>
      <c r="BJ50" s="223"/>
      <c r="BK50" s="223"/>
      <c r="BL50" s="223"/>
      <c r="BM50" s="223"/>
      <c r="BN50" s="223"/>
      <c r="BO50" s="223"/>
      <c r="BP50" s="223"/>
      <c r="BQ50" s="223"/>
      <c r="BR50" s="223"/>
      <c r="BS50" s="223"/>
      <c r="BT50" s="223"/>
      <c r="BU50" s="223"/>
      <c r="BV50" s="223"/>
      <c r="BW50" s="223"/>
      <c r="BX50" s="223"/>
      <c r="BY50" s="223"/>
      <c r="BZ50" s="223"/>
      <c r="CA50" s="223"/>
      <c r="CB50" s="223"/>
      <c r="CC50" s="223"/>
      <c r="CD50" s="223"/>
      <c r="CE50" s="223"/>
      <c r="CF50" s="223"/>
      <c r="CG50" s="223"/>
      <c r="CH50" s="223"/>
      <c r="CI50" s="223"/>
      <c r="CJ50" s="223"/>
      <c r="CK50" s="223"/>
      <c r="CL50" s="223"/>
      <c r="CM50" s="223"/>
      <c r="CN50" s="223"/>
      <c r="CO50" s="223"/>
      <c r="CP50" s="223"/>
      <c r="CQ50" s="223"/>
      <c r="CR50" s="223"/>
      <c r="CS50" s="223"/>
      <c r="CT50" s="223"/>
      <c r="CU50" s="223"/>
      <c r="CV50" s="223"/>
      <c r="CW50" s="223"/>
      <c r="CX50" s="223"/>
      <c r="CY50" s="223"/>
      <c r="CZ50" s="223"/>
      <c r="DA50" s="223"/>
      <c r="DB50" s="223"/>
      <c r="DC50" s="223"/>
      <c r="DD50" s="223"/>
      <c r="DE50" s="223"/>
      <c r="DF50" s="223"/>
      <c r="DG50" s="223"/>
      <c r="DH50" s="223"/>
      <c r="DI50" s="223"/>
      <c r="DJ50" s="223"/>
      <c r="DK50" s="223"/>
      <c r="DL50" s="223"/>
      <c r="DM50" s="223"/>
      <c r="DN50" s="223"/>
      <c r="DO50" s="223"/>
      <c r="DP50" s="223"/>
    </row>
    <row r="51" spans="1:135" s="501" customFormat="1">
      <c r="B51" s="4878"/>
      <c r="C51" s="890" t="s">
        <v>289</v>
      </c>
      <c r="D51" s="790" t="s">
        <v>288</v>
      </c>
      <c r="E51" s="1654"/>
      <c r="F51" s="889"/>
      <c r="G51" s="889"/>
      <c r="H51" s="889"/>
      <c r="I51" s="1648"/>
      <c r="J51" s="738"/>
      <c r="K51" s="708"/>
      <c r="L51" s="708"/>
      <c r="M51" s="708"/>
      <c r="N51" s="790"/>
      <c r="O51" s="738"/>
      <c r="P51" s="708"/>
      <c r="Q51" s="708"/>
      <c r="R51" s="708"/>
      <c r="S51" s="708"/>
      <c r="T51" s="708"/>
      <c r="U51" s="708"/>
      <c r="V51" s="708"/>
      <c r="W51" s="708"/>
      <c r="X51" s="708"/>
      <c r="Y51" s="708"/>
      <c r="Z51" s="708"/>
      <c r="AA51" s="708"/>
      <c r="AB51" s="708"/>
      <c r="AC51" s="790"/>
      <c r="AD51" s="1266"/>
      <c r="AE51" s="1266"/>
      <c r="AF51" s="223"/>
      <c r="AG51" s="223"/>
      <c r="AH51" s="223"/>
      <c r="AI51" s="223"/>
      <c r="AJ51" s="223"/>
      <c r="AK51" s="223"/>
      <c r="AL51" s="223"/>
      <c r="AM51" s="223"/>
      <c r="AN51" s="223"/>
      <c r="AO51" s="223"/>
      <c r="AP51" s="223"/>
      <c r="AQ51" s="223"/>
      <c r="AR51" s="223"/>
      <c r="AS51" s="223"/>
      <c r="AT51" s="223"/>
      <c r="AU51" s="223"/>
      <c r="AV51" s="223"/>
      <c r="AW51" s="223"/>
      <c r="AX51" s="223"/>
      <c r="AY51" s="223"/>
      <c r="AZ51" s="223"/>
      <c r="BA51" s="223"/>
      <c r="BB51" s="223"/>
      <c r="BC51" s="223"/>
      <c r="BD51" s="223"/>
      <c r="BE51" s="223"/>
      <c r="BF51" s="223"/>
      <c r="BG51" s="223"/>
      <c r="BH51" s="223"/>
      <c r="BI51" s="223"/>
      <c r="BJ51" s="223"/>
      <c r="BK51" s="223"/>
      <c r="BL51" s="223"/>
      <c r="BM51" s="223"/>
      <c r="BN51" s="223"/>
      <c r="BO51" s="223"/>
      <c r="BP51" s="223"/>
      <c r="BQ51" s="223"/>
      <c r="BR51" s="223"/>
      <c r="BS51" s="223"/>
      <c r="BT51" s="223"/>
      <c r="BU51" s="223"/>
      <c r="BV51" s="223"/>
      <c r="BW51" s="223"/>
      <c r="BX51" s="223"/>
      <c r="BY51" s="223"/>
      <c r="BZ51" s="223"/>
      <c r="CA51" s="223"/>
      <c r="CB51" s="223"/>
      <c r="CC51" s="223"/>
      <c r="CD51" s="223"/>
      <c r="CE51" s="223"/>
      <c r="CF51" s="223"/>
      <c r="CG51" s="223"/>
      <c r="CH51" s="223"/>
      <c r="CI51" s="223"/>
      <c r="CJ51" s="223"/>
      <c r="CK51" s="223"/>
      <c r="CL51" s="223"/>
      <c r="CM51" s="223"/>
      <c r="CN51" s="223"/>
      <c r="CO51" s="223"/>
      <c r="CP51" s="223"/>
      <c r="CQ51" s="223"/>
      <c r="CR51" s="223"/>
      <c r="CS51" s="223"/>
      <c r="CT51" s="223"/>
      <c r="CU51" s="223"/>
      <c r="CV51" s="223"/>
      <c r="CW51" s="223"/>
      <c r="CX51" s="223"/>
      <c r="CY51" s="223"/>
      <c r="CZ51" s="223"/>
      <c r="DA51" s="223"/>
      <c r="DB51" s="223"/>
      <c r="DC51" s="223"/>
      <c r="DD51" s="223"/>
      <c r="DE51" s="223"/>
      <c r="DF51" s="223"/>
      <c r="DG51" s="223"/>
      <c r="DH51" s="223"/>
      <c r="DI51" s="223"/>
      <c r="DJ51" s="223"/>
      <c r="DK51" s="223"/>
      <c r="DL51" s="223"/>
      <c r="DM51" s="223"/>
      <c r="DN51" s="223"/>
      <c r="DO51" s="223"/>
      <c r="DP51" s="223"/>
    </row>
    <row r="52" spans="1:135" s="501" customFormat="1">
      <c r="B52" s="4878"/>
      <c r="C52" s="890" t="s">
        <v>289</v>
      </c>
      <c r="D52" s="790" t="s">
        <v>288</v>
      </c>
      <c r="E52" s="1654"/>
      <c r="F52" s="889"/>
      <c r="G52" s="889"/>
      <c r="H52" s="889"/>
      <c r="I52" s="1648"/>
      <c r="J52" s="738"/>
      <c r="K52" s="708"/>
      <c r="L52" s="708"/>
      <c r="M52" s="708"/>
      <c r="N52" s="790"/>
      <c r="O52" s="738"/>
      <c r="P52" s="708"/>
      <c r="Q52" s="708"/>
      <c r="R52" s="708"/>
      <c r="S52" s="708"/>
      <c r="T52" s="708"/>
      <c r="U52" s="708"/>
      <c r="V52" s="708"/>
      <c r="W52" s="708"/>
      <c r="X52" s="708"/>
      <c r="Y52" s="708"/>
      <c r="Z52" s="708"/>
      <c r="AA52" s="708"/>
      <c r="AB52" s="708"/>
      <c r="AC52" s="790"/>
      <c r="AD52" s="1266"/>
      <c r="AE52" s="1266"/>
      <c r="AF52" s="223"/>
      <c r="AG52" s="223"/>
      <c r="AH52" s="223"/>
      <c r="AI52" s="223"/>
      <c r="AJ52" s="223"/>
      <c r="AK52" s="223"/>
      <c r="AL52" s="223"/>
      <c r="AM52" s="223"/>
      <c r="AN52" s="223"/>
      <c r="AO52" s="223"/>
      <c r="AP52" s="223"/>
      <c r="AQ52" s="223"/>
      <c r="AR52" s="223"/>
      <c r="AS52" s="223"/>
      <c r="AT52" s="223"/>
      <c r="AU52" s="223"/>
      <c r="AV52" s="223"/>
      <c r="AW52" s="223"/>
      <c r="AX52" s="223"/>
      <c r="AY52" s="223"/>
      <c r="AZ52" s="223"/>
      <c r="BA52" s="223"/>
      <c r="BB52" s="223"/>
      <c r="BC52" s="223"/>
      <c r="BD52" s="223"/>
      <c r="BE52" s="223"/>
      <c r="BF52" s="223"/>
      <c r="BG52" s="223"/>
      <c r="BH52" s="223"/>
      <c r="BI52" s="223"/>
      <c r="BJ52" s="223"/>
      <c r="BK52" s="223"/>
      <c r="BL52" s="223"/>
      <c r="BM52" s="223"/>
      <c r="BN52" s="223"/>
      <c r="BO52" s="223"/>
      <c r="BP52" s="223"/>
      <c r="BQ52" s="223"/>
      <c r="BR52" s="223"/>
      <c r="BS52" s="223"/>
      <c r="BT52" s="223"/>
      <c r="BU52" s="223"/>
      <c r="BV52" s="223"/>
      <c r="BW52" s="223"/>
      <c r="BX52" s="223"/>
      <c r="BY52" s="223"/>
      <c r="BZ52" s="223"/>
      <c r="CA52" s="223"/>
      <c r="CB52" s="223"/>
      <c r="CC52" s="223"/>
      <c r="CD52" s="223"/>
      <c r="CE52" s="223"/>
      <c r="CF52" s="223"/>
      <c r="CG52" s="223"/>
      <c r="CH52" s="223"/>
      <c r="CI52" s="223"/>
      <c r="CJ52" s="223"/>
      <c r="CK52" s="223"/>
      <c r="CL52" s="223"/>
      <c r="CM52" s="223"/>
      <c r="CN52" s="223"/>
      <c r="CO52" s="223"/>
      <c r="CP52" s="223"/>
      <c r="CQ52" s="223"/>
      <c r="CR52" s="223"/>
      <c r="CS52" s="223"/>
      <c r="CT52" s="223"/>
      <c r="CU52" s="223"/>
      <c r="CV52" s="223"/>
      <c r="CW52" s="223"/>
      <c r="CX52" s="223"/>
      <c r="CY52" s="223"/>
      <c r="CZ52" s="223"/>
      <c r="DA52" s="223"/>
      <c r="DB52" s="223"/>
      <c r="DC52" s="223"/>
      <c r="DD52" s="223"/>
      <c r="DE52" s="223"/>
      <c r="DF52" s="223"/>
      <c r="DG52" s="223"/>
      <c r="DH52" s="223"/>
      <c r="DI52" s="223"/>
      <c r="DJ52" s="223"/>
      <c r="DK52" s="223"/>
      <c r="DL52" s="223"/>
      <c r="DM52" s="223"/>
      <c r="DN52" s="223"/>
      <c r="DO52" s="223"/>
      <c r="DP52" s="223"/>
    </row>
    <row r="53" spans="1:135" s="501" customFormat="1" ht="13.5" thickBot="1">
      <c r="B53" s="4879"/>
      <c r="C53" s="1655" t="s">
        <v>65</v>
      </c>
      <c r="D53" s="924"/>
      <c r="E53" s="943">
        <f t="shared" ref="E53:O53" si="7">SUM(E47:E52)</f>
        <v>0</v>
      </c>
      <c r="F53" s="925">
        <f t="shared" si="7"/>
        <v>0</v>
      </c>
      <c r="G53" s="925">
        <f t="shared" si="7"/>
        <v>0</v>
      </c>
      <c r="H53" s="925">
        <f t="shared" si="7"/>
        <v>0</v>
      </c>
      <c r="I53" s="930">
        <f t="shared" si="7"/>
        <v>0</v>
      </c>
      <c r="J53" s="1653">
        <f t="shared" si="7"/>
        <v>0</v>
      </c>
      <c r="K53" s="925">
        <f t="shared" si="7"/>
        <v>0</v>
      </c>
      <c r="L53" s="925">
        <f t="shared" si="7"/>
        <v>0</v>
      </c>
      <c r="M53" s="925">
        <f t="shared" si="7"/>
        <v>0</v>
      </c>
      <c r="N53" s="924">
        <f t="shared" si="7"/>
        <v>0</v>
      </c>
      <c r="O53" s="1653">
        <f t="shared" si="7"/>
        <v>0</v>
      </c>
      <c r="P53" s="925">
        <f t="shared" ref="P53:AC53" si="8">SUM(P47:P52)</f>
        <v>0</v>
      </c>
      <c r="Q53" s="925">
        <f t="shared" si="8"/>
        <v>0</v>
      </c>
      <c r="R53" s="925">
        <f t="shared" si="8"/>
        <v>0</v>
      </c>
      <c r="S53" s="925">
        <f t="shared" si="8"/>
        <v>0</v>
      </c>
      <c r="T53" s="925">
        <f t="shared" si="8"/>
        <v>0</v>
      </c>
      <c r="U53" s="925">
        <f t="shared" si="8"/>
        <v>0</v>
      </c>
      <c r="V53" s="925">
        <f t="shared" si="8"/>
        <v>0</v>
      </c>
      <c r="W53" s="925">
        <f t="shared" si="8"/>
        <v>0</v>
      </c>
      <c r="X53" s="925">
        <f t="shared" si="8"/>
        <v>0</v>
      </c>
      <c r="Y53" s="925">
        <f t="shared" si="8"/>
        <v>0</v>
      </c>
      <c r="Z53" s="925">
        <f t="shared" si="8"/>
        <v>0</v>
      </c>
      <c r="AA53" s="925">
        <f t="shared" si="8"/>
        <v>0</v>
      </c>
      <c r="AB53" s="925">
        <f t="shared" si="8"/>
        <v>0</v>
      </c>
      <c r="AC53" s="924">
        <f t="shared" si="8"/>
        <v>0</v>
      </c>
      <c r="AD53" s="1266"/>
      <c r="AE53" s="1266"/>
      <c r="AF53" s="223"/>
      <c r="AG53" s="223"/>
      <c r="AH53" s="223"/>
      <c r="AI53" s="223"/>
      <c r="AJ53" s="223"/>
      <c r="AK53" s="223"/>
      <c r="AL53" s="223"/>
      <c r="AM53" s="223"/>
      <c r="AN53" s="223"/>
      <c r="AO53" s="223"/>
      <c r="AP53" s="223"/>
      <c r="AQ53" s="223"/>
      <c r="AR53" s="223"/>
      <c r="AS53" s="223"/>
      <c r="AT53" s="223"/>
      <c r="AU53" s="223"/>
      <c r="AV53" s="223"/>
      <c r="AW53" s="223"/>
      <c r="AX53" s="223"/>
      <c r="AY53" s="223"/>
      <c r="AZ53" s="223"/>
      <c r="BA53" s="223"/>
      <c r="BB53" s="223"/>
      <c r="BC53" s="223"/>
      <c r="BD53" s="223"/>
      <c r="BE53" s="223"/>
      <c r="BF53" s="223"/>
      <c r="BG53" s="223"/>
      <c r="BH53" s="223"/>
      <c r="BI53" s="223"/>
      <c r="BJ53" s="223"/>
      <c r="BK53" s="223"/>
      <c r="BL53" s="223"/>
      <c r="BM53" s="223"/>
      <c r="BN53" s="223"/>
      <c r="BO53" s="223"/>
      <c r="BP53" s="223"/>
      <c r="BQ53" s="223"/>
      <c r="BR53" s="223"/>
      <c r="BS53" s="223"/>
      <c r="BT53" s="223"/>
      <c r="BU53" s="223"/>
      <c r="BV53" s="223"/>
      <c r="BW53" s="223"/>
      <c r="BX53" s="223"/>
      <c r="BY53" s="223"/>
      <c r="BZ53" s="223"/>
      <c r="CA53" s="223"/>
      <c r="CB53" s="223"/>
      <c r="CC53" s="223"/>
      <c r="CD53" s="223"/>
      <c r="CE53" s="223"/>
      <c r="CF53" s="223"/>
      <c r="CG53" s="223"/>
      <c r="CH53" s="223"/>
      <c r="CI53" s="223"/>
      <c r="CJ53" s="223"/>
      <c r="CK53" s="223"/>
      <c r="CL53" s="223"/>
      <c r="CM53" s="223"/>
      <c r="CN53" s="223"/>
      <c r="CO53" s="223"/>
      <c r="CP53" s="223"/>
      <c r="CQ53" s="223"/>
      <c r="CR53" s="223"/>
      <c r="CS53" s="223"/>
      <c r="CT53" s="223"/>
      <c r="CU53" s="223"/>
      <c r="CV53" s="223"/>
      <c r="CW53" s="223"/>
      <c r="CX53" s="223"/>
      <c r="CY53" s="223"/>
      <c r="CZ53" s="223"/>
      <c r="DA53" s="223"/>
      <c r="DB53" s="223"/>
      <c r="DC53" s="223"/>
      <c r="DD53" s="223"/>
      <c r="DE53" s="223"/>
      <c r="DF53" s="223"/>
      <c r="DG53" s="223"/>
      <c r="DH53" s="223"/>
      <c r="DI53" s="223"/>
      <c r="DJ53" s="223"/>
      <c r="DK53" s="223"/>
      <c r="DL53" s="223"/>
      <c r="DM53" s="223"/>
      <c r="DN53" s="223"/>
      <c r="DO53" s="223"/>
      <c r="DP53" s="223"/>
    </row>
    <row r="54" spans="1:135" ht="24" customHeight="1">
      <c r="A54" s="725"/>
      <c r="B54" s="1656" t="s">
        <v>65</v>
      </c>
      <c r="C54" s="1657"/>
      <c r="D54" s="1658"/>
      <c r="E54" s="1659">
        <f ca="1">SUMIF(C22:D53,"Total",E22:E53)</f>
        <v>0</v>
      </c>
      <c r="F54" s="1660">
        <f t="shared" ref="F54:AC54" ca="1" si="9">SUMIF(D22:E53,"Total",F22:F53)</f>
        <v>0</v>
      </c>
      <c r="G54" s="1660">
        <f t="shared" ca="1" si="9"/>
        <v>0</v>
      </c>
      <c r="H54" s="1660">
        <f t="shared" ca="1" si="9"/>
        <v>0</v>
      </c>
      <c r="I54" s="1660">
        <f t="shared" ca="1" si="9"/>
        <v>0</v>
      </c>
      <c r="J54" s="1659">
        <f t="shared" ca="1" si="9"/>
        <v>0</v>
      </c>
      <c r="K54" s="1660">
        <f t="shared" ca="1" si="9"/>
        <v>0</v>
      </c>
      <c r="L54" s="1660">
        <f t="shared" ca="1" si="9"/>
        <v>0</v>
      </c>
      <c r="M54" s="1660">
        <f t="shared" ca="1" si="9"/>
        <v>0</v>
      </c>
      <c r="N54" s="1661">
        <f t="shared" ca="1" si="9"/>
        <v>0</v>
      </c>
      <c r="O54" s="1659">
        <f t="shared" ca="1" si="9"/>
        <v>0</v>
      </c>
      <c r="P54" s="1660">
        <f t="shared" ca="1" si="9"/>
        <v>0</v>
      </c>
      <c r="Q54" s="1660">
        <f t="shared" ca="1" si="9"/>
        <v>0</v>
      </c>
      <c r="R54" s="1660">
        <f t="shared" ca="1" si="9"/>
        <v>0</v>
      </c>
      <c r="S54" s="1660">
        <f t="shared" ca="1" si="9"/>
        <v>0</v>
      </c>
      <c r="T54" s="1660">
        <f t="shared" ca="1" si="9"/>
        <v>0</v>
      </c>
      <c r="U54" s="1660">
        <f t="shared" ca="1" si="9"/>
        <v>0</v>
      </c>
      <c r="V54" s="1660">
        <f t="shared" ca="1" si="9"/>
        <v>0</v>
      </c>
      <c r="W54" s="1660">
        <f t="shared" ca="1" si="9"/>
        <v>0</v>
      </c>
      <c r="X54" s="1660">
        <f t="shared" ca="1" si="9"/>
        <v>0</v>
      </c>
      <c r="Y54" s="1660">
        <f t="shared" ca="1" si="9"/>
        <v>0</v>
      </c>
      <c r="Z54" s="1660">
        <f t="shared" ca="1" si="9"/>
        <v>0</v>
      </c>
      <c r="AA54" s="1660">
        <f t="shared" ca="1" si="9"/>
        <v>0</v>
      </c>
      <c r="AB54" s="1660">
        <f t="shared" ca="1" si="9"/>
        <v>0</v>
      </c>
      <c r="AC54" s="1662">
        <f t="shared" ca="1" si="9"/>
        <v>0</v>
      </c>
      <c r="AF54"/>
    </row>
    <row r="55" spans="1:135" customFormat="1" ht="27" customHeight="1" thickBot="1"/>
    <row r="56" spans="1:135" s="92" customFormat="1" ht="18.75" customHeight="1" thickBot="1">
      <c r="A56" s="299"/>
      <c r="B56" s="771" t="s">
        <v>662</v>
      </c>
      <c r="C56" s="772"/>
      <c r="D56" s="772"/>
      <c r="E56" s="772"/>
      <c r="F56" s="772"/>
      <c r="G56" s="772"/>
      <c r="H56" s="772"/>
      <c r="I56" s="772"/>
      <c r="J56" s="772"/>
      <c r="K56" s="772"/>
      <c r="L56" s="772"/>
      <c r="M56" s="772"/>
      <c r="N56" s="772"/>
      <c r="O56" s="772"/>
      <c r="P56" s="772"/>
      <c r="Q56" s="772"/>
      <c r="R56" s="772"/>
      <c r="S56" s="772"/>
      <c r="T56" s="772"/>
      <c r="U56" s="772"/>
      <c r="V56" s="772"/>
      <c r="W56" s="772"/>
      <c r="X56" s="772"/>
      <c r="Y56" s="772"/>
      <c r="Z56" s="772"/>
      <c r="AA56" s="772"/>
      <c r="AB56" s="772"/>
      <c r="AC56" s="773"/>
      <c r="AD56"/>
      <c r="AE56"/>
      <c r="AF56"/>
      <c r="DF56" s="69"/>
      <c r="DG56" s="69"/>
      <c r="DH56" s="69"/>
      <c r="DI56" s="69"/>
      <c r="DJ56" s="69"/>
      <c r="DK56" s="69"/>
      <c r="DL56" s="69"/>
      <c r="DM56" s="69"/>
      <c r="DN56" s="69"/>
      <c r="DO56" s="69"/>
      <c r="DP56" s="69"/>
      <c r="DQ56" s="69"/>
      <c r="DR56" s="69"/>
      <c r="DS56" s="69"/>
      <c r="DT56" s="69"/>
      <c r="DU56" s="69"/>
      <c r="DV56" s="69"/>
      <c r="DW56" s="69"/>
      <c r="DX56" s="69"/>
      <c r="DY56" s="69"/>
      <c r="DZ56" s="69"/>
      <c r="EA56" s="69"/>
      <c r="EB56" s="69"/>
      <c r="EC56" s="69"/>
      <c r="ED56" s="69"/>
      <c r="EE56" s="69"/>
    </row>
    <row r="57" spans="1:135" s="1266" customFormat="1">
      <c r="A57" s="1268"/>
      <c r="B57" s="4749" t="s">
        <v>1469</v>
      </c>
      <c r="C57" s="4876" t="s">
        <v>48</v>
      </c>
      <c r="D57" s="4877"/>
      <c r="E57" s="955">
        <f>'29.2 Gas extenstions cust no'!D42</f>
        <v>0</v>
      </c>
      <c r="F57" s="951">
        <f>'29.2 Gas extenstions cust no'!E42</f>
        <v>0</v>
      </c>
      <c r="G57" s="951">
        <f>'29.2 Gas extenstions cust no'!E42</f>
        <v>0</v>
      </c>
      <c r="H57" s="951">
        <f>'29.2 Gas extenstions cust no'!F42</f>
        <v>0</v>
      </c>
      <c r="I57" s="951">
        <f>'29.2 Gas extenstions cust no'!H42</f>
        <v>0</v>
      </c>
      <c r="J57" s="955">
        <f>'29.2 Gas extenstions cust no'!I42</f>
        <v>0</v>
      </c>
      <c r="K57" s="951">
        <f>'29.2 Gas extenstions cust no'!J42</f>
        <v>0</v>
      </c>
      <c r="L57" s="951">
        <f>'29.2 Gas extenstions cust no'!K42</f>
        <v>0</v>
      </c>
      <c r="M57" s="951">
        <f>'29.2 Gas extenstions cust no'!L42</f>
        <v>0</v>
      </c>
      <c r="N57" s="956">
        <f>'29.2 Gas extenstions cust no'!M42</f>
        <v>0</v>
      </c>
      <c r="O57" s="954">
        <f>'29.2 Gas extenstions cust no'!N42</f>
        <v>0</v>
      </c>
      <c r="P57" s="951">
        <f>'29.2 Gas extenstions cust no'!O42</f>
        <v>0</v>
      </c>
      <c r="Q57" s="951">
        <f>'29.2 Gas extenstions cust no'!P42</f>
        <v>0</v>
      </c>
      <c r="R57" s="951">
        <f>'29.2 Gas extenstions cust no'!Q42</f>
        <v>0</v>
      </c>
      <c r="S57" s="951">
        <f>'29.2 Gas extenstions cust no'!R42</f>
        <v>0</v>
      </c>
      <c r="T57" s="951">
        <f>'29.2 Gas extenstions cust no'!S42</f>
        <v>0</v>
      </c>
      <c r="U57" s="951">
        <f>'29.2 Gas extenstions cust no'!T42</f>
        <v>0</v>
      </c>
      <c r="V57" s="951">
        <f>'29.2 Gas extenstions cust no'!U42</f>
        <v>0</v>
      </c>
      <c r="W57" s="951">
        <f>'29.2 Gas extenstions cust no'!V42</f>
        <v>0</v>
      </c>
      <c r="X57" s="951">
        <f>'29.2 Gas extenstions cust no'!W42</f>
        <v>0</v>
      </c>
      <c r="Y57" s="951">
        <f>'29.2 Gas extenstions cust no'!X42</f>
        <v>0</v>
      </c>
      <c r="Z57" s="951">
        <f>'29.2 Gas extenstions cust no'!Y42</f>
        <v>0</v>
      </c>
      <c r="AA57" s="951">
        <f>'29.2 Gas extenstions cust no'!Z42</f>
        <v>0</v>
      </c>
      <c r="AB57" s="951">
        <f>'29.2 Gas extenstions cust no'!AA42</f>
        <v>0</v>
      </c>
      <c r="AC57" s="952">
        <f>'29.2 Gas extenstions cust no'!AB42</f>
        <v>0</v>
      </c>
    </row>
    <row r="58" spans="1:135" s="1266" customFormat="1">
      <c r="A58" s="1268"/>
      <c r="B58" s="4749"/>
      <c r="C58" s="890" t="s">
        <v>289</v>
      </c>
      <c r="D58" s="790" t="s">
        <v>288</v>
      </c>
      <c r="E58" s="942"/>
      <c r="F58" s="889"/>
      <c r="G58" s="889"/>
      <c r="H58" s="889"/>
      <c r="I58" s="889"/>
      <c r="J58" s="958"/>
      <c r="K58" s="708"/>
      <c r="L58" s="708"/>
      <c r="M58" s="708"/>
      <c r="N58" s="875"/>
      <c r="O58" s="786"/>
      <c r="P58" s="708"/>
      <c r="Q58" s="708"/>
      <c r="R58" s="708"/>
      <c r="S58" s="708"/>
      <c r="T58" s="708"/>
      <c r="U58" s="708"/>
      <c r="V58" s="708"/>
      <c r="W58" s="708"/>
      <c r="X58" s="708"/>
      <c r="Y58" s="708"/>
      <c r="Z58" s="708"/>
      <c r="AA58" s="708"/>
      <c r="AB58" s="708"/>
      <c r="AC58" s="790"/>
    </row>
    <row r="59" spans="1:135" s="1266" customFormat="1">
      <c r="A59" s="1268"/>
      <c r="B59" s="4749"/>
      <c r="C59" s="890" t="s">
        <v>289</v>
      </c>
      <c r="D59" s="790" t="s">
        <v>288</v>
      </c>
      <c r="E59" s="942"/>
      <c r="F59" s="889"/>
      <c r="G59" s="889"/>
      <c r="H59" s="889"/>
      <c r="I59" s="889"/>
      <c r="J59" s="958"/>
      <c r="K59" s="708"/>
      <c r="L59" s="708"/>
      <c r="M59" s="708"/>
      <c r="N59" s="875"/>
      <c r="O59" s="786"/>
      <c r="P59" s="708"/>
      <c r="Q59" s="708"/>
      <c r="R59" s="708"/>
      <c r="S59" s="708"/>
      <c r="T59" s="708"/>
      <c r="U59" s="708"/>
      <c r="V59" s="708"/>
      <c r="W59" s="708"/>
      <c r="X59" s="708"/>
      <c r="Y59" s="708"/>
      <c r="Z59" s="708"/>
      <c r="AA59" s="708"/>
      <c r="AB59" s="708"/>
      <c r="AC59" s="790"/>
    </row>
    <row r="60" spans="1:135" s="1266" customFormat="1">
      <c r="A60" s="1268"/>
      <c r="B60" s="4749"/>
      <c r="C60" s="890" t="s">
        <v>289</v>
      </c>
      <c r="D60" s="790" t="s">
        <v>288</v>
      </c>
      <c r="E60" s="942"/>
      <c r="F60" s="889"/>
      <c r="G60" s="889"/>
      <c r="H60" s="889"/>
      <c r="I60" s="889"/>
      <c r="J60" s="958"/>
      <c r="K60" s="708"/>
      <c r="L60" s="708"/>
      <c r="M60" s="708"/>
      <c r="N60" s="875"/>
      <c r="O60" s="786"/>
      <c r="P60" s="708"/>
      <c r="Q60" s="708"/>
      <c r="R60" s="708"/>
      <c r="S60" s="708"/>
      <c r="T60" s="708"/>
      <c r="U60" s="708"/>
      <c r="V60" s="708"/>
      <c r="W60" s="708"/>
      <c r="X60" s="708"/>
      <c r="Y60" s="708"/>
      <c r="Z60" s="708"/>
      <c r="AA60" s="708"/>
      <c r="AB60" s="708"/>
      <c r="AC60" s="790"/>
    </row>
    <row r="61" spans="1:135" s="1266" customFormat="1">
      <c r="A61" s="1268"/>
      <c r="B61" s="4749"/>
      <c r="C61" s="890" t="s">
        <v>289</v>
      </c>
      <c r="D61" s="790" t="s">
        <v>288</v>
      </c>
      <c r="E61" s="942"/>
      <c r="F61" s="889"/>
      <c r="G61" s="889"/>
      <c r="H61" s="889"/>
      <c r="I61" s="889"/>
      <c r="J61" s="958"/>
      <c r="K61" s="708"/>
      <c r="L61" s="708"/>
      <c r="M61" s="708"/>
      <c r="N61" s="875"/>
      <c r="O61" s="786"/>
      <c r="P61" s="708"/>
      <c r="Q61" s="708"/>
      <c r="R61" s="708"/>
      <c r="S61" s="708"/>
      <c r="T61" s="708"/>
      <c r="U61" s="708"/>
      <c r="V61" s="708"/>
      <c r="W61" s="708"/>
      <c r="X61" s="708"/>
      <c r="Y61" s="708"/>
      <c r="Z61" s="708"/>
      <c r="AA61" s="708"/>
      <c r="AB61" s="708"/>
      <c r="AC61" s="790"/>
    </row>
    <row r="62" spans="1:135" s="501" customFormat="1" ht="13.5" thickBot="1">
      <c r="B62" s="4870"/>
      <c r="C62" s="1655" t="s">
        <v>65</v>
      </c>
      <c r="D62" s="924"/>
      <c r="E62" s="943">
        <f t="shared" ref="E62:AC62" si="10">SUM(E57:E61)</f>
        <v>0</v>
      </c>
      <c r="F62" s="925">
        <f t="shared" si="10"/>
        <v>0</v>
      </c>
      <c r="G62" s="925">
        <f t="shared" si="10"/>
        <v>0</v>
      </c>
      <c r="H62" s="925">
        <f t="shared" si="10"/>
        <v>0</v>
      </c>
      <c r="I62" s="930">
        <f t="shared" si="10"/>
        <v>0</v>
      </c>
      <c r="J62" s="1653">
        <f t="shared" si="10"/>
        <v>0</v>
      </c>
      <c r="K62" s="925">
        <f t="shared" si="10"/>
        <v>0</v>
      </c>
      <c r="L62" s="925">
        <f t="shared" si="10"/>
        <v>0</v>
      </c>
      <c r="M62" s="925">
        <f t="shared" si="10"/>
        <v>0</v>
      </c>
      <c r="N62" s="924">
        <f t="shared" si="10"/>
        <v>0</v>
      </c>
      <c r="O62" s="1653">
        <f t="shared" si="10"/>
        <v>0</v>
      </c>
      <c r="P62" s="925">
        <f t="shared" si="10"/>
        <v>0</v>
      </c>
      <c r="Q62" s="925">
        <f t="shared" si="10"/>
        <v>0</v>
      </c>
      <c r="R62" s="925">
        <f t="shared" si="10"/>
        <v>0</v>
      </c>
      <c r="S62" s="925">
        <f t="shared" si="10"/>
        <v>0</v>
      </c>
      <c r="T62" s="925">
        <f t="shared" si="10"/>
        <v>0</v>
      </c>
      <c r="U62" s="925">
        <f t="shared" si="10"/>
        <v>0</v>
      </c>
      <c r="V62" s="925">
        <f t="shared" si="10"/>
        <v>0</v>
      </c>
      <c r="W62" s="925">
        <f t="shared" si="10"/>
        <v>0</v>
      </c>
      <c r="X62" s="925">
        <f t="shared" si="10"/>
        <v>0</v>
      </c>
      <c r="Y62" s="925">
        <f t="shared" si="10"/>
        <v>0</v>
      </c>
      <c r="Z62" s="925">
        <f t="shared" si="10"/>
        <v>0</v>
      </c>
      <c r="AA62" s="925">
        <f t="shared" si="10"/>
        <v>0</v>
      </c>
      <c r="AB62" s="925">
        <f t="shared" si="10"/>
        <v>0</v>
      </c>
      <c r="AC62" s="924">
        <f t="shared" si="10"/>
        <v>0</v>
      </c>
      <c r="AD62" s="1266"/>
      <c r="AE62" s="1266"/>
      <c r="AF62" s="223"/>
      <c r="AG62" s="223"/>
      <c r="AH62" s="223"/>
      <c r="AI62" s="223"/>
      <c r="AJ62" s="223"/>
      <c r="AK62" s="223"/>
      <c r="AL62" s="223"/>
      <c r="AM62" s="223"/>
      <c r="AN62" s="223"/>
      <c r="AO62" s="223"/>
      <c r="AP62" s="223"/>
      <c r="AQ62" s="223"/>
      <c r="AR62" s="223"/>
      <c r="AS62" s="223"/>
      <c r="AT62" s="223"/>
      <c r="AU62" s="223"/>
      <c r="AV62" s="223"/>
      <c r="AW62" s="223"/>
      <c r="AX62" s="223"/>
      <c r="AY62" s="223"/>
      <c r="AZ62" s="223"/>
      <c r="BA62" s="223"/>
      <c r="BB62" s="223"/>
      <c r="BC62" s="223"/>
      <c r="BD62" s="223"/>
      <c r="BE62" s="223"/>
      <c r="BF62" s="223"/>
      <c r="BG62" s="223"/>
      <c r="BH62" s="223"/>
      <c r="BI62" s="223"/>
      <c r="BJ62" s="223"/>
      <c r="BK62" s="223"/>
      <c r="BL62" s="223"/>
      <c r="BM62" s="223"/>
      <c r="BN62" s="223"/>
      <c r="BO62" s="223"/>
      <c r="BP62" s="223"/>
      <c r="BQ62" s="223"/>
      <c r="BR62" s="223"/>
      <c r="BS62" s="223"/>
      <c r="BT62" s="223"/>
      <c r="BU62" s="223"/>
      <c r="BV62" s="223"/>
      <c r="BW62" s="223"/>
      <c r="BX62" s="223"/>
      <c r="BY62" s="223"/>
      <c r="BZ62" s="223"/>
      <c r="CA62" s="223"/>
      <c r="CB62" s="223"/>
      <c r="CC62" s="223"/>
      <c r="CD62" s="223"/>
      <c r="CE62" s="223"/>
      <c r="CF62" s="223"/>
      <c r="CG62" s="223"/>
      <c r="CH62" s="223"/>
      <c r="CI62" s="223"/>
      <c r="CJ62" s="223"/>
      <c r="CK62" s="223"/>
      <c r="CL62" s="223"/>
      <c r="CM62" s="223"/>
      <c r="CN62" s="223"/>
      <c r="CO62" s="223"/>
      <c r="CP62" s="223"/>
      <c r="CQ62" s="223"/>
      <c r="CR62" s="223"/>
      <c r="CS62" s="223"/>
      <c r="CT62" s="223"/>
      <c r="CU62" s="223"/>
      <c r="CV62" s="223"/>
      <c r="CW62" s="223"/>
      <c r="CX62" s="223"/>
      <c r="CY62" s="223"/>
      <c r="CZ62" s="223"/>
      <c r="DA62" s="223"/>
      <c r="DB62" s="223"/>
      <c r="DC62" s="223"/>
      <c r="DD62" s="223"/>
      <c r="DE62" s="223"/>
      <c r="DF62" s="223"/>
      <c r="DG62" s="223"/>
      <c r="DH62" s="223"/>
      <c r="DI62" s="223"/>
      <c r="DJ62" s="223"/>
      <c r="DK62" s="223"/>
      <c r="DL62" s="223"/>
      <c r="DM62" s="223"/>
      <c r="DN62" s="223"/>
      <c r="DO62" s="223"/>
      <c r="DP62" s="223"/>
    </row>
    <row r="63" spans="1:135" s="1266" customFormat="1">
      <c r="A63" s="1268"/>
      <c r="B63" s="4748" t="s">
        <v>1469</v>
      </c>
      <c r="C63" s="4787" t="s">
        <v>48</v>
      </c>
      <c r="D63" s="4788"/>
      <c r="E63" s="955">
        <f>'29.2 Gas extenstions cust no'!D48</f>
        <v>0</v>
      </c>
      <c r="F63" s="951">
        <f>'29.2 Gas extenstions cust no'!E48</f>
        <v>0</v>
      </c>
      <c r="G63" s="951">
        <f>'29.2 Gas extenstions cust no'!E48</f>
        <v>0</v>
      </c>
      <c r="H63" s="951">
        <f>'29.2 Gas extenstions cust no'!F48</f>
        <v>0</v>
      </c>
      <c r="I63" s="951">
        <f>'29.2 Gas extenstions cust no'!H48</f>
        <v>0</v>
      </c>
      <c r="J63" s="955">
        <f>'29.2 Gas extenstions cust no'!I48</f>
        <v>0</v>
      </c>
      <c r="K63" s="951">
        <f>'29.2 Gas extenstions cust no'!J48</f>
        <v>0</v>
      </c>
      <c r="L63" s="951">
        <f>'29.2 Gas extenstions cust no'!K48</f>
        <v>0</v>
      </c>
      <c r="M63" s="951">
        <f>'29.2 Gas extenstions cust no'!L48</f>
        <v>0</v>
      </c>
      <c r="N63" s="956">
        <f>'29.2 Gas extenstions cust no'!M48</f>
        <v>0</v>
      </c>
      <c r="O63" s="954">
        <f>'29.2 Gas extenstions cust no'!N48</f>
        <v>0</v>
      </c>
      <c r="P63" s="951">
        <f>'29.2 Gas extenstions cust no'!O48</f>
        <v>0</v>
      </c>
      <c r="Q63" s="951">
        <f>'29.2 Gas extenstions cust no'!P48</f>
        <v>0</v>
      </c>
      <c r="R63" s="951">
        <f>'29.2 Gas extenstions cust no'!Q48</f>
        <v>0</v>
      </c>
      <c r="S63" s="951">
        <f>'29.2 Gas extenstions cust no'!R48</f>
        <v>0</v>
      </c>
      <c r="T63" s="951">
        <f>'29.2 Gas extenstions cust no'!S48</f>
        <v>0</v>
      </c>
      <c r="U63" s="951">
        <f>'29.2 Gas extenstions cust no'!T48</f>
        <v>0</v>
      </c>
      <c r="V63" s="951">
        <f>'29.2 Gas extenstions cust no'!U48</f>
        <v>0</v>
      </c>
      <c r="W63" s="951">
        <f>'29.2 Gas extenstions cust no'!V48</f>
        <v>0</v>
      </c>
      <c r="X63" s="951">
        <f>'29.2 Gas extenstions cust no'!W48</f>
        <v>0</v>
      </c>
      <c r="Y63" s="951">
        <f>'29.2 Gas extenstions cust no'!X48</f>
        <v>0</v>
      </c>
      <c r="Z63" s="951">
        <f>'29.2 Gas extenstions cust no'!Y48</f>
        <v>0</v>
      </c>
      <c r="AA63" s="951">
        <f>'29.2 Gas extenstions cust no'!Z48</f>
        <v>0</v>
      </c>
      <c r="AB63" s="951">
        <f>'29.2 Gas extenstions cust no'!AA48</f>
        <v>0</v>
      </c>
      <c r="AC63" s="952">
        <f>'29.2 Gas extenstions cust no'!AB48</f>
        <v>0</v>
      </c>
    </row>
    <row r="64" spans="1:135" s="1266" customFormat="1">
      <c r="A64" s="1268"/>
      <c r="B64" s="4749"/>
      <c r="C64" s="890" t="s">
        <v>289</v>
      </c>
      <c r="D64" s="790" t="s">
        <v>288</v>
      </c>
      <c r="E64" s="942"/>
      <c r="F64" s="889"/>
      <c r="G64" s="889"/>
      <c r="H64" s="889"/>
      <c r="I64" s="889"/>
      <c r="J64" s="958"/>
      <c r="K64" s="708"/>
      <c r="L64" s="708"/>
      <c r="M64" s="708"/>
      <c r="N64" s="875"/>
      <c r="O64" s="786"/>
      <c r="P64" s="708"/>
      <c r="Q64" s="708"/>
      <c r="R64" s="708"/>
      <c r="S64" s="708"/>
      <c r="T64" s="708"/>
      <c r="U64" s="708"/>
      <c r="V64" s="708"/>
      <c r="W64" s="708"/>
      <c r="X64" s="708"/>
      <c r="Y64" s="708"/>
      <c r="Z64" s="708"/>
      <c r="AA64" s="708"/>
      <c r="AB64" s="708"/>
      <c r="AC64" s="790"/>
    </row>
    <row r="65" spans="1:120" s="1266" customFormat="1">
      <c r="A65" s="1268"/>
      <c r="B65" s="4749"/>
      <c r="C65" s="890" t="s">
        <v>289</v>
      </c>
      <c r="D65" s="790" t="s">
        <v>288</v>
      </c>
      <c r="E65" s="942"/>
      <c r="F65" s="889"/>
      <c r="G65" s="889"/>
      <c r="H65" s="889"/>
      <c r="I65" s="889"/>
      <c r="J65" s="958"/>
      <c r="K65" s="708"/>
      <c r="L65" s="708"/>
      <c r="M65" s="708"/>
      <c r="N65" s="875"/>
      <c r="O65" s="786"/>
      <c r="P65" s="708"/>
      <c r="Q65" s="708"/>
      <c r="R65" s="708"/>
      <c r="S65" s="708"/>
      <c r="T65" s="708"/>
      <c r="U65" s="708"/>
      <c r="V65" s="708"/>
      <c r="W65" s="708"/>
      <c r="X65" s="708"/>
      <c r="Y65" s="708"/>
      <c r="Z65" s="708"/>
      <c r="AA65" s="708"/>
      <c r="AB65" s="708"/>
      <c r="AC65" s="790"/>
    </row>
    <row r="66" spans="1:120" s="1266" customFormat="1">
      <c r="A66" s="1268"/>
      <c r="B66" s="4749"/>
      <c r="C66" s="890" t="s">
        <v>289</v>
      </c>
      <c r="D66" s="790" t="s">
        <v>288</v>
      </c>
      <c r="E66" s="942"/>
      <c r="F66" s="889"/>
      <c r="G66" s="889"/>
      <c r="H66" s="889"/>
      <c r="I66" s="889"/>
      <c r="J66" s="958"/>
      <c r="K66" s="708"/>
      <c r="L66" s="708"/>
      <c r="M66" s="708"/>
      <c r="N66" s="875"/>
      <c r="O66" s="786"/>
      <c r="P66" s="708"/>
      <c r="Q66" s="708"/>
      <c r="R66" s="708"/>
      <c r="S66" s="708"/>
      <c r="T66" s="708"/>
      <c r="U66" s="708"/>
      <c r="V66" s="708"/>
      <c r="W66" s="708"/>
      <c r="X66" s="708"/>
      <c r="Y66" s="708"/>
      <c r="Z66" s="708"/>
      <c r="AA66" s="708"/>
      <c r="AB66" s="708"/>
      <c r="AC66" s="790"/>
    </row>
    <row r="67" spans="1:120" s="1266" customFormat="1">
      <c r="A67" s="1268"/>
      <c r="B67" s="4749"/>
      <c r="C67" s="890" t="s">
        <v>289</v>
      </c>
      <c r="D67" s="790" t="s">
        <v>288</v>
      </c>
      <c r="E67" s="942"/>
      <c r="F67" s="889"/>
      <c r="G67" s="889"/>
      <c r="H67" s="889"/>
      <c r="I67" s="889"/>
      <c r="J67" s="958"/>
      <c r="K67" s="708"/>
      <c r="L67" s="708"/>
      <c r="M67" s="708"/>
      <c r="N67" s="875"/>
      <c r="O67" s="786"/>
      <c r="P67" s="708"/>
      <c r="Q67" s="708"/>
      <c r="R67" s="708"/>
      <c r="S67" s="708"/>
      <c r="T67" s="708"/>
      <c r="U67" s="708"/>
      <c r="V67" s="708"/>
      <c r="W67" s="708"/>
      <c r="X67" s="708"/>
      <c r="Y67" s="708"/>
      <c r="Z67" s="708"/>
      <c r="AA67" s="708"/>
      <c r="AB67" s="708"/>
      <c r="AC67" s="790"/>
    </row>
    <row r="68" spans="1:120" s="501" customFormat="1" ht="13.5" thickBot="1">
      <c r="B68" s="4870"/>
      <c r="C68" s="1655" t="s">
        <v>65</v>
      </c>
      <c r="D68" s="924"/>
      <c r="E68" s="943">
        <f t="shared" ref="E68:AC68" si="11">SUM(E63:E67)</f>
        <v>0</v>
      </c>
      <c r="F68" s="925">
        <f t="shared" si="11"/>
        <v>0</v>
      </c>
      <c r="G68" s="925">
        <f t="shared" si="11"/>
        <v>0</v>
      </c>
      <c r="H68" s="925">
        <f t="shared" si="11"/>
        <v>0</v>
      </c>
      <c r="I68" s="930">
        <f t="shared" si="11"/>
        <v>0</v>
      </c>
      <c r="J68" s="1653">
        <f t="shared" si="11"/>
        <v>0</v>
      </c>
      <c r="K68" s="925">
        <f t="shared" si="11"/>
        <v>0</v>
      </c>
      <c r="L68" s="925">
        <f t="shared" si="11"/>
        <v>0</v>
      </c>
      <c r="M68" s="925">
        <f t="shared" si="11"/>
        <v>0</v>
      </c>
      <c r="N68" s="924">
        <f t="shared" si="11"/>
        <v>0</v>
      </c>
      <c r="O68" s="1653">
        <f t="shared" si="11"/>
        <v>0</v>
      </c>
      <c r="P68" s="925">
        <f t="shared" si="11"/>
        <v>0</v>
      </c>
      <c r="Q68" s="925">
        <f t="shared" si="11"/>
        <v>0</v>
      </c>
      <c r="R68" s="925">
        <f t="shared" si="11"/>
        <v>0</v>
      </c>
      <c r="S68" s="925">
        <f t="shared" si="11"/>
        <v>0</v>
      </c>
      <c r="T68" s="925">
        <f t="shared" si="11"/>
        <v>0</v>
      </c>
      <c r="U68" s="925">
        <f t="shared" si="11"/>
        <v>0</v>
      </c>
      <c r="V68" s="925">
        <f t="shared" si="11"/>
        <v>0</v>
      </c>
      <c r="W68" s="925">
        <f t="shared" si="11"/>
        <v>0</v>
      </c>
      <c r="X68" s="925">
        <f t="shared" si="11"/>
        <v>0</v>
      </c>
      <c r="Y68" s="925">
        <f t="shared" si="11"/>
        <v>0</v>
      </c>
      <c r="Z68" s="925">
        <f t="shared" si="11"/>
        <v>0</v>
      </c>
      <c r="AA68" s="925">
        <f t="shared" si="11"/>
        <v>0</v>
      </c>
      <c r="AB68" s="925">
        <f t="shared" si="11"/>
        <v>0</v>
      </c>
      <c r="AC68" s="924">
        <f t="shared" si="11"/>
        <v>0</v>
      </c>
      <c r="AD68" s="1266"/>
      <c r="AE68" s="1266"/>
      <c r="AF68" s="223"/>
      <c r="AG68" s="223"/>
      <c r="AH68" s="223"/>
      <c r="AI68" s="223"/>
      <c r="AJ68" s="223"/>
      <c r="AK68" s="223"/>
      <c r="AL68" s="223"/>
      <c r="AM68" s="223"/>
      <c r="AN68" s="223"/>
      <c r="AO68" s="223"/>
      <c r="AP68" s="223"/>
      <c r="AQ68" s="223"/>
      <c r="AR68" s="223"/>
      <c r="AS68" s="223"/>
      <c r="AT68" s="223"/>
      <c r="AU68" s="223"/>
      <c r="AV68" s="223"/>
      <c r="AW68" s="223"/>
      <c r="AX68" s="223"/>
      <c r="AY68" s="223"/>
      <c r="AZ68" s="223"/>
      <c r="BA68" s="223"/>
      <c r="BB68" s="223"/>
      <c r="BC68" s="223"/>
      <c r="BD68" s="223"/>
      <c r="BE68" s="223"/>
      <c r="BF68" s="223"/>
      <c r="BG68" s="223"/>
      <c r="BH68" s="223"/>
      <c r="BI68" s="223"/>
      <c r="BJ68" s="223"/>
      <c r="BK68" s="223"/>
      <c r="BL68" s="223"/>
      <c r="BM68" s="223"/>
      <c r="BN68" s="223"/>
      <c r="BO68" s="223"/>
      <c r="BP68" s="223"/>
      <c r="BQ68" s="223"/>
      <c r="BR68" s="223"/>
      <c r="BS68" s="223"/>
      <c r="BT68" s="223"/>
      <c r="BU68" s="223"/>
      <c r="BV68" s="223"/>
      <c r="BW68" s="223"/>
      <c r="BX68" s="223"/>
      <c r="BY68" s="223"/>
      <c r="BZ68" s="223"/>
      <c r="CA68" s="223"/>
      <c r="CB68" s="223"/>
      <c r="CC68" s="223"/>
      <c r="CD68" s="223"/>
      <c r="CE68" s="223"/>
      <c r="CF68" s="223"/>
      <c r="CG68" s="223"/>
      <c r="CH68" s="223"/>
      <c r="CI68" s="223"/>
      <c r="CJ68" s="223"/>
      <c r="CK68" s="223"/>
      <c r="CL68" s="223"/>
      <c r="CM68" s="223"/>
      <c r="CN68" s="223"/>
      <c r="CO68" s="223"/>
      <c r="CP68" s="223"/>
      <c r="CQ68" s="223"/>
      <c r="CR68" s="223"/>
      <c r="CS68" s="223"/>
      <c r="CT68" s="223"/>
      <c r="CU68" s="223"/>
      <c r="CV68" s="223"/>
      <c r="CW68" s="223"/>
      <c r="CX68" s="223"/>
      <c r="CY68" s="223"/>
      <c r="CZ68" s="223"/>
      <c r="DA68" s="223"/>
      <c r="DB68" s="223"/>
      <c r="DC68" s="223"/>
      <c r="DD68" s="223"/>
      <c r="DE68" s="223"/>
      <c r="DF68" s="223"/>
      <c r="DG68" s="223"/>
      <c r="DH68" s="223"/>
      <c r="DI68" s="223"/>
      <c r="DJ68" s="223"/>
      <c r="DK68" s="223"/>
      <c r="DL68" s="223"/>
      <c r="DM68" s="223"/>
      <c r="DN68" s="223"/>
      <c r="DO68" s="223"/>
      <c r="DP68" s="223"/>
    </row>
    <row r="69" spans="1:120" s="1266" customFormat="1">
      <c r="A69" s="1268"/>
      <c r="B69" s="4748" t="s">
        <v>1469</v>
      </c>
      <c r="C69" s="4787" t="s">
        <v>48</v>
      </c>
      <c r="D69" s="4788"/>
      <c r="E69" s="955">
        <f>'29.2 Gas extenstions cust no'!D54</f>
        <v>0</v>
      </c>
      <c r="F69" s="951">
        <f>'29.2 Gas extenstions cust no'!E54</f>
        <v>0</v>
      </c>
      <c r="G69" s="951">
        <f>'29.2 Gas extenstions cust no'!E54</f>
        <v>0</v>
      </c>
      <c r="H69" s="951">
        <f>'29.2 Gas extenstions cust no'!F54</f>
        <v>0</v>
      </c>
      <c r="I69" s="951">
        <f>'29.2 Gas extenstions cust no'!H54</f>
        <v>0</v>
      </c>
      <c r="J69" s="955">
        <f>'29.2 Gas extenstions cust no'!I54</f>
        <v>0</v>
      </c>
      <c r="K69" s="951">
        <f>'29.2 Gas extenstions cust no'!J54</f>
        <v>0</v>
      </c>
      <c r="L69" s="951">
        <f>'29.2 Gas extenstions cust no'!K54</f>
        <v>0</v>
      </c>
      <c r="M69" s="951">
        <f>'29.2 Gas extenstions cust no'!L54</f>
        <v>0</v>
      </c>
      <c r="N69" s="956">
        <f>'29.2 Gas extenstions cust no'!M54</f>
        <v>0</v>
      </c>
      <c r="O69" s="954">
        <f>'29.2 Gas extenstions cust no'!N54</f>
        <v>0</v>
      </c>
      <c r="P69" s="951">
        <f>'29.2 Gas extenstions cust no'!O54</f>
        <v>0</v>
      </c>
      <c r="Q69" s="951">
        <f>'29.2 Gas extenstions cust no'!P54</f>
        <v>0</v>
      </c>
      <c r="R69" s="951">
        <f>'29.2 Gas extenstions cust no'!Q54</f>
        <v>0</v>
      </c>
      <c r="S69" s="951">
        <f>'29.2 Gas extenstions cust no'!R54</f>
        <v>0</v>
      </c>
      <c r="T69" s="951">
        <f>'29.2 Gas extenstions cust no'!S54</f>
        <v>0</v>
      </c>
      <c r="U69" s="951">
        <f>'29.2 Gas extenstions cust no'!T54</f>
        <v>0</v>
      </c>
      <c r="V69" s="951">
        <f>'29.2 Gas extenstions cust no'!U54</f>
        <v>0</v>
      </c>
      <c r="W69" s="951">
        <f>'29.2 Gas extenstions cust no'!V54</f>
        <v>0</v>
      </c>
      <c r="X69" s="951">
        <f>'29.2 Gas extenstions cust no'!W54</f>
        <v>0</v>
      </c>
      <c r="Y69" s="951">
        <f>'29.2 Gas extenstions cust no'!X54</f>
        <v>0</v>
      </c>
      <c r="Z69" s="951">
        <f>'29.2 Gas extenstions cust no'!Y54</f>
        <v>0</v>
      </c>
      <c r="AA69" s="951">
        <f>'29.2 Gas extenstions cust no'!Z54</f>
        <v>0</v>
      </c>
      <c r="AB69" s="951">
        <f>'29.2 Gas extenstions cust no'!AA54</f>
        <v>0</v>
      </c>
      <c r="AC69" s="952">
        <f>'29.2 Gas extenstions cust no'!AB54</f>
        <v>0</v>
      </c>
    </row>
    <row r="70" spans="1:120" s="1266" customFormat="1">
      <c r="A70" s="1268"/>
      <c r="B70" s="4749"/>
      <c r="C70" s="890" t="s">
        <v>289</v>
      </c>
      <c r="D70" s="790" t="s">
        <v>288</v>
      </c>
      <c r="E70" s="942"/>
      <c r="F70" s="889"/>
      <c r="G70" s="889"/>
      <c r="H70" s="889"/>
      <c r="I70" s="889"/>
      <c r="J70" s="958"/>
      <c r="K70" s="708"/>
      <c r="L70" s="708"/>
      <c r="M70" s="708"/>
      <c r="N70" s="875"/>
      <c r="O70" s="786"/>
      <c r="P70" s="708"/>
      <c r="Q70" s="708"/>
      <c r="R70" s="708"/>
      <c r="S70" s="708"/>
      <c r="T70" s="708"/>
      <c r="U70" s="708"/>
      <c r="V70" s="708"/>
      <c r="W70" s="708"/>
      <c r="X70" s="708"/>
      <c r="Y70" s="708"/>
      <c r="Z70" s="708"/>
      <c r="AA70" s="708"/>
      <c r="AB70" s="708"/>
      <c r="AC70" s="790"/>
    </row>
    <row r="71" spans="1:120" s="1266" customFormat="1">
      <c r="A71" s="1268"/>
      <c r="B71" s="4749"/>
      <c r="C71" s="890" t="s">
        <v>289</v>
      </c>
      <c r="D71" s="790" t="s">
        <v>288</v>
      </c>
      <c r="E71" s="942"/>
      <c r="F71" s="889"/>
      <c r="G71" s="889"/>
      <c r="H71" s="889"/>
      <c r="I71" s="889"/>
      <c r="J71" s="958"/>
      <c r="K71" s="708"/>
      <c r="L71" s="708"/>
      <c r="M71" s="708"/>
      <c r="N71" s="875"/>
      <c r="O71" s="786"/>
      <c r="P71" s="708"/>
      <c r="Q71" s="708"/>
      <c r="R71" s="708"/>
      <c r="S71" s="708"/>
      <c r="T71" s="708"/>
      <c r="U71" s="708"/>
      <c r="V71" s="708"/>
      <c r="W71" s="708"/>
      <c r="X71" s="708"/>
      <c r="Y71" s="708"/>
      <c r="Z71" s="708"/>
      <c r="AA71" s="708"/>
      <c r="AB71" s="708"/>
      <c r="AC71" s="790"/>
    </row>
    <row r="72" spans="1:120" s="1266" customFormat="1">
      <c r="A72" s="1268"/>
      <c r="B72" s="4749"/>
      <c r="C72" s="890" t="s">
        <v>289</v>
      </c>
      <c r="D72" s="790" t="s">
        <v>288</v>
      </c>
      <c r="E72" s="942"/>
      <c r="F72" s="889"/>
      <c r="G72" s="889"/>
      <c r="H72" s="889"/>
      <c r="I72" s="889"/>
      <c r="J72" s="958"/>
      <c r="K72" s="708"/>
      <c r="L72" s="708"/>
      <c r="M72" s="708"/>
      <c r="N72" s="875"/>
      <c r="O72" s="786"/>
      <c r="P72" s="708"/>
      <c r="Q72" s="708"/>
      <c r="R72" s="708"/>
      <c r="S72" s="708"/>
      <c r="T72" s="708"/>
      <c r="U72" s="708"/>
      <c r="V72" s="708"/>
      <c r="W72" s="708"/>
      <c r="X72" s="708"/>
      <c r="Y72" s="708"/>
      <c r="Z72" s="708"/>
      <c r="AA72" s="708"/>
      <c r="AB72" s="708"/>
      <c r="AC72" s="790"/>
    </row>
    <row r="73" spans="1:120" s="1266" customFormat="1">
      <c r="A73" s="1268"/>
      <c r="B73" s="4749"/>
      <c r="C73" s="890" t="s">
        <v>289</v>
      </c>
      <c r="D73" s="790" t="s">
        <v>288</v>
      </c>
      <c r="E73" s="942"/>
      <c r="F73" s="889"/>
      <c r="G73" s="889"/>
      <c r="H73" s="889"/>
      <c r="I73" s="889"/>
      <c r="J73" s="958"/>
      <c r="K73" s="708"/>
      <c r="L73" s="708"/>
      <c r="M73" s="708"/>
      <c r="N73" s="875"/>
      <c r="O73" s="786"/>
      <c r="P73" s="708"/>
      <c r="Q73" s="708"/>
      <c r="R73" s="708"/>
      <c r="S73" s="708"/>
      <c r="T73" s="708"/>
      <c r="U73" s="708"/>
      <c r="V73" s="708"/>
      <c r="W73" s="708"/>
      <c r="X73" s="708"/>
      <c r="Y73" s="708"/>
      <c r="Z73" s="708"/>
      <c r="AA73" s="708"/>
      <c r="AB73" s="708"/>
      <c r="AC73" s="790"/>
    </row>
    <row r="74" spans="1:120" s="501" customFormat="1" ht="13.5" thickBot="1">
      <c r="B74" s="4870"/>
      <c r="C74" s="1655" t="s">
        <v>65</v>
      </c>
      <c r="D74" s="924"/>
      <c r="E74" s="943">
        <f t="shared" ref="E74:AC74" si="12">SUM(E69:E73)</f>
        <v>0</v>
      </c>
      <c r="F74" s="925">
        <f t="shared" si="12"/>
        <v>0</v>
      </c>
      <c r="G74" s="925">
        <f t="shared" si="12"/>
        <v>0</v>
      </c>
      <c r="H74" s="925">
        <f t="shared" si="12"/>
        <v>0</v>
      </c>
      <c r="I74" s="930">
        <f t="shared" si="12"/>
        <v>0</v>
      </c>
      <c r="J74" s="1653">
        <f t="shared" si="12"/>
        <v>0</v>
      </c>
      <c r="K74" s="925">
        <f t="shared" si="12"/>
        <v>0</v>
      </c>
      <c r="L74" s="925">
        <f t="shared" si="12"/>
        <v>0</v>
      </c>
      <c r="M74" s="925">
        <f t="shared" si="12"/>
        <v>0</v>
      </c>
      <c r="N74" s="924">
        <f t="shared" si="12"/>
        <v>0</v>
      </c>
      <c r="O74" s="1653">
        <f t="shared" si="12"/>
        <v>0</v>
      </c>
      <c r="P74" s="925">
        <f t="shared" si="12"/>
        <v>0</v>
      </c>
      <c r="Q74" s="925">
        <f t="shared" si="12"/>
        <v>0</v>
      </c>
      <c r="R74" s="925">
        <f t="shared" si="12"/>
        <v>0</v>
      </c>
      <c r="S74" s="925">
        <f t="shared" si="12"/>
        <v>0</v>
      </c>
      <c r="T74" s="925">
        <f t="shared" si="12"/>
        <v>0</v>
      </c>
      <c r="U74" s="925">
        <f t="shared" si="12"/>
        <v>0</v>
      </c>
      <c r="V74" s="925">
        <f t="shared" si="12"/>
        <v>0</v>
      </c>
      <c r="W74" s="925">
        <f t="shared" si="12"/>
        <v>0</v>
      </c>
      <c r="X74" s="925">
        <f t="shared" si="12"/>
        <v>0</v>
      </c>
      <c r="Y74" s="925">
        <f t="shared" si="12"/>
        <v>0</v>
      </c>
      <c r="Z74" s="925">
        <f t="shared" si="12"/>
        <v>0</v>
      </c>
      <c r="AA74" s="925">
        <f t="shared" si="12"/>
        <v>0</v>
      </c>
      <c r="AB74" s="925">
        <f t="shared" si="12"/>
        <v>0</v>
      </c>
      <c r="AC74" s="924">
        <f t="shared" si="12"/>
        <v>0</v>
      </c>
      <c r="AD74" s="1266"/>
      <c r="AE74" s="1266"/>
      <c r="AF74" s="223"/>
      <c r="AG74" s="223"/>
      <c r="AH74" s="223"/>
      <c r="AI74" s="223"/>
      <c r="AJ74" s="223"/>
      <c r="AK74" s="223"/>
      <c r="AL74" s="223"/>
      <c r="AM74" s="223"/>
      <c r="AN74" s="223"/>
      <c r="AO74" s="223"/>
      <c r="AP74" s="223"/>
      <c r="AQ74" s="223"/>
      <c r="AR74" s="223"/>
      <c r="AS74" s="223"/>
      <c r="AT74" s="223"/>
      <c r="AU74" s="223"/>
      <c r="AV74" s="223"/>
      <c r="AW74" s="223"/>
      <c r="AX74" s="223"/>
      <c r="AY74" s="223"/>
      <c r="AZ74" s="223"/>
      <c r="BA74" s="223"/>
      <c r="BB74" s="223"/>
      <c r="BC74" s="223"/>
      <c r="BD74" s="223"/>
      <c r="BE74" s="223"/>
      <c r="BF74" s="223"/>
      <c r="BG74" s="223"/>
      <c r="BH74" s="223"/>
      <c r="BI74" s="223"/>
      <c r="BJ74" s="223"/>
      <c r="BK74" s="223"/>
      <c r="BL74" s="223"/>
      <c r="BM74" s="223"/>
      <c r="BN74" s="223"/>
      <c r="BO74" s="223"/>
      <c r="BP74" s="223"/>
      <c r="BQ74" s="223"/>
      <c r="BR74" s="223"/>
      <c r="BS74" s="223"/>
      <c r="BT74" s="223"/>
      <c r="BU74" s="223"/>
      <c r="BV74" s="223"/>
      <c r="BW74" s="223"/>
      <c r="BX74" s="223"/>
      <c r="BY74" s="223"/>
      <c r="BZ74" s="223"/>
      <c r="CA74" s="223"/>
      <c r="CB74" s="223"/>
      <c r="CC74" s="223"/>
      <c r="CD74" s="223"/>
      <c r="CE74" s="223"/>
      <c r="CF74" s="223"/>
      <c r="CG74" s="223"/>
      <c r="CH74" s="223"/>
      <c r="CI74" s="223"/>
      <c r="CJ74" s="223"/>
      <c r="CK74" s="223"/>
      <c r="CL74" s="223"/>
      <c r="CM74" s="223"/>
      <c r="CN74" s="223"/>
      <c r="CO74" s="223"/>
      <c r="CP74" s="223"/>
      <c r="CQ74" s="223"/>
      <c r="CR74" s="223"/>
      <c r="CS74" s="223"/>
      <c r="CT74" s="223"/>
      <c r="CU74" s="223"/>
      <c r="CV74" s="223"/>
      <c r="CW74" s="223"/>
      <c r="CX74" s="223"/>
      <c r="CY74" s="223"/>
      <c r="CZ74" s="223"/>
      <c r="DA74" s="223"/>
      <c r="DB74" s="223"/>
      <c r="DC74" s="223"/>
      <c r="DD74" s="223"/>
      <c r="DE74" s="223"/>
      <c r="DF74" s="223"/>
      <c r="DG74" s="223"/>
      <c r="DH74" s="223"/>
      <c r="DI74" s="223"/>
      <c r="DJ74" s="223"/>
      <c r="DK74" s="223"/>
      <c r="DL74" s="223"/>
      <c r="DM74" s="223"/>
      <c r="DN74" s="223"/>
      <c r="DO74" s="223"/>
      <c r="DP74" s="223"/>
    </row>
    <row r="75" spans="1:120">
      <c r="A75" s="725"/>
      <c r="B75" s="4749" t="s">
        <v>1469</v>
      </c>
      <c r="C75" s="4787" t="s">
        <v>48</v>
      </c>
      <c r="D75" s="4788"/>
      <c r="E75" s="955">
        <f>'29.2 Gas extenstions cust no'!D60</f>
        <v>0</v>
      </c>
      <c r="F75" s="951">
        <f>'29.2 Gas extenstions cust no'!E60</f>
        <v>0</v>
      </c>
      <c r="G75" s="951">
        <f>'29.2 Gas extenstions cust no'!E60</f>
        <v>0</v>
      </c>
      <c r="H75" s="951">
        <f>'29.2 Gas extenstions cust no'!F60</f>
        <v>0</v>
      </c>
      <c r="I75" s="951">
        <f>'29.2 Gas extenstions cust no'!H60</f>
        <v>0</v>
      </c>
      <c r="J75" s="955">
        <f>'29.2 Gas extenstions cust no'!I60</f>
        <v>0</v>
      </c>
      <c r="K75" s="951">
        <f>'29.2 Gas extenstions cust no'!J60</f>
        <v>0</v>
      </c>
      <c r="L75" s="951">
        <f>'29.2 Gas extenstions cust no'!K60</f>
        <v>0</v>
      </c>
      <c r="M75" s="951">
        <f>'29.2 Gas extenstions cust no'!L60</f>
        <v>0</v>
      </c>
      <c r="N75" s="956">
        <f>'29.2 Gas extenstions cust no'!M60</f>
        <v>0</v>
      </c>
      <c r="O75" s="954">
        <f>'29.2 Gas extenstions cust no'!N60</f>
        <v>0</v>
      </c>
      <c r="P75" s="951">
        <f>'29.2 Gas extenstions cust no'!O60</f>
        <v>0</v>
      </c>
      <c r="Q75" s="951">
        <f>'29.2 Gas extenstions cust no'!P60</f>
        <v>0</v>
      </c>
      <c r="R75" s="951">
        <f>'29.2 Gas extenstions cust no'!Q60</f>
        <v>0</v>
      </c>
      <c r="S75" s="951">
        <f>'29.2 Gas extenstions cust no'!R60</f>
        <v>0</v>
      </c>
      <c r="T75" s="951">
        <f>'29.2 Gas extenstions cust no'!S60</f>
        <v>0</v>
      </c>
      <c r="U75" s="951">
        <f>'29.2 Gas extenstions cust no'!T60</f>
        <v>0</v>
      </c>
      <c r="V75" s="951">
        <f>'29.2 Gas extenstions cust no'!U60</f>
        <v>0</v>
      </c>
      <c r="W75" s="951">
        <f>'29.2 Gas extenstions cust no'!V60</f>
        <v>0</v>
      </c>
      <c r="X75" s="951">
        <f>'29.2 Gas extenstions cust no'!W60</f>
        <v>0</v>
      </c>
      <c r="Y75" s="951">
        <f>'29.2 Gas extenstions cust no'!X60</f>
        <v>0</v>
      </c>
      <c r="Z75" s="951">
        <f>'29.2 Gas extenstions cust no'!Y60</f>
        <v>0</v>
      </c>
      <c r="AA75" s="951">
        <f>'29.2 Gas extenstions cust no'!Z60</f>
        <v>0</v>
      </c>
      <c r="AB75" s="951">
        <f>'29.2 Gas extenstions cust no'!AA60</f>
        <v>0</v>
      </c>
      <c r="AC75" s="952">
        <f>'29.2 Gas extenstions cust no'!AB60</f>
        <v>0</v>
      </c>
      <c r="AF75"/>
    </row>
    <row r="76" spans="1:120">
      <c r="A76" s="725"/>
      <c r="B76" s="4749"/>
      <c r="C76" s="890" t="s">
        <v>289</v>
      </c>
      <c r="D76" s="790" t="s">
        <v>288</v>
      </c>
      <c r="E76" s="942"/>
      <c r="F76" s="889"/>
      <c r="G76" s="889"/>
      <c r="H76" s="889"/>
      <c r="I76" s="889"/>
      <c r="J76" s="958"/>
      <c r="K76" s="708"/>
      <c r="L76" s="708"/>
      <c r="M76" s="708"/>
      <c r="N76" s="875"/>
      <c r="O76" s="786"/>
      <c r="P76" s="708"/>
      <c r="Q76" s="708"/>
      <c r="R76" s="708"/>
      <c r="S76" s="708"/>
      <c r="T76" s="708"/>
      <c r="U76" s="708"/>
      <c r="V76" s="708"/>
      <c r="W76" s="708"/>
      <c r="X76" s="708"/>
      <c r="Y76" s="708"/>
      <c r="Z76" s="708"/>
      <c r="AA76" s="708"/>
      <c r="AB76" s="708"/>
      <c r="AC76" s="790"/>
      <c r="AF76"/>
    </row>
    <row r="77" spans="1:120">
      <c r="A77" s="725"/>
      <c r="B77" s="4749"/>
      <c r="C77" s="890" t="s">
        <v>289</v>
      </c>
      <c r="D77" s="790" t="s">
        <v>288</v>
      </c>
      <c r="E77" s="942"/>
      <c r="F77" s="889"/>
      <c r="G77" s="889"/>
      <c r="H77" s="889"/>
      <c r="I77" s="889"/>
      <c r="J77" s="958"/>
      <c r="K77" s="708"/>
      <c r="L77" s="708"/>
      <c r="M77" s="708"/>
      <c r="N77" s="875"/>
      <c r="O77" s="786"/>
      <c r="P77" s="708"/>
      <c r="Q77" s="708"/>
      <c r="R77" s="708"/>
      <c r="S77" s="708"/>
      <c r="T77" s="708"/>
      <c r="U77" s="708"/>
      <c r="V77" s="708"/>
      <c r="W77" s="708"/>
      <c r="X77" s="708"/>
      <c r="Y77" s="708"/>
      <c r="Z77" s="708"/>
      <c r="AA77" s="708"/>
      <c r="AB77" s="708"/>
      <c r="AC77" s="790"/>
      <c r="AF77"/>
    </row>
    <row r="78" spans="1:120">
      <c r="A78" s="725"/>
      <c r="B78" s="4749"/>
      <c r="C78" s="890" t="s">
        <v>289</v>
      </c>
      <c r="D78" s="790" t="s">
        <v>288</v>
      </c>
      <c r="E78" s="942"/>
      <c r="F78" s="889"/>
      <c r="G78" s="889"/>
      <c r="H78" s="889"/>
      <c r="I78" s="889"/>
      <c r="J78" s="958"/>
      <c r="K78" s="708"/>
      <c r="L78" s="708"/>
      <c r="M78" s="708"/>
      <c r="N78" s="875"/>
      <c r="O78" s="786"/>
      <c r="P78" s="708"/>
      <c r="Q78" s="708"/>
      <c r="R78" s="708"/>
      <c r="S78" s="708"/>
      <c r="T78" s="708"/>
      <c r="U78" s="708"/>
      <c r="V78" s="708"/>
      <c r="W78" s="708"/>
      <c r="X78" s="708"/>
      <c r="Y78" s="708"/>
      <c r="Z78" s="708"/>
      <c r="AA78" s="708"/>
      <c r="AB78" s="708"/>
      <c r="AC78" s="790"/>
      <c r="AF78"/>
    </row>
    <row r="79" spans="1:120" s="1266" customFormat="1">
      <c r="A79" s="1268"/>
      <c r="B79" s="4749"/>
      <c r="C79" s="890" t="s">
        <v>289</v>
      </c>
      <c r="D79" s="790" t="s">
        <v>288</v>
      </c>
      <c r="E79" s="942"/>
      <c r="F79" s="889"/>
      <c r="G79" s="889"/>
      <c r="H79" s="889"/>
      <c r="I79" s="889"/>
      <c r="J79" s="958"/>
      <c r="K79" s="708"/>
      <c r="L79" s="708"/>
      <c r="M79" s="708"/>
      <c r="N79" s="875"/>
      <c r="O79" s="786"/>
      <c r="P79" s="708"/>
      <c r="Q79" s="708"/>
      <c r="R79" s="708"/>
      <c r="S79" s="708"/>
      <c r="T79" s="708"/>
      <c r="U79" s="708"/>
      <c r="V79" s="708"/>
      <c r="W79" s="708"/>
      <c r="X79" s="708"/>
      <c r="Y79" s="708"/>
      <c r="Z79" s="708"/>
      <c r="AA79" s="708"/>
      <c r="AB79" s="708"/>
      <c r="AC79" s="790"/>
    </row>
    <row r="80" spans="1:120" s="501" customFormat="1" ht="13.5" thickBot="1">
      <c r="B80" s="4870"/>
      <c r="C80" s="1655" t="s">
        <v>65</v>
      </c>
      <c r="D80" s="924"/>
      <c r="E80" s="943">
        <f t="shared" ref="E80:N81" si="13">SUM(E75:E79)</f>
        <v>0</v>
      </c>
      <c r="F80" s="925">
        <f t="shared" si="13"/>
        <v>0</v>
      </c>
      <c r="G80" s="925">
        <f t="shared" si="13"/>
        <v>0</v>
      </c>
      <c r="H80" s="925">
        <f t="shared" si="13"/>
        <v>0</v>
      </c>
      <c r="I80" s="930">
        <f t="shared" si="13"/>
        <v>0</v>
      </c>
      <c r="J80" s="1653">
        <f t="shared" si="13"/>
        <v>0</v>
      </c>
      <c r="K80" s="925">
        <f t="shared" si="13"/>
        <v>0</v>
      </c>
      <c r="L80" s="925">
        <f t="shared" si="13"/>
        <v>0</v>
      </c>
      <c r="M80" s="925">
        <f t="shared" si="13"/>
        <v>0</v>
      </c>
      <c r="N80" s="924">
        <f t="shared" si="13"/>
        <v>0</v>
      </c>
      <c r="O80" s="1653">
        <f t="shared" ref="O80:X81" si="14">SUM(O75:O79)</f>
        <v>0</v>
      </c>
      <c r="P80" s="925">
        <f t="shared" si="14"/>
        <v>0</v>
      </c>
      <c r="Q80" s="925">
        <f t="shared" si="14"/>
        <v>0</v>
      </c>
      <c r="R80" s="925">
        <f t="shared" si="14"/>
        <v>0</v>
      </c>
      <c r="S80" s="925">
        <f t="shared" si="14"/>
        <v>0</v>
      </c>
      <c r="T80" s="925">
        <f t="shared" si="14"/>
        <v>0</v>
      </c>
      <c r="U80" s="925">
        <f t="shared" si="14"/>
        <v>0</v>
      </c>
      <c r="V80" s="925">
        <f t="shared" si="14"/>
        <v>0</v>
      </c>
      <c r="W80" s="925">
        <f t="shared" si="14"/>
        <v>0</v>
      </c>
      <c r="X80" s="925">
        <f t="shared" si="14"/>
        <v>0</v>
      </c>
      <c r="Y80" s="925">
        <f t="shared" ref="Y80:AC81" si="15">SUM(Y75:Y79)</f>
        <v>0</v>
      </c>
      <c r="Z80" s="925">
        <f t="shared" si="15"/>
        <v>0</v>
      </c>
      <c r="AA80" s="925">
        <f t="shared" si="15"/>
        <v>0</v>
      </c>
      <c r="AB80" s="925">
        <f t="shared" si="15"/>
        <v>0</v>
      </c>
      <c r="AC80" s="924">
        <f t="shared" si="15"/>
        <v>0</v>
      </c>
      <c r="AD80" s="1266"/>
      <c r="AE80" s="1266"/>
      <c r="AF80" s="223"/>
      <c r="AG80" s="223"/>
      <c r="AH80" s="223"/>
      <c r="AI80" s="223"/>
      <c r="AJ80" s="223"/>
      <c r="AK80" s="223"/>
      <c r="AL80" s="223"/>
      <c r="AM80" s="223"/>
      <c r="AN80" s="223"/>
      <c r="AO80" s="223"/>
      <c r="AP80" s="223"/>
      <c r="AQ80" s="223"/>
      <c r="AR80" s="223"/>
      <c r="AS80" s="223"/>
      <c r="AT80" s="223"/>
      <c r="AU80" s="223"/>
      <c r="AV80" s="223"/>
      <c r="AW80" s="223"/>
      <c r="AX80" s="223"/>
      <c r="AY80" s="223"/>
      <c r="AZ80" s="223"/>
      <c r="BA80" s="223"/>
      <c r="BB80" s="223"/>
      <c r="BC80" s="223"/>
      <c r="BD80" s="223"/>
      <c r="BE80" s="223"/>
      <c r="BF80" s="223"/>
      <c r="BG80" s="223"/>
      <c r="BH80" s="223"/>
      <c r="BI80" s="223"/>
      <c r="BJ80" s="223"/>
      <c r="BK80" s="223"/>
      <c r="BL80" s="223"/>
      <c r="BM80" s="223"/>
      <c r="BN80" s="223"/>
      <c r="BO80" s="223"/>
      <c r="BP80" s="223"/>
      <c r="BQ80" s="223"/>
      <c r="BR80" s="223"/>
      <c r="BS80" s="223"/>
      <c r="BT80" s="223"/>
      <c r="BU80" s="223"/>
      <c r="BV80" s="223"/>
      <c r="BW80" s="223"/>
      <c r="BX80" s="223"/>
      <c r="BY80" s="223"/>
      <c r="BZ80" s="223"/>
      <c r="CA80" s="223"/>
      <c r="CB80" s="223"/>
      <c r="CC80" s="223"/>
      <c r="CD80" s="223"/>
      <c r="CE80" s="223"/>
      <c r="CF80" s="223"/>
      <c r="CG80" s="223"/>
      <c r="CH80" s="223"/>
      <c r="CI80" s="223"/>
      <c r="CJ80" s="223"/>
      <c r="CK80" s="223"/>
      <c r="CL80" s="223"/>
      <c r="CM80" s="223"/>
      <c r="CN80" s="223"/>
      <c r="CO80" s="223"/>
      <c r="CP80" s="223"/>
      <c r="CQ80" s="223"/>
      <c r="CR80" s="223"/>
      <c r="CS80" s="223"/>
      <c r="CT80" s="223"/>
      <c r="CU80" s="223"/>
      <c r="CV80" s="223"/>
      <c r="CW80" s="223"/>
      <c r="CX80" s="223"/>
      <c r="CY80" s="223"/>
      <c r="CZ80" s="223"/>
      <c r="DA80" s="223"/>
      <c r="DB80" s="223"/>
      <c r="DC80" s="223"/>
      <c r="DD80" s="223"/>
      <c r="DE80" s="223"/>
      <c r="DF80" s="223"/>
      <c r="DG80" s="223"/>
      <c r="DH80" s="223"/>
      <c r="DI80" s="223"/>
      <c r="DJ80" s="223"/>
      <c r="DK80" s="223"/>
      <c r="DL80" s="223"/>
      <c r="DM80" s="223"/>
      <c r="DN80" s="223"/>
      <c r="DO80" s="223"/>
      <c r="DP80" s="223"/>
    </row>
    <row r="81" spans="1:135" ht="24" customHeight="1" thickBot="1">
      <c r="A81" s="725"/>
      <c r="B81" s="4856" t="s">
        <v>65</v>
      </c>
      <c r="C81" s="4857"/>
      <c r="D81" s="4858"/>
      <c r="E81" s="957">
        <f t="shared" si="13"/>
        <v>0</v>
      </c>
      <c r="F81" s="925">
        <f t="shared" si="13"/>
        <v>0</v>
      </c>
      <c r="G81" s="925">
        <f t="shared" si="13"/>
        <v>0</v>
      </c>
      <c r="H81" s="925">
        <f t="shared" si="13"/>
        <v>0</v>
      </c>
      <c r="I81" s="925">
        <f t="shared" si="13"/>
        <v>0</v>
      </c>
      <c r="J81" s="957">
        <f t="shared" si="13"/>
        <v>0</v>
      </c>
      <c r="K81" s="925">
        <f t="shared" si="13"/>
        <v>0</v>
      </c>
      <c r="L81" s="925">
        <f t="shared" si="13"/>
        <v>0</v>
      </c>
      <c r="M81" s="925">
        <f t="shared" si="13"/>
        <v>0</v>
      </c>
      <c r="N81" s="944">
        <f t="shared" si="13"/>
        <v>0</v>
      </c>
      <c r="O81" s="943">
        <f t="shared" si="14"/>
        <v>0</v>
      </c>
      <c r="P81" s="925">
        <f t="shared" si="14"/>
        <v>0</v>
      </c>
      <c r="Q81" s="925">
        <f t="shared" si="14"/>
        <v>0</v>
      </c>
      <c r="R81" s="925">
        <f t="shared" si="14"/>
        <v>0</v>
      </c>
      <c r="S81" s="925">
        <f t="shared" si="14"/>
        <v>0</v>
      </c>
      <c r="T81" s="925">
        <f t="shared" si="14"/>
        <v>0</v>
      </c>
      <c r="U81" s="925">
        <f t="shared" si="14"/>
        <v>0</v>
      </c>
      <c r="V81" s="925">
        <f t="shared" si="14"/>
        <v>0</v>
      </c>
      <c r="W81" s="925">
        <f t="shared" si="14"/>
        <v>0</v>
      </c>
      <c r="X81" s="925">
        <f t="shared" si="14"/>
        <v>0</v>
      </c>
      <c r="Y81" s="925">
        <f t="shared" si="15"/>
        <v>0</v>
      </c>
      <c r="Z81" s="925">
        <f t="shared" si="15"/>
        <v>0</v>
      </c>
      <c r="AA81" s="925">
        <f t="shared" si="15"/>
        <v>0</v>
      </c>
      <c r="AB81" s="925">
        <f t="shared" si="15"/>
        <v>0</v>
      </c>
      <c r="AC81" s="924">
        <f t="shared" si="15"/>
        <v>0</v>
      </c>
      <c r="AF81"/>
    </row>
    <row r="82" spans="1:135" ht="24" customHeight="1" thickBot="1">
      <c r="A82" s="725"/>
      <c r="B82" s="4856" t="s">
        <v>290</v>
      </c>
      <c r="C82" s="4857"/>
      <c r="D82" s="4858"/>
      <c r="E82" s="1663"/>
      <c r="F82" s="945"/>
      <c r="G82" s="945"/>
      <c r="H82" s="945"/>
      <c r="I82" s="945"/>
      <c r="J82" s="947"/>
      <c r="K82" s="945"/>
      <c r="L82" s="945"/>
      <c r="M82" s="945"/>
      <c r="N82" s="945"/>
      <c r="O82" s="947"/>
      <c r="P82" s="945"/>
      <c r="Q82" s="945"/>
      <c r="R82" s="945"/>
      <c r="S82" s="945"/>
      <c r="T82" s="945"/>
      <c r="U82" s="945"/>
      <c r="V82" s="945"/>
      <c r="W82" s="945"/>
      <c r="X82" s="945"/>
      <c r="Y82" s="945"/>
      <c r="Z82" s="945"/>
      <c r="AA82" s="945"/>
      <c r="AB82" s="945"/>
      <c r="AC82" s="946"/>
      <c r="AF82"/>
    </row>
    <row r="83" spans="1:135" customFormat="1" ht="30" customHeight="1" thickBot="1">
      <c r="C83" s="1266"/>
    </row>
    <row r="84" spans="1:135" s="92" customFormat="1" ht="18.75" customHeight="1" thickBot="1">
      <c r="A84" s="299"/>
      <c r="B84" s="771" t="s">
        <v>663</v>
      </c>
      <c r="C84" s="772"/>
      <c r="D84" s="772"/>
      <c r="E84" s="814"/>
      <c r="F84" s="814"/>
      <c r="G84" s="814"/>
      <c r="H84" s="814"/>
      <c r="I84" s="814"/>
      <c r="J84" s="814"/>
      <c r="K84" s="814"/>
      <c r="L84" s="814"/>
      <c r="M84" s="814"/>
      <c r="N84" s="814"/>
      <c r="O84" s="814"/>
      <c r="P84" s="814"/>
      <c r="Q84" s="814"/>
      <c r="R84" s="814"/>
      <c r="S84" s="814"/>
      <c r="T84" s="814"/>
      <c r="U84" s="814"/>
      <c r="V84" s="814"/>
      <c r="W84" s="814"/>
      <c r="X84" s="814"/>
      <c r="Y84" s="814"/>
      <c r="Z84" s="814"/>
      <c r="AA84" s="814"/>
      <c r="AB84" s="814"/>
      <c r="AC84" s="815"/>
      <c r="AD84"/>
      <c r="AE84"/>
      <c r="AF84"/>
      <c r="DF84" s="69"/>
      <c r="DG84" s="69"/>
      <c r="DH84" s="69"/>
      <c r="DI84" s="69"/>
      <c r="DJ84" s="69"/>
      <c r="DK84" s="69"/>
      <c r="DL84" s="69"/>
      <c r="DM84" s="69"/>
      <c r="DN84" s="69"/>
      <c r="DO84" s="69"/>
      <c r="DP84" s="69"/>
      <c r="DQ84" s="69"/>
      <c r="DR84" s="69"/>
      <c r="DS84" s="69"/>
      <c r="DT84" s="69"/>
      <c r="DU84" s="69"/>
      <c r="DV84" s="69"/>
      <c r="DW84" s="69"/>
      <c r="DX84" s="69"/>
      <c r="DY84" s="69"/>
      <c r="DZ84" s="69"/>
      <c r="EA84" s="69"/>
      <c r="EB84" s="69"/>
      <c r="EC84" s="69"/>
      <c r="ED84" s="69"/>
      <c r="EE84" s="69"/>
    </row>
    <row r="85" spans="1:135">
      <c r="A85" s="725"/>
      <c r="B85" s="4867"/>
      <c r="C85" s="4865" t="s">
        <v>48</v>
      </c>
      <c r="D85" s="4866"/>
      <c r="E85" s="1664">
        <f>'29.2 Gas extenstions cust no'!D77</f>
        <v>0</v>
      </c>
      <c r="F85" s="941">
        <f>'29.2 Gas extenstions cust no'!E77</f>
        <v>0</v>
      </c>
      <c r="G85" s="941">
        <f>'29.2 Gas extenstions cust no'!E77</f>
        <v>0</v>
      </c>
      <c r="H85" s="941">
        <f>'29.2 Gas extenstions cust no'!F77</f>
        <v>0</v>
      </c>
      <c r="I85" s="950">
        <f>'29.2 Gas extenstions cust no'!H77</f>
        <v>0</v>
      </c>
      <c r="J85" s="1664">
        <f>'29.2 Gas extenstions cust no'!I77</f>
        <v>0</v>
      </c>
      <c r="K85" s="941">
        <f>'29.2 Gas extenstions cust no'!J77</f>
        <v>0</v>
      </c>
      <c r="L85" s="941">
        <f>'29.2 Gas extenstions cust no'!K77</f>
        <v>0</v>
      </c>
      <c r="M85" s="941">
        <f>'29.2 Gas extenstions cust no'!L77</f>
        <v>0</v>
      </c>
      <c r="N85" s="950">
        <f>'29.2 Gas extenstions cust no'!M77</f>
        <v>0</v>
      </c>
      <c r="O85" s="953">
        <f>'29.2 Gas extenstions cust no'!N77</f>
        <v>0</v>
      </c>
      <c r="P85" s="941">
        <f>'29.2 Gas extenstions cust no'!O77</f>
        <v>0</v>
      </c>
      <c r="Q85" s="941">
        <f>'29.2 Gas extenstions cust no'!P77</f>
        <v>0</v>
      </c>
      <c r="R85" s="941">
        <f>'29.2 Gas extenstions cust no'!Q77</f>
        <v>0</v>
      </c>
      <c r="S85" s="941">
        <f>'29.2 Gas extenstions cust no'!R77</f>
        <v>0</v>
      </c>
      <c r="T85" s="941">
        <f>'29.2 Gas extenstions cust no'!S77</f>
        <v>0</v>
      </c>
      <c r="U85" s="941">
        <f>'29.2 Gas extenstions cust no'!T77</f>
        <v>0</v>
      </c>
      <c r="V85" s="941">
        <f>'29.2 Gas extenstions cust no'!U77</f>
        <v>0</v>
      </c>
      <c r="W85" s="941">
        <f>'29.2 Gas extenstions cust no'!V77</f>
        <v>0</v>
      </c>
      <c r="X85" s="941">
        <f>'29.2 Gas extenstions cust no'!W77</f>
        <v>0</v>
      </c>
      <c r="Y85" s="941">
        <f>'29.2 Gas extenstions cust no'!X77</f>
        <v>0</v>
      </c>
      <c r="Z85" s="941">
        <f>'29.2 Gas extenstions cust no'!Y77</f>
        <v>0</v>
      </c>
      <c r="AA85" s="941">
        <f>'29.2 Gas extenstions cust no'!Z77</f>
        <v>0</v>
      </c>
      <c r="AB85" s="941">
        <f>'29.2 Gas extenstions cust no'!AA77</f>
        <v>0</v>
      </c>
      <c r="AC85" s="950">
        <f>'29.2 Gas extenstions cust no'!AB77</f>
        <v>0</v>
      </c>
      <c r="AF85"/>
    </row>
    <row r="86" spans="1:135">
      <c r="A86" s="725"/>
      <c r="B86" s="4868"/>
      <c r="C86" s="890" t="s">
        <v>289</v>
      </c>
      <c r="D86" s="851" t="s">
        <v>288</v>
      </c>
      <c r="E86" s="738"/>
      <c r="F86" s="708"/>
      <c r="G86" s="708"/>
      <c r="H86" s="708"/>
      <c r="I86" s="790"/>
      <c r="J86" s="738"/>
      <c r="K86" s="708"/>
      <c r="L86" s="708"/>
      <c r="M86" s="708"/>
      <c r="N86" s="790"/>
      <c r="O86" s="786"/>
      <c r="P86" s="708"/>
      <c r="Q86" s="708"/>
      <c r="R86" s="708"/>
      <c r="S86" s="708"/>
      <c r="T86" s="708"/>
      <c r="U86" s="708"/>
      <c r="V86" s="708"/>
      <c r="W86" s="708"/>
      <c r="X86" s="708"/>
      <c r="Y86" s="708"/>
      <c r="Z86" s="708"/>
      <c r="AA86" s="708"/>
      <c r="AB86" s="708"/>
      <c r="AC86" s="790"/>
      <c r="AF86"/>
    </row>
    <row r="87" spans="1:135">
      <c r="A87" s="725"/>
      <c r="B87" s="4868"/>
      <c r="C87" s="890" t="s">
        <v>289</v>
      </c>
      <c r="D87" s="851" t="s">
        <v>288</v>
      </c>
      <c r="E87" s="738"/>
      <c r="F87" s="708"/>
      <c r="G87" s="708"/>
      <c r="H87" s="708"/>
      <c r="I87" s="790"/>
      <c r="J87" s="738"/>
      <c r="K87" s="708"/>
      <c r="L87" s="708"/>
      <c r="M87" s="708"/>
      <c r="N87" s="790"/>
      <c r="O87" s="786"/>
      <c r="P87" s="708"/>
      <c r="Q87" s="708"/>
      <c r="R87" s="708"/>
      <c r="S87" s="708"/>
      <c r="T87" s="708"/>
      <c r="U87" s="708"/>
      <c r="V87" s="708"/>
      <c r="W87" s="708"/>
      <c r="X87" s="708"/>
      <c r="Y87" s="708"/>
      <c r="Z87" s="708"/>
      <c r="AA87" s="708"/>
      <c r="AB87" s="708"/>
      <c r="AC87" s="790"/>
      <c r="AF87"/>
    </row>
    <row r="88" spans="1:135" ht="13.5" thickBot="1">
      <c r="A88" s="725"/>
      <c r="B88" s="4869"/>
      <c r="C88" s="896" t="s">
        <v>289</v>
      </c>
      <c r="D88" s="897" t="s">
        <v>288</v>
      </c>
      <c r="E88" s="1601"/>
      <c r="F88" s="792"/>
      <c r="G88" s="792"/>
      <c r="H88" s="792"/>
      <c r="I88" s="793"/>
      <c r="J88" s="1601"/>
      <c r="K88" s="792"/>
      <c r="L88" s="792"/>
      <c r="M88" s="792"/>
      <c r="N88" s="793"/>
      <c r="O88" s="795"/>
      <c r="P88" s="792"/>
      <c r="Q88" s="792"/>
      <c r="R88" s="792"/>
      <c r="S88" s="792"/>
      <c r="T88" s="792"/>
      <c r="U88" s="792"/>
      <c r="V88" s="792"/>
      <c r="W88" s="792"/>
      <c r="X88" s="792"/>
      <c r="Y88" s="792"/>
      <c r="Z88" s="792"/>
      <c r="AA88" s="792"/>
      <c r="AB88" s="792"/>
      <c r="AC88" s="793"/>
      <c r="AF88"/>
    </row>
    <row r="89" spans="1:135" customFormat="1" ht="23.25" customHeight="1" thickBot="1">
      <c r="C89" s="1266"/>
    </row>
    <row r="90" spans="1:135" s="501" customFormat="1" ht="18" customHeight="1">
      <c r="B90" s="4859" t="s">
        <v>126</v>
      </c>
      <c r="C90" s="4860"/>
      <c r="D90" s="4861"/>
      <c r="E90" s="1665">
        <f t="shared" ref="E90:R90" si="16">SUM(E86:E88)</f>
        <v>0</v>
      </c>
      <c r="F90" s="926">
        <f t="shared" si="16"/>
        <v>0</v>
      </c>
      <c r="G90" s="926">
        <f t="shared" ref="G90" si="17">SUM(G86:G88)</f>
        <v>0</v>
      </c>
      <c r="H90" s="926">
        <f t="shared" si="16"/>
        <v>0</v>
      </c>
      <c r="I90" s="927">
        <f t="shared" si="16"/>
        <v>0</v>
      </c>
      <c r="J90" s="931">
        <f t="shared" si="16"/>
        <v>0</v>
      </c>
      <c r="K90" s="926">
        <f t="shared" si="16"/>
        <v>0</v>
      </c>
      <c r="L90" s="926">
        <f t="shared" si="16"/>
        <v>0</v>
      </c>
      <c r="M90" s="926">
        <f t="shared" si="16"/>
        <v>0</v>
      </c>
      <c r="N90" s="948">
        <f t="shared" si="16"/>
        <v>0</v>
      </c>
      <c r="O90" s="933">
        <f t="shared" si="16"/>
        <v>0</v>
      </c>
      <c r="P90" s="926">
        <f t="shared" si="16"/>
        <v>0</v>
      </c>
      <c r="Q90" s="926">
        <f t="shared" si="16"/>
        <v>0</v>
      </c>
      <c r="R90" s="926">
        <f t="shared" si="16"/>
        <v>0</v>
      </c>
      <c r="S90" s="926">
        <f t="shared" ref="S90:AC90" si="18">SUM(S86:S88)</f>
        <v>0</v>
      </c>
      <c r="T90" s="926">
        <f t="shared" si="18"/>
        <v>0</v>
      </c>
      <c r="U90" s="926">
        <f t="shared" si="18"/>
        <v>0</v>
      </c>
      <c r="V90" s="926">
        <f t="shared" si="18"/>
        <v>0</v>
      </c>
      <c r="W90" s="926">
        <f t="shared" si="18"/>
        <v>0</v>
      </c>
      <c r="X90" s="926">
        <f t="shared" si="18"/>
        <v>0</v>
      </c>
      <c r="Y90" s="926">
        <f t="shared" si="18"/>
        <v>0</v>
      </c>
      <c r="Z90" s="926">
        <f t="shared" si="18"/>
        <v>0</v>
      </c>
      <c r="AA90" s="926">
        <f t="shared" si="18"/>
        <v>0</v>
      </c>
      <c r="AB90" s="926">
        <f t="shared" si="18"/>
        <v>0</v>
      </c>
      <c r="AC90" s="927">
        <f t="shared" si="18"/>
        <v>0</v>
      </c>
      <c r="AD90"/>
      <c r="AE90"/>
      <c r="AF90"/>
      <c r="AG90" s="78"/>
      <c r="AH90" s="78"/>
      <c r="AI90" s="78"/>
      <c r="AJ90" s="78"/>
      <c r="AK90" s="78"/>
      <c r="AL90" s="78"/>
      <c r="AM90" s="78"/>
      <c r="AN90" s="78"/>
      <c r="AO90" s="78"/>
      <c r="AP90" s="78"/>
      <c r="AQ90" s="78"/>
      <c r="AR90" s="78"/>
      <c r="AS90" s="78"/>
      <c r="AT90" s="78"/>
      <c r="AU90" s="78"/>
      <c r="AV90" s="78"/>
      <c r="AW90" s="78"/>
      <c r="AX90" s="78"/>
      <c r="AY90" s="78"/>
      <c r="AZ90" s="78"/>
      <c r="BA90" s="78"/>
      <c r="BB90" s="78"/>
      <c r="BC90" s="78"/>
      <c r="BD90" s="78"/>
      <c r="BE90" s="78"/>
      <c r="BF90" s="78"/>
      <c r="BG90" s="78"/>
      <c r="BH90" s="78"/>
      <c r="BI90" s="78"/>
      <c r="BJ90" s="78"/>
      <c r="BK90" s="78"/>
      <c r="BL90" s="78"/>
      <c r="BM90" s="78"/>
      <c r="BN90" s="78"/>
      <c r="BO90" s="78"/>
      <c r="BP90" s="78"/>
      <c r="BQ90" s="78"/>
      <c r="BR90" s="78"/>
      <c r="BS90" s="78"/>
      <c r="BT90" s="78"/>
      <c r="BU90" s="78"/>
      <c r="BV90" s="78"/>
      <c r="BW90" s="78"/>
      <c r="BX90" s="78"/>
      <c r="BY90" s="78"/>
      <c r="BZ90" s="78"/>
      <c r="CA90" s="78"/>
      <c r="CB90" s="78"/>
      <c r="CC90" s="78"/>
      <c r="CD90" s="78"/>
      <c r="CE90" s="78"/>
      <c r="CF90" s="78"/>
      <c r="CG90" s="78"/>
      <c r="CH90" s="78"/>
      <c r="CI90" s="78"/>
      <c r="CJ90" s="78"/>
      <c r="CK90" s="78"/>
      <c r="CL90" s="78"/>
      <c r="CM90" s="78"/>
      <c r="CN90" s="78"/>
      <c r="CO90" s="78"/>
      <c r="CP90" s="78"/>
      <c r="CQ90" s="78"/>
      <c r="CR90" s="78"/>
      <c r="CS90" s="78"/>
      <c r="CT90" s="78"/>
      <c r="CU90" s="78"/>
      <c r="CV90" s="78"/>
      <c r="CW90" s="78"/>
      <c r="CX90" s="78"/>
      <c r="CY90" s="78"/>
      <c r="CZ90" s="78"/>
      <c r="DA90" s="78"/>
      <c r="DB90" s="78"/>
      <c r="DC90" s="78"/>
      <c r="DD90" s="78"/>
      <c r="DE90" s="78"/>
      <c r="DF90" s="78"/>
      <c r="DG90" s="78"/>
      <c r="DH90" s="78"/>
      <c r="DI90" s="78"/>
      <c r="DJ90" s="78"/>
      <c r="DK90" s="78"/>
      <c r="DL90" s="78"/>
      <c r="DM90" s="78"/>
      <c r="DN90" s="78"/>
      <c r="DO90" s="78"/>
      <c r="DP90" s="78"/>
    </row>
    <row r="91" spans="1:135" s="501" customFormat="1" ht="18" customHeight="1" thickBot="1">
      <c r="B91" s="4862" t="s">
        <v>125</v>
      </c>
      <c r="C91" s="4863"/>
      <c r="D91" s="4864"/>
      <c r="E91" s="1666">
        <f t="shared" ref="E91:AC91" si="19">IF(ISERROR(E90/E85),0,(E90/E85))</f>
        <v>0</v>
      </c>
      <c r="F91" s="928">
        <f t="shared" si="19"/>
        <v>0</v>
      </c>
      <c r="G91" s="928">
        <f t="shared" si="19"/>
        <v>0</v>
      </c>
      <c r="H91" s="928">
        <f t="shared" si="19"/>
        <v>0</v>
      </c>
      <c r="I91" s="929">
        <f t="shared" si="19"/>
        <v>0</v>
      </c>
      <c r="J91" s="932">
        <f t="shared" si="19"/>
        <v>0</v>
      </c>
      <c r="K91" s="928">
        <f t="shared" si="19"/>
        <v>0</v>
      </c>
      <c r="L91" s="928">
        <f t="shared" si="19"/>
        <v>0</v>
      </c>
      <c r="M91" s="928">
        <f t="shared" si="19"/>
        <v>0</v>
      </c>
      <c r="N91" s="949">
        <f t="shared" si="19"/>
        <v>0</v>
      </c>
      <c r="O91" s="934">
        <f t="shared" si="19"/>
        <v>0</v>
      </c>
      <c r="P91" s="928">
        <f t="shared" si="19"/>
        <v>0</v>
      </c>
      <c r="Q91" s="928">
        <f t="shared" si="19"/>
        <v>0</v>
      </c>
      <c r="R91" s="928">
        <f t="shared" si="19"/>
        <v>0</v>
      </c>
      <c r="S91" s="928">
        <f t="shared" si="19"/>
        <v>0</v>
      </c>
      <c r="T91" s="928">
        <f t="shared" si="19"/>
        <v>0</v>
      </c>
      <c r="U91" s="928">
        <f t="shared" si="19"/>
        <v>0</v>
      </c>
      <c r="V91" s="928">
        <f t="shared" si="19"/>
        <v>0</v>
      </c>
      <c r="W91" s="928">
        <f t="shared" si="19"/>
        <v>0</v>
      </c>
      <c r="X91" s="928">
        <f t="shared" si="19"/>
        <v>0</v>
      </c>
      <c r="Y91" s="928">
        <f t="shared" si="19"/>
        <v>0</v>
      </c>
      <c r="Z91" s="928">
        <f t="shared" si="19"/>
        <v>0</v>
      </c>
      <c r="AA91" s="928">
        <f t="shared" si="19"/>
        <v>0</v>
      </c>
      <c r="AB91" s="928">
        <f t="shared" si="19"/>
        <v>0</v>
      </c>
      <c r="AC91" s="929">
        <f t="shared" si="19"/>
        <v>0</v>
      </c>
      <c r="AD91"/>
      <c r="AE91"/>
      <c r="AF91"/>
      <c r="AG91" s="78"/>
      <c r="AH91" s="78"/>
      <c r="AI91" s="78"/>
      <c r="AJ91" s="78"/>
      <c r="AK91" s="78"/>
      <c r="AL91" s="78"/>
      <c r="AM91" s="78"/>
      <c r="AN91" s="78"/>
      <c r="AO91" s="78"/>
      <c r="AP91" s="78"/>
      <c r="AQ91" s="78"/>
      <c r="AR91" s="78"/>
      <c r="AS91" s="78"/>
      <c r="AT91" s="78"/>
      <c r="AU91" s="78"/>
      <c r="AV91" s="78"/>
      <c r="AW91" s="78"/>
      <c r="AX91" s="78"/>
      <c r="AY91" s="78"/>
      <c r="AZ91" s="78"/>
      <c r="BA91" s="78"/>
      <c r="BB91" s="78"/>
      <c r="BC91" s="78"/>
      <c r="BD91" s="78"/>
      <c r="BE91" s="78"/>
      <c r="BF91" s="78"/>
      <c r="BG91" s="78"/>
      <c r="BH91" s="78"/>
      <c r="BI91" s="78"/>
      <c r="BJ91" s="78"/>
      <c r="BK91" s="78"/>
      <c r="BL91" s="78"/>
      <c r="BM91" s="78"/>
      <c r="BN91" s="78"/>
      <c r="BO91" s="78"/>
      <c r="BP91" s="78"/>
      <c r="BQ91" s="78"/>
      <c r="BR91" s="78"/>
      <c r="BS91" s="78"/>
      <c r="BT91" s="78"/>
      <c r="BU91" s="78"/>
      <c r="BV91" s="78"/>
      <c r="BW91" s="78"/>
      <c r="BX91" s="78"/>
      <c r="BY91" s="78"/>
      <c r="BZ91" s="78"/>
      <c r="CA91" s="78"/>
      <c r="CB91" s="78"/>
      <c r="CC91" s="78"/>
      <c r="CD91" s="78"/>
      <c r="CE91" s="78"/>
      <c r="CF91" s="78"/>
      <c r="CG91" s="78"/>
      <c r="CH91" s="78"/>
      <c r="CI91" s="78"/>
      <c r="CJ91" s="78"/>
      <c r="CK91" s="78"/>
      <c r="CL91" s="78"/>
      <c r="CM91" s="78"/>
      <c r="CN91" s="78"/>
      <c r="CO91" s="78"/>
      <c r="CP91" s="78"/>
      <c r="CQ91" s="78"/>
      <c r="CR91" s="78"/>
      <c r="CS91" s="78"/>
      <c r="CT91" s="78"/>
      <c r="CU91" s="78"/>
      <c r="CV91" s="78"/>
      <c r="CW91" s="78"/>
      <c r="CX91" s="78"/>
      <c r="CY91" s="78"/>
      <c r="CZ91" s="78"/>
      <c r="DA91" s="78"/>
      <c r="DB91" s="78"/>
      <c r="DC91" s="78"/>
      <c r="DD91" s="78"/>
      <c r="DE91" s="78"/>
      <c r="DF91" s="78"/>
      <c r="DG91" s="78"/>
      <c r="DH91" s="78"/>
      <c r="DI91" s="78"/>
      <c r="DJ91" s="78"/>
      <c r="DK91" s="78"/>
      <c r="DL91" s="78"/>
      <c r="DM91" s="78"/>
      <c r="DN91" s="78"/>
      <c r="DO91" s="78"/>
      <c r="DP91" s="78"/>
    </row>
    <row r="92" spans="1:135" s="69" customFormat="1" ht="34.5" customHeight="1" thickBot="1">
      <c r="A92" s="75"/>
      <c r="B92" s="4196" t="s">
        <v>127</v>
      </c>
      <c r="C92" s="4874"/>
      <c r="D92" s="4875"/>
      <c r="E92" s="4871"/>
      <c r="F92" s="4871"/>
      <c r="G92" s="4871"/>
      <c r="H92" s="4871"/>
      <c r="I92" s="4871"/>
      <c r="J92" s="4871"/>
      <c r="K92" s="4871"/>
      <c r="L92" s="4871"/>
      <c r="M92" s="4871"/>
      <c r="N92" s="4871"/>
      <c r="O92" s="4871"/>
      <c r="P92" s="4871"/>
      <c r="Q92" s="4871"/>
      <c r="R92" s="4871"/>
      <c r="S92" s="4871"/>
      <c r="T92" s="4871"/>
      <c r="U92" s="4871"/>
      <c r="V92" s="4871"/>
      <c r="W92" s="4871"/>
      <c r="X92" s="4871"/>
      <c r="Y92" s="4871"/>
      <c r="Z92" s="4871"/>
      <c r="AA92" s="4871"/>
      <c r="AB92" s="4871"/>
      <c r="AC92" s="4872"/>
      <c r="AD92"/>
      <c r="AE92"/>
      <c r="AF92"/>
    </row>
    <row r="93" spans="1:135">
      <c r="A93" s="725"/>
    </row>
    <row r="94" spans="1:135">
      <c r="A94" s="725"/>
    </row>
  </sheetData>
  <mergeCells count="37">
    <mergeCell ref="B22:B29"/>
    <mergeCell ref="C22:D22"/>
    <mergeCell ref="B7:H7"/>
    <mergeCell ref="B8:H8"/>
    <mergeCell ref="B9:C9"/>
    <mergeCell ref="B10:H10"/>
    <mergeCell ref="B17:B20"/>
    <mergeCell ref="C17:C20"/>
    <mergeCell ref="E92:AC92"/>
    <mergeCell ref="D17:D20"/>
    <mergeCell ref="E17:I17"/>
    <mergeCell ref="J17:N17"/>
    <mergeCell ref="O17:AC17"/>
    <mergeCell ref="E18:AC18"/>
    <mergeCell ref="E19:G19"/>
    <mergeCell ref="H19:AC19"/>
    <mergeCell ref="B92:D92"/>
    <mergeCell ref="B57:B62"/>
    <mergeCell ref="C57:D57"/>
    <mergeCell ref="B30:B37"/>
    <mergeCell ref="C30:D30"/>
    <mergeCell ref="B38:B45"/>
    <mergeCell ref="C38:D38"/>
    <mergeCell ref="B46:B53"/>
    <mergeCell ref="C46:D46"/>
    <mergeCell ref="C75:D75"/>
    <mergeCell ref="B75:B80"/>
    <mergeCell ref="B69:B74"/>
    <mergeCell ref="C69:D69"/>
    <mergeCell ref="B63:B68"/>
    <mergeCell ref="C63:D63"/>
    <mergeCell ref="B81:D81"/>
    <mergeCell ref="B82:D82"/>
    <mergeCell ref="B90:D90"/>
    <mergeCell ref="B91:D91"/>
    <mergeCell ref="C85:D85"/>
    <mergeCell ref="B85:B88"/>
  </mergeCells>
  <pageMargins left="0.75" right="0.75" top="1" bottom="1" header="0.5" footer="0.5"/>
  <pageSetup paperSize="9" orientation="portrait" r:id="rId1"/>
  <headerFooter alignWithMargins="0"/>
  <customProperties>
    <customPr name="layoutContexts" r:id="rId2"/>
  </customProperties>
  <drawing r:id="rId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indexed="26"/>
    <pageSetUpPr autoPageBreaks="0"/>
  </sheetPr>
  <dimension ref="A1:EE91"/>
  <sheetViews>
    <sheetView showGridLines="0" topLeftCell="A31" zoomScale="70" zoomScaleNormal="70" workbookViewId="0">
      <selection activeCell="B56" sqref="B56:B83"/>
    </sheetView>
  </sheetViews>
  <sheetFormatPr defaultRowHeight="12.75"/>
  <cols>
    <col min="1" max="1" width="13.85546875" style="94" customWidth="1"/>
    <col min="2" max="2" width="61.7109375" style="146" customWidth="1"/>
    <col min="3" max="3" width="40.28515625" style="94" customWidth="1"/>
    <col min="4" max="4" width="33.42578125" style="94" customWidth="1"/>
    <col min="5" max="28" width="15.7109375" style="94" customWidth="1"/>
    <col min="32" max="264" width="9.140625" style="94"/>
    <col min="265" max="265" width="13.85546875" style="94" customWidth="1"/>
    <col min="266" max="266" width="61.7109375" style="94" customWidth="1"/>
    <col min="267" max="267" width="16.5703125" style="94" bestFit="1" customWidth="1"/>
    <col min="268" max="269" width="6.42578125" style="94" bestFit="1" customWidth="1"/>
    <col min="270" max="270" width="9.140625" style="94"/>
    <col min="271" max="271" width="14.42578125" style="94" bestFit="1" customWidth="1"/>
    <col min="272" max="272" width="17.7109375" style="94" customWidth="1"/>
    <col min="273" max="284" width="8.5703125" style="94" bestFit="1" customWidth="1"/>
    <col min="285" max="520" width="9.140625" style="94"/>
    <col min="521" max="521" width="13.85546875" style="94" customWidth="1"/>
    <col min="522" max="522" width="61.7109375" style="94" customWidth="1"/>
    <col min="523" max="523" width="16.5703125" style="94" bestFit="1" customWidth="1"/>
    <col min="524" max="525" width="6.42578125" style="94" bestFit="1" customWidth="1"/>
    <col min="526" max="526" width="9.140625" style="94"/>
    <col min="527" max="527" width="14.42578125" style="94" bestFit="1" customWidth="1"/>
    <col min="528" max="528" width="17.7109375" style="94" customWidth="1"/>
    <col min="529" max="540" width="8.5703125" style="94" bestFit="1" customWidth="1"/>
    <col min="541" max="776" width="9.140625" style="94"/>
    <col min="777" max="777" width="13.85546875" style="94" customWidth="1"/>
    <col min="778" max="778" width="61.7109375" style="94" customWidth="1"/>
    <col min="779" max="779" width="16.5703125" style="94" bestFit="1" customWidth="1"/>
    <col min="780" max="781" width="6.42578125" style="94" bestFit="1" customWidth="1"/>
    <col min="782" max="782" width="9.140625" style="94"/>
    <col min="783" max="783" width="14.42578125" style="94" bestFit="1" customWidth="1"/>
    <col min="784" max="784" width="17.7109375" style="94" customWidth="1"/>
    <col min="785" max="796" width="8.5703125" style="94" bestFit="1" customWidth="1"/>
    <col min="797" max="1032" width="9.140625" style="94"/>
    <col min="1033" max="1033" width="13.85546875" style="94" customWidth="1"/>
    <col min="1034" max="1034" width="61.7109375" style="94" customWidth="1"/>
    <col min="1035" max="1035" width="16.5703125" style="94" bestFit="1" customWidth="1"/>
    <col min="1036" max="1037" width="6.42578125" style="94" bestFit="1" customWidth="1"/>
    <col min="1038" max="1038" width="9.140625" style="94"/>
    <col min="1039" max="1039" width="14.42578125" style="94" bestFit="1" customWidth="1"/>
    <col min="1040" max="1040" width="17.7109375" style="94" customWidth="1"/>
    <col min="1041" max="1052" width="8.5703125" style="94" bestFit="1" customWidth="1"/>
    <col min="1053" max="1288" width="9.140625" style="94"/>
    <col min="1289" max="1289" width="13.85546875" style="94" customWidth="1"/>
    <col min="1290" max="1290" width="61.7109375" style="94" customWidth="1"/>
    <col min="1291" max="1291" width="16.5703125" style="94" bestFit="1" customWidth="1"/>
    <col min="1292" max="1293" width="6.42578125" style="94" bestFit="1" customWidth="1"/>
    <col min="1294" max="1294" width="9.140625" style="94"/>
    <col min="1295" max="1295" width="14.42578125" style="94" bestFit="1" customWidth="1"/>
    <col min="1296" max="1296" width="17.7109375" style="94" customWidth="1"/>
    <col min="1297" max="1308" width="8.5703125" style="94" bestFit="1" customWidth="1"/>
    <col min="1309" max="1544" width="9.140625" style="94"/>
    <col min="1545" max="1545" width="13.85546875" style="94" customWidth="1"/>
    <col min="1546" max="1546" width="61.7109375" style="94" customWidth="1"/>
    <col min="1547" max="1547" width="16.5703125" style="94" bestFit="1" customWidth="1"/>
    <col min="1548" max="1549" width="6.42578125" style="94" bestFit="1" customWidth="1"/>
    <col min="1550" max="1550" width="9.140625" style="94"/>
    <col min="1551" max="1551" width="14.42578125" style="94" bestFit="1" customWidth="1"/>
    <col min="1552" max="1552" width="17.7109375" style="94" customWidth="1"/>
    <col min="1553" max="1564" width="8.5703125" style="94" bestFit="1" customWidth="1"/>
    <col min="1565" max="1800" width="9.140625" style="94"/>
    <col min="1801" max="1801" width="13.85546875" style="94" customWidth="1"/>
    <col min="1802" max="1802" width="61.7109375" style="94" customWidth="1"/>
    <col min="1803" max="1803" width="16.5703125" style="94" bestFit="1" customWidth="1"/>
    <col min="1804" max="1805" width="6.42578125" style="94" bestFit="1" customWidth="1"/>
    <col min="1806" max="1806" width="9.140625" style="94"/>
    <col min="1807" max="1807" width="14.42578125" style="94" bestFit="1" customWidth="1"/>
    <col min="1808" max="1808" width="17.7109375" style="94" customWidth="1"/>
    <col min="1809" max="1820" width="8.5703125" style="94" bestFit="1" customWidth="1"/>
    <col min="1821" max="2056" width="9.140625" style="94"/>
    <col min="2057" max="2057" width="13.85546875" style="94" customWidth="1"/>
    <col min="2058" max="2058" width="61.7109375" style="94" customWidth="1"/>
    <col min="2059" max="2059" width="16.5703125" style="94" bestFit="1" customWidth="1"/>
    <col min="2060" max="2061" width="6.42578125" style="94" bestFit="1" customWidth="1"/>
    <col min="2062" max="2062" width="9.140625" style="94"/>
    <col min="2063" max="2063" width="14.42578125" style="94" bestFit="1" customWidth="1"/>
    <col min="2064" max="2064" width="17.7109375" style="94" customWidth="1"/>
    <col min="2065" max="2076" width="8.5703125" style="94" bestFit="1" customWidth="1"/>
    <col min="2077" max="2312" width="9.140625" style="94"/>
    <col min="2313" max="2313" width="13.85546875" style="94" customWidth="1"/>
    <col min="2314" max="2314" width="61.7109375" style="94" customWidth="1"/>
    <col min="2315" max="2315" width="16.5703125" style="94" bestFit="1" customWidth="1"/>
    <col min="2316" max="2317" width="6.42578125" style="94" bestFit="1" customWidth="1"/>
    <col min="2318" max="2318" width="9.140625" style="94"/>
    <col min="2319" max="2319" width="14.42578125" style="94" bestFit="1" customWidth="1"/>
    <col min="2320" max="2320" width="17.7109375" style="94" customWidth="1"/>
    <col min="2321" max="2332" width="8.5703125" style="94" bestFit="1" customWidth="1"/>
    <col min="2333" max="2568" width="9.140625" style="94"/>
    <col min="2569" max="2569" width="13.85546875" style="94" customWidth="1"/>
    <col min="2570" max="2570" width="61.7109375" style="94" customWidth="1"/>
    <col min="2571" max="2571" width="16.5703125" style="94" bestFit="1" customWidth="1"/>
    <col min="2572" max="2573" width="6.42578125" style="94" bestFit="1" customWidth="1"/>
    <col min="2574" max="2574" width="9.140625" style="94"/>
    <col min="2575" max="2575" width="14.42578125" style="94" bestFit="1" customWidth="1"/>
    <col min="2576" max="2576" width="17.7109375" style="94" customWidth="1"/>
    <col min="2577" max="2588" width="8.5703125" style="94" bestFit="1" customWidth="1"/>
    <col min="2589" max="2824" width="9.140625" style="94"/>
    <col min="2825" max="2825" width="13.85546875" style="94" customWidth="1"/>
    <col min="2826" max="2826" width="61.7109375" style="94" customWidth="1"/>
    <col min="2827" max="2827" width="16.5703125" style="94" bestFit="1" customWidth="1"/>
    <col min="2828" max="2829" width="6.42578125" style="94" bestFit="1" customWidth="1"/>
    <col min="2830" max="2830" width="9.140625" style="94"/>
    <col min="2831" max="2831" width="14.42578125" style="94" bestFit="1" customWidth="1"/>
    <col min="2832" max="2832" width="17.7109375" style="94" customWidth="1"/>
    <col min="2833" max="2844" width="8.5703125" style="94" bestFit="1" customWidth="1"/>
    <col min="2845" max="3080" width="9.140625" style="94"/>
    <col min="3081" max="3081" width="13.85546875" style="94" customWidth="1"/>
    <col min="3082" max="3082" width="61.7109375" style="94" customWidth="1"/>
    <col min="3083" max="3083" width="16.5703125" style="94" bestFit="1" customWidth="1"/>
    <col min="3084" max="3085" width="6.42578125" style="94" bestFit="1" customWidth="1"/>
    <col min="3086" max="3086" width="9.140625" style="94"/>
    <col min="3087" max="3087" width="14.42578125" style="94" bestFit="1" customWidth="1"/>
    <col min="3088" max="3088" width="17.7109375" style="94" customWidth="1"/>
    <col min="3089" max="3100" width="8.5703125" style="94" bestFit="1" customWidth="1"/>
    <col min="3101" max="3336" width="9.140625" style="94"/>
    <col min="3337" max="3337" width="13.85546875" style="94" customWidth="1"/>
    <col min="3338" max="3338" width="61.7109375" style="94" customWidth="1"/>
    <col min="3339" max="3339" width="16.5703125" style="94" bestFit="1" customWidth="1"/>
    <col min="3340" max="3341" width="6.42578125" style="94" bestFit="1" customWidth="1"/>
    <col min="3342" max="3342" width="9.140625" style="94"/>
    <col min="3343" max="3343" width="14.42578125" style="94" bestFit="1" customWidth="1"/>
    <col min="3344" max="3344" width="17.7109375" style="94" customWidth="1"/>
    <col min="3345" max="3356" width="8.5703125" style="94" bestFit="1" customWidth="1"/>
    <col min="3357" max="3592" width="9.140625" style="94"/>
    <col min="3593" max="3593" width="13.85546875" style="94" customWidth="1"/>
    <col min="3594" max="3594" width="61.7109375" style="94" customWidth="1"/>
    <col min="3595" max="3595" width="16.5703125" style="94" bestFit="1" customWidth="1"/>
    <col min="3596" max="3597" width="6.42578125" style="94" bestFit="1" customWidth="1"/>
    <col min="3598" max="3598" width="9.140625" style="94"/>
    <col min="3599" max="3599" width="14.42578125" style="94" bestFit="1" customWidth="1"/>
    <col min="3600" max="3600" width="17.7109375" style="94" customWidth="1"/>
    <col min="3601" max="3612" width="8.5703125" style="94" bestFit="1" customWidth="1"/>
    <col min="3613" max="3848" width="9.140625" style="94"/>
    <col min="3849" max="3849" width="13.85546875" style="94" customWidth="1"/>
    <col min="3850" max="3850" width="61.7109375" style="94" customWidth="1"/>
    <col min="3851" max="3851" width="16.5703125" style="94" bestFit="1" customWidth="1"/>
    <col min="3852" max="3853" width="6.42578125" style="94" bestFit="1" customWidth="1"/>
    <col min="3854" max="3854" width="9.140625" style="94"/>
    <col min="3855" max="3855" width="14.42578125" style="94" bestFit="1" customWidth="1"/>
    <col min="3856" max="3856" width="17.7109375" style="94" customWidth="1"/>
    <col min="3857" max="3868" width="8.5703125" style="94" bestFit="1" customWidth="1"/>
    <col min="3869" max="4104" width="9.140625" style="94"/>
    <col min="4105" max="4105" width="13.85546875" style="94" customWidth="1"/>
    <col min="4106" max="4106" width="61.7109375" style="94" customWidth="1"/>
    <col min="4107" max="4107" width="16.5703125" style="94" bestFit="1" customWidth="1"/>
    <col min="4108" max="4109" width="6.42578125" style="94" bestFit="1" customWidth="1"/>
    <col min="4110" max="4110" width="9.140625" style="94"/>
    <col min="4111" max="4111" width="14.42578125" style="94" bestFit="1" customWidth="1"/>
    <col min="4112" max="4112" width="17.7109375" style="94" customWidth="1"/>
    <col min="4113" max="4124" width="8.5703125" style="94" bestFit="1" customWidth="1"/>
    <col min="4125" max="4360" width="9.140625" style="94"/>
    <col min="4361" max="4361" width="13.85546875" style="94" customWidth="1"/>
    <col min="4362" max="4362" width="61.7109375" style="94" customWidth="1"/>
    <col min="4363" max="4363" width="16.5703125" style="94" bestFit="1" customWidth="1"/>
    <col min="4364" max="4365" width="6.42578125" style="94" bestFit="1" customWidth="1"/>
    <col min="4366" max="4366" width="9.140625" style="94"/>
    <col min="4367" max="4367" width="14.42578125" style="94" bestFit="1" customWidth="1"/>
    <col min="4368" max="4368" width="17.7109375" style="94" customWidth="1"/>
    <col min="4369" max="4380" width="8.5703125" style="94" bestFit="1" customWidth="1"/>
    <col min="4381" max="4616" width="9.140625" style="94"/>
    <col min="4617" max="4617" width="13.85546875" style="94" customWidth="1"/>
    <col min="4618" max="4618" width="61.7109375" style="94" customWidth="1"/>
    <col min="4619" max="4619" width="16.5703125" style="94" bestFit="1" customWidth="1"/>
    <col min="4620" max="4621" width="6.42578125" style="94" bestFit="1" customWidth="1"/>
    <col min="4622" max="4622" width="9.140625" style="94"/>
    <col min="4623" max="4623" width="14.42578125" style="94" bestFit="1" customWidth="1"/>
    <col min="4624" max="4624" width="17.7109375" style="94" customWidth="1"/>
    <col min="4625" max="4636" width="8.5703125" style="94" bestFit="1" customWidth="1"/>
    <col min="4637" max="4872" width="9.140625" style="94"/>
    <col min="4873" max="4873" width="13.85546875" style="94" customWidth="1"/>
    <col min="4874" max="4874" width="61.7109375" style="94" customWidth="1"/>
    <col min="4875" max="4875" width="16.5703125" style="94" bestFit="1" customWidth="1"/>
    <col min="4876" max="4877" width="6.42578125" style="94" bestFit="1" customWidth="1"/>
    <col min="4878" max="4878" width="9.140625" style="94"/>
    <col min="4879" max="4879" width="14.42578125" style="94" bestFit="1" customWidth="1"/>
    <col min="4880" max="4880" width="17.7109375" style="94" customWidth="1"/>
    <col min="4881" max="4892" width="8.5703125" style="94" bestFit="1" customWidth="1"/>
    <col min="4893" max="5128" width="9.140625" style="94"/>
    <col min="5129" max="5129" width="13.85546875" style="94" customWidth="1"/>
    <col min="5130" max="5130" width="61.7109375" style="94" customWidth="1"/>
    <col min="5131" max="5131" width="16.5703125" style="94" bestFit="1" customWidth="1"/>
    <col min="5132" max="5133" width="6.42578125" style="94" bestFit="1" customWidth="1"/>
    <col min="5134" max="5134" width="9.140625" style="94"/>
    <col min="5135" max="5135" width="14.42578125" style="94" bestFit="1" customWidth="1"/>
    <col min="5136" max="5136" width="17.7109375" style="94" customWidth="1"/>
    <col min="5137" max="5148" width="8.5703125" style="94" bestFit="1" customWidth="1"/>
    <col min="5149" max="5384" width="9.140625" style="94"/>
    <col min="5385" max="5385" width="13.85546875" style="94" customWidth="1"/>
    <col min="5386" max="5386" width="61.7109375" style="94" customWidth="1"/>
    <col min="5387" max="5387" width="16.5703125" style="94" bestFit="1" customWidth="1"/>
    <col min="5388" max="5389" width="6.42578125" style="94" bestFit="1" customWidth="1"/>
    <col min="5390" max="5390" width="9.140625" style="94"/>
    <col min="5391" max="5391" width="14.42578125" style="94" bestFit="1" customWidth="1"/>
    <col min="5392" max="5392" width="17.7109375" style="94" customWidth="1"/>
    <col min="5393" max="5404" width="8.5703125" style="94" bestFit="1" customWidth="1"/>
    <col min="5405" max="5640" width="9.140625" style="94"/>
    <col min="5641" max="5641" width="13.85546875" style="94" customWidth="1"/>
    <col min="5642" max="5642" width="61.7109375" style="94" customWidth="1"/>
    <col min="5643" max="5643" width="16.5703125" style="94" bestFit="1" customWidth="1"/>
    <col min="5644" max="5645" width="6.42578125" style="94" bestFit="1" customWidth="1"/>
    <col min="5646" max="5646" width="9.140625" style="94"/>
    <col min="5647" max="5647" width="14.42578125" style="94" bestFit="1" customWidth="1"/>
    <col min="5648" max="5648" width="17.7109375" style="94" customWidth="1"/>
    <col min="5649" max="5660" width="8.5703125" style="94" bestFit="1" customWidth="1"/>
    <col min="5661" max="5896" width="9.140625" style="94"/>
    <col min="5897" max="5897" width="13.85546875" style="94" customWidth="1"/>
    <col min="5898" max="5898" width="61.7109375" style="94" customWidth="1"/>
    <col min="5899" max="5899" width="16.5703125" style="94" bestFit="1" customWidth="1"/>
    <col min="5900" max="5901" width="6.42578125" style="94" bestFit="1" customWidth="1"/>
    <col min="5902" max="5902" width="9.140625" style="94"/>
    <col min="5903" max="5903" width="14.42578125" style="94" bestFit="1" customWidth="1"/>
    <col min="5904" max="5904" width="17.7109375" style="94" customWidth="1"/>
    <col min="5905" max="5916" width="8.5703125" style="94" bestFit="1" customWidth="1"/>
    <col min="5917" max="6152" width="9.140625" style="94"/>
    <col min="6153" max="6153" width="13.85546875" style="94" customWidth="1"/>
    <col min="6154" max="6154" width="61.7109375" style="94" customWidth="1"/>
    <col min="6155" max="6155" width="16.5703125" style="94" bestFit="1" customWidth="1"/>
    <col min="6156" max="6157" width="6.42578125" style="94" bestFit="1" customWidth="1"/>
    <col min="6158" max="6158" width="9.140625" style="94"/>
    <col min="6159" max="6159" width="14.42578125" style="94" bestFit="1" customWidth="1"/>
    <col min="6160" max="6160" width="17.7109375" style="94" customWidth="1"/>
    <col min="6161" max="6172" width="8.5703125" style="94" bestFit="1" customWidth="1"/>
    <col min="6173" max="6408" width="9.140625" style="94"/>
    <col min="6409" max="6409" width="13.85546875" style="94" customWidth="1"/>
    <col min="6410" max="6410" width="61.7109375" style="94" customWidth="1"/>
    <col min="6411" max="6411" width="16.5703125" style="94" bestFit="1" customWidth="1"/>
    <col min="6412" max="6413" width="6.42578125" style="94" bestFit="1" customWidth="1"/>
    <col min="6414" max="6414" width="9.140625" style="94"/>
    <col min="6415" max="6415" width="14.42578125" style="94" bestFit="1" customWidth="1"/>
    <col min="6416" max="6416" width="17.7109375" style="94" customWidth="1"/>
    <col min="6417" max="6428" width="8.5703125" style="94" bestFit="1" customWidth="1"/>
    <col min="6429" max="6664" width="9.140625" style="94"/>
    <col min="6665" max="6665" width="13.85546875" style="94" customWidth="1"/>
    <col min="6666" max="6666" width="61.7109375" style="94" customWidth="1"/>
    <col min="6667" max="6667" width="16.5703125" style="94" bestFit="1" customWidth="1"/>
    <col min="6668" max="6669" width="6.42578125" style="94" bestFit="1" customWidth="1"/>
    <col min="6670" max="6670" width="9.140625" style="94"/>
    <col min="6671" max="6671" width="14.42578125" style="94" bestFit="1" customWidth="1"/>
    <col min="6672" max="6672" width="17.7109375" style="94" customWidth="1"/>
    <col min="6673" max="6684" width="8.5703125" style="94" bestFit="1" customWidth="1"/>
    <col min="6685" max="6920" width="9.140625" style="94"/>
    <col min="6921" max="6921" width="13.85546875" style="94" customWidth="1"/>
    <col min="6922" max="6922" width="61.7109375" style="94" customWidth="1"/>
    <col min="6923" max="6923" width="16.5703125" style="94" bestFit="1" customWidth="1"/>
    <col min="6924" max="6925" width="6.42578125" style="94" bestFit="1" customWidth="1"/>
    <col min="6926" max="6926" width="9.140625" style="94"/>
    <col min="6927" max="6927" width="14.42578125" style="94" bestFit="1" customWidth="1"/>
    <col min="6928" max="6928" width="17.7109375" style="94" customWidth="1"/>
    <col min="6929" max="6940" width="8.5703125" style="94" bestFit="1" customWidth="1"/>
    <col min="6941" max="7176" width="9.140625" style="94"/>
    <col min="7177" max="7177" width="13.85546875" style="94" customWidth="1"/>
    <col min="7178" max="7178" width="61.7109375" style="94" customWidth="1"/>
    <col min="7179" max="7179" width="16.5703125" style="94" bestFit="1" customWidth="1"/>
    <col min="7180" max="7181" width="6.42578125" style="94" bestFit="1" customWidth="1"/>
    <col min="7182" max="7182" width="9.140625" style="94"/>
    <col min="7183" max="7183" width="14.42578125" style="94" bestFit="1" customWidth="1"/>
    <col min="7184" max="7184" width="17.7109375" style="94" customWidth="1"/>
    <col min="7185" max="7196" width="8.5703125" style="94" bestFit="1" customWidth="1"/>
    <col min="7197" max="7432" width="9.140625" style="94"/>
    <col min="7433" max="7433" width="13.85546875" style="94" customWidth="1"/>
    <col min="7434" max="7434" width="61.7109375" style="94" customWidth="1"/>
    <col min="7435" max="7435" width="16.5703125" style="94" bestFit="1" customWidth="1"/>
    <col min="7436" max="7437" width="6.42578125" style="94" bestFit="1" customWidth="1"/>
    <col min="7438" max="7438" width="9.140625" style="94"/>
    <col min="7439" max="7439" width="14.42578125" style="94" bestFit="1" customWidth="1"/>
    <col min="7440" max="7440" width="17.7109375" style="94" customWidth="1"/>
    <col min="7441" max="7452" width="8.5703125" style="94" bestFit="1" customWidth="1"/>
    <col min="7453" max="7688" width="9.140625" style="94"/>
    <col min="7689" max="7689" width="13.85546875" style="94" customWidth="1"/>
    <col min="7690" max="7690" width="61.7109375" style="94" customWidth="1"/>
    <col min="7691" max="7691" width="16.5703125" style="94" bestFit="1" customWidth="1"/>
    <col min="7692" max="7693" width="6.42578125" style="94" bestFit="1" customWidth="1"/>
    <col min="7694" max="7694" width="9.140625" style="94"/>
    <col min="7695" max="7695" width="14.42578125" style="94" bestFit="1" customWidth="1"/>
    <col min="7696" max="7696" width="17.7109375" style="94" customWidth="1"/>
    <col min="7697" max="7708" width="8.5703125" style="94" bestFit="1" customWidth="1"/>
    <col min="7709" max="7944" width="9.140625" style="94"/>
    <col min="7945" max="7945" width="13.85546875" style="94" customWidth="1"/>
    <col min="7946" max="7946" width="61.7109375" style="94" customWidth="1"/>
    <col min="7947" max="7947" width="16.5703125" style="94" bestFit="1" customWidth="1"/>
    <col min="7948" max="7949" width="6.42578125" style="94" bestFit="1" customWidth="1"/>
    <col min="7950" max="7950" width="9.140625" style="94"/>
    <col min="7951" max="7951" width="14.42578125" style="94" bestFit="1" customWidth="1"/>
    <col min="7952" max="7952" width="17.7109375" style="94" customWidth="1"/>
    <col min="7953" max="7964" width="8.5703125" style="94" bestFit="1" customWidth="1"/>
    <col min="7965" max="8200" width="9.140625" style="94"/>
    <col min="8201" max="8201" width="13.85546875" style="94" customWidth="1"/>
    <col min="8202" max="8202" width="61.7109375" style="94" customWidth="1"/>
    <col min="8203" max="8203" width="16.5703125" style="94" bestFit="1" customWidth="1"/>
    <col min="8204" max="8205" width="6.42578125" style="94" bestFit="1" customWidth="1"/>
    <col min="8206" max="8206" width="9.140625" style="94"/>
    <col min="8207" max="8207" width="14.42578125" style="94" bestFit="1" customWidth="1"/>
    <col min="8208" max="8208" width="17.7109375" style="94" customWidth="1"/>
    <col min="8209" max="8220" width="8.5703125" style="94" bestFit="1" customWidth="1"/>
    <col min="8221" max="8456" width="9.140625" style="94"/>
    <col min="8457" max="8457" width="13.85546875" style="94" customWidth="1"/>
    <col min="8458" max="8458" width="61.7109375" style="94" customWidth="1"/>
    <col min="8459" max="8459" width="16.5703125" style="94" bestFit="1" customWidth="1"/>
    <col min="8460" max="8461" width="6.42578125" style="94" bestFit="1" customWidth="1"/>
    <col min="8462" max="8462" width="9.140625" style="94"/>
    <col min="8463" max="8463" width="14.42578125" style="94" bestFit="1" customWidth="1"/>
    <col min="8464" max="8464" width="17.7109375" style="94" customWidth="1"/>
    <col min="8465" max="8476" width="8.5703125" style="94" bestFit="1" customWidth="1"/>
    <col min="8477" max="8712" width="9.140625" style="94"/>
    <col min="8713" max="8713" width="13.85546875" style="94" customWidth="1"/>
    <col min="8714" max="8714" width="61.7109375" style="94" customWidth="1"/>
    <col min="8715" max="8715" width="16.5703125" style="94" bestFit="1" customWidth="1"/>
    <col min="8716" max="8717" width="6.42578125" style="94" bestFit="1" customWidth="1"/>
    <col min="8718" max="8718" width="9.140625" style="94"/>
    <col min="8719" max="8719" width="14.42578125" style="94" bestFit="1" customWidth="1"/>
    <col min="8720" max="8720" width="17.7109375" style="94" customWidth="1"/>
    <col min="8721" max="8732" width="8.5703125" style="94" bestFit="1" customWidth="1"/>
    <col min="8733" max="8968" width="9.140625" style="94"/>
    <col min="8969" max="8969" width="13.85546875" style="94" customWidth="1"/>
    <col min="8970" max="8970" width="61.7109375" style="94" customWidth="1"/>
    <col min="8971" max="8971" width="16.5703125" style="94" bestFit="1" customWidth="1"/>
    <col min="8972" max="8973" width="6.42578125" style="94" bestFit="1" customWidth="1"/>
    <col min="8974" max="8974" width="9.140625" style="94"/>
    <col min="8975" max="8975" width="14.42578125" style="94" bestFit="1" customWidth="1"/>
    <col min="8976" max="8976" width="17.7109375" style="94" customWidth="1"/>
    <col min="8977" max="8988" width="8.5703125" style="94" bestFit="1" customWidth="1"/>
    <col min="8989" max="9224" width="9.140625" style="94"/>
    <col min="9225" max="9225" width="13.85546875" style="94" customWidth="1"/>
    <col min="9226" max="9226" width="61.7109375" style="94" customWidth="1"/>
    <col min="9227" max="9227" width="16.5703125" style="94" bestFit="1" customWidth="1"/>
    <col min="9228" max="9229" width="6.42578125" style="94" bestFit="1" customWidth="1"/>
    <col min="9230" max="9230" width="9.140625" style="94"/>
    <col min="9231" max="9231" width="14.42578125" style="94" bestFit="1" customWidth="1"/>
    <col min="9232" max="9232" width="17.7109375" style="94" customWidth="1"/>
    <col min="9233" max="9244" width="8.5703125" style="94" bestFit="1" customWidth="1"/>
    <col min="9245" max="9480" width="9.140625" style="94"/>
    <col min="9481" max="9481" width="13.85546875" style="94" customWidth="1"/>
    <col min="9482" max="9482" width="61.7109375" style="94" customWidth="1"/>
    <col min="9483" max="9483" width="16.5703125" style="94" bestFit="1" customWidth="1"/>
    <col min="9484" max="9485" width="6.42578125" style="94" bestFit="1" customWidth="1"/>
    <col min="9486" max="9486" width="9.140625" style="94"/>
    <col min="9487" max="9487" width="14.42578125" style="94" bestFit="1" customWidth="1"/>
    <col min="9488" max="9488" width="17.7109375" style="94" customWidth="1"/>
    <col min="9489" max="9500" width="8.5703125" style="94" bestFit="1" customWidth="1"/>
    <col min="9501" max="9736" width="9.140625" style="94"/>
    <col min="9737" max="9737" width="13.85546875" style="94" customWidth="1"/>
    <col min="9738" max="9738" width="61.7109375" style="94" customWidth="1"/>
    <col min="9739" max="9739" width="16.5703125" style="94" bestFit="1" customWidth="1"/>
    <col min="9740" max="9741" width="6.42578125" style="94" bestFit="1" customWidth="1"/>
    <col min="9742" max="9742" width="9.140625" style="94"/>
    <col min="9743" max="9743" width="14.42578125" style="94" bestFit="1" customWidth="1"/>
    <col min="9744" max="9744" width="17.7109375" style="94" customWidth="1"/>
    <col min="9745" max="9756" width="8.5703125" style="94" bestFit="1" customWidth="1"/>
    <col min="9757" max="9992" width="9.140625" style="94"/>
    <col min="9993" max="9993" width="13.85546875" style="94" customWidth="1"/>
    <col min="9994" max="9994" width="61.7109375" style="94" customWidth="1"/>
    <col min="9995" max="9995" width="16.5703125" style="94" bestFit="1" customWidth="1"/>
    <col min="9996" max="9997" width="6.42578125" style="94" bestFit="1" customWidth="1"/>
    <col min="9998" max="9998" width="9.140625" style="94"/>
    <col min="9999" max="9999" width="14.42578125" style="94" bestFit="1" customWidth="1"/>
    <col min="10000" max="10000" width="17.7109375" style="94" customWidth="1"/>
    <col min="10001" max="10012" width="8.5703125" style="94" bestFit="1" customWidth="1"/>
    <col min="10013" max="10248" width="9.140625" style="94"/>
    <col min="10249" max="10249" width="13.85546875" style="94" customWidth="1"/>
    <col min="10250" max="10250" width="61.7109375" style="94" customWidth="1"/>
    <col min="10251" max="10251" width="16.5703125" style="94" bestFit="1" customWidth="1"/>
    <col min="10252" max="10253" width="6.42578125" style="94" bestFit="1" customWidth="1"/>
    <col min="10254" max="10254" width="9.140625" style="94"/>
    <col min="10255" max="10255" width="14.42578125" style="94" bestFit="1" customWidth="1"/>
    <col min="10256" max="10256" width="17.7109375" style="94" customWidth="1"/>
    <col min="10257" max="10268" width="8.5703125" style="94" bestFit="1" customWidth="1"/>
    <col min="10269" max="10504" width="9.140625" style="94"/>
    <col min="10505" max="10505" width="13.85546875" style="94" customWidth="1"/>
    <col min="10506" max="10506" width="61.7109375" style="94" customWidth="1"/>
    <col min="10507" max="10507" width="16.5703125" style="94" bestFit="1" customWidth="1"/>
    <col min="10508" max="10509" width="6.42578125" style="94" bestFit="1" customWidth="1"/>
    <col min="10510" max="10510" width="9.140625" style="94"/>
    <col min="10511" max="10511" width="14.42578125" style="94" bestFit="1" customWidth="1"/>
    <col min="10512" max="10512" width="17.7109375" style="94" customWidth="1"/>
    <col min="10513" max="10524" width="8.5703125" style="94" bestFit="1" customWidth="1"/>
    <col min="10525" max="10760" width="9.140625" style="94"/>
    <col min="10761" max="10761" width="13.85546875" style="94" customWidth="1"/>
    <col min="10762" max="10762" width="61.7109375" style="94" customWidth="1"/>
    <col min="10763" max="10763" width="16.5703125" style="94" bestFit="1" customWidth="1"/>
    <col min="10764" max="10765" width="6.42578125" style="94" bestFit="1" customWidth="1"/>
    <col min="10766" max="10766" width="9.140625" style="94"/>
    <col min="10767" max="10767" width="14.42578125" style="94" bestFit="1" customWidth="1"/>
    <col min="10768" max="10768" width="17.7109375" style="94" customWidth="1"/>
    <col min="10769" max="10780" width="8.5703125" style="94" bestFit="1" customWidth="1"/>
    <col min="10781" max="11016" width="9.140625" style="94"/>
    <col min="11017" max="11017" width="13.85546875" style="94" customWidth="1"/>
    <col min="11018" max="11018" width="61.7109375" style="94" customWidth="1"/>
    <col min="11019" max="11019" width="16.5703125" style="94" bestFit="1" customWidth="1"/>
    <col min="11020" max="11021" width="6.42578125" style="94" bestFit="1" customWidth="1"/>
    <col min="11022" max="11022" width="9.140625" style="94"/>
    <col min="11023" max="11023" width="14.42578125" style="94" bestFit="1" customWidth="1"/>
    <col min="11024" max="11024" width="17.7109375" style="94" customWidth="1"/>
    <col min="11025" max="11036" width="8.5703125" style="94" bestFit="1" customWidth="1"/>
    <col min="11037" max="11272" width="9.140625" style="94"/>
    <col min="11273" max="11273" width="13.85546875" style="94" customWidth="1"/>
    <col min="11274" max="11274" width="61.7109375" style="94" customWidth="1"/>
    <col min="11275" max="11275" width="16.5703125" style="94" bestFit="1" customWidth="1"/>
    <col min="11276" max="11277" width="6.42578125" style="94" bestFit="1" customWidth="1"/>
    <col min="11278" max="11278" width="9.140625" style="94"/>
    <col min="11279" max="11279" width="14.42578125" style="94" bestFit="1" customWidth="1"/>
    <col min="11280" max="11280" width="17.7109375" style="94" customWidth="1"/>
    <col min="11281" max="11292" width="8.5703125" style="94" bestFit="1" customWidth="1"/>
    <col min="11293" max="11528" width="9.140625" style="94"/>
    <col min="11529" max="11529" width="13.85546875" style="94" customWidth="1"/>
    <col min="11530" max="11530" width="61.7109375" style="94" customWidth="1"/>
    <col min="11531" max="11531" width="16.5703125" style="94" bestFit="1" customWidth="1"/>
    <col min="11532" max="11533" width="6.42578125" style="94" bestFit="1" customWidth="1"/>
    <col min="11534" max="11534" width="9.140625" style="94"/>
    <col min="11535" max="11535" width="14.42578125" style="94" bestFit="1" customWidth="1"/>
    <col min="11536" max="11536" width="17.7109375" style="94" customWidth="1"/>
    <col min="11537" max="11548" width="8.5703125" style="94" bestFit="1" customWidth="1"/>
    <col min="11549" max="11784" width="9.140625" style="94"/>
    <col min="11785" max="11785" width="13.85546875" style="94" customWidth="1"/>
    <col min="11786" max="11786" width="61.7109375" style="94" customWidth="1"/>
    <col min="11787" max="11787" width="16.5703125" style="94" bestFit="1" customWidth="1"/>
    <col min="11788" max="11789" width="6.42578125" style="94" bestFit="1" customWidth="1"/>
    <col min="11790" max="11790" width="9.140625" style="94"/>
    <col min="11791" max="11791" width="14.42578125" style="94" bestFit="1" customWidth="1"/>
    <col min="11792" max="11792" width="17.7109375" style="94" customWidth="1"/>
    <col min="11793" max="11804" width="8.5703125" style="94" bestFit="1" customWidth="1"/>
    <col min="11805" max="12040" width="9.140625" style="94"/>
    <col min="12041" max="12041" width="13.85546875" style="94" customWidth="1"/>
    <col min="12042" max="12042" width="61.7109375" style="94" customWidth="1"/>
    <col min="12043" max="12043" width="16.5703125" style="94" bestFit="1" customWidth="1"/>
    <col min="12044" max="12045" width="6.42578125" style="94" bestFit="1" customWidth="1"/>
    <col min="12046" max="12046" width="9.140625" style="94"/>
    <col min="12047" max="12047" width="14.42578125" style="94" bestFit="1" customWidth="1"/>
    <col min="12048" max="12048" width="17.7109375" style="94" customWidth="1"/>
    <col min="12049" max="12060" width="8.5703125" style="94" bestFit="1" customWidth="1"/>
    <col min="12061" max="12296" width="9.140625" style="94"/>
    <col min="12297" max="12297" width="13.85546875" style="94" customWidth="1"/>
    <col min="12298" max="12298" width="61.7109375" style="94" customWidth="1"/>
    <col min="12299" max="12299" width="16.5703125" style="94" bestFit="1" customWidth="1"/>
    <col min="12300" max="12301" width="6.42578125" style="94" bestFit="1" customWidth="1"/>
    <col min="12302" max="12302" width="9.140625" style="94"/>
    <col min="12303" max="12303" width="14.42578125" style="94" bestFit="1" customWidth="1"/>
    <col min="12304" max="12304" width="17.7109375" style="94" customWidth="1"/>
    <col min="12305" max="12316" width="8.5703125" style="94" bestFit="1" customWidth="1"/>
    <col min="12317" max="12552" width="9.140625" style="94"/>
    <col min="12553" max="12553" width="13.85546875" style="94" customWidth="1"/>
    <col min="12554" max="12554" width="61.7109375" style="94" customWidth="1"/>
    <col min="12555" max="12555" width="16.5703125" style="94" bestFit="1" customWidth="1"/>
    <col min="12556" max="12557" width="6.42578125" style="94" bestFit="1" customWidth="1"/>
    <col min="12558" max="12558" width="9.140625" style="94"/>
    <col min="12559" max="12559" width="14.42578125" style="94" bestFit="1" customWidth="1"/>
    <col min="12560" max="12560" width="17.7109375" style="94" customWidth="1"/>
    <col min="12561" max="12572" width="8.5703125" style="94" bestFit="1" customWidth="1"/>
    <col min="12573" max="12808" width="9.140625" style="94"/>
    <col min="12809" max="12809" width="13.85546875" style="94" customWidth="1"/>
    <col min="12810" max="12810" width="61.7109375" style="94" customWidth="1"/>
    <col min="12811" max="12811" width="16.5703125" style="94" bestFit="1" customWidth="1"/>
    <col min="12812" max="12813" width="6.42578125" style="94" bestFit="1" customWidth="1"/>
    <col min="12814" max="12814" width="9.140625" style="94"/>
    <col min="12815" max="12815" width="14.42578125" style="94" bestFit="1" customWidth="1"/>
    <col min="12816" max="12816" width="17.7109375" style="94" customWidth="1"/>
    <col min="12817" max="12828" width="8.5703125" style="94" bestFit="1" customWidth="1"/>
    <col min="12829" max="13064" width="9.140625" style="94"/>
    <col min="13065" max="13065" width="13.85546875" style="94" customWidth="1"/>
    <col min="13066" max="13066" width="61.7109375" style="94" customWidth="1"/>
    <col min="13067" max="13067" width="16.5703125" style="94" bestFit="1" customWidth="1"/>
    <col min="13068" max="13069" width="6.42578125" style="94" bestFit="1" customWidth="1"/>
    <col min="13070" max="13070" width="9.140625" style="94"/>
    <col min="13071" max="13071" width="14.42578125" style="94" bestFit="1" customWidth="1"/>
    <col min="13072" max="13072" width="17.7109375" style="94" customWidth="1"/>
    <col min="13073" max="13084" width="8.5703125" style="94" bestFit="1" customWidth="1"/>
    <col min="13085" max="13320" width="9.140625" style="94"/>
    <col min="13321" max="13321" width="13.85546875" style="94" customWidth="1"/>
    <col min="13322" max="13322" width="61.7109375" style="94" customWidth="1"/>
    <col min="13323" max="13323" width="16.5703125" style="94" bestFit="1" customWidth="1"/>
    <col min="13324" max="13325" width="6.42578125" style="94" bestFit="1" customWidth="1"/>
    <col min="13326" max="13326" width="9.140625" style="94"/>
    <col min="13327" max="13327" width="14.42578125" style="94" bestFit="1" customWidth="1"/>
    <col min="13328" max="13328" width="17.7109375" style="94" customWidth="1"/>
    <col min="13329" max="13340" width="8.5703125" style="94" bestFit="1" customWidth="1"/>
    <col min="13341" max="13576" width="9.140625" style="94"/>
    <col min="13577" max="13577" width="13.85546875" style="94" customWidth="1"/>
    <col min="13578" max="13578" width="61.7109375" style="94" customWidth="1"/>
    <col min="13579" max="13579" width="16.5703125" style="94" bestFit="1" customWidth="1"/>
    <col min="13580" max="13581" width="6.42578125" style="94" bestFit="1" customWidth="1"/>
    <col min="13582" max="13582" width="9.140625" style="94"/>
    <col min="13583" max="13583" width="14.42578125" style="94" bestFit="1" customWidth="1"/>
    <col min="13584" max="13584" width="17.7109375" style="94" customWidth="1"/>
    <col min="13585" max="13596" width="8.5703125" style="94" bestFit="1" customWidth="1"/>
    <col min="13597" max="13832" width="9.140625" style="94"/>
    <col min="13833" max="13833" width="13.85546875" style="94" customWidth="1"/>
    <col min="13834" max="13834" width="61.7109375" style="94" customWidth="1"/>
    <col min="13835" max="13835" width="16.5703125" style="94" bestFit="1" customWidth="1"/>
    <col min="13836" max="13837" width="6.42578125" style="94" bestFit="1" customWidth="1"/>
    <col min="13838" max="13838" width="9.140625" style="94"/>
    <col min="13839" max="13839" width="14.42578125" style="94" bestFit="1" customWidth="1"/>
    <col min="13840" max="13840" width="17.7109375" style="94" customWidth="1"/>
    <col min="13841" max="13852" width="8.5703125" style="94" bestFit="1" customWidth="1"/>
    <col min="13853" max="14088" width="9.140625" style="94"/>
    <col min="14089" max="14089" width="13.85546875" style="94" customWidth="1"/>
    <col min="14090" max="14090" width="61.7109375" style="94" customWidth="1"/>
    <col min="14091" max="14091" width="16.5703125" style="94" bestFit="1" customWidth="1"/>
    <col min="14092" max="14093" width="6.42578125" style="94" bestFit="1" customWidth="1"/>
    <col min="14094" max="14094" width="9.140625" style="94"/>
    <col min="14095" max="14095" width="14.42578125" style="94" bestFit="1" customWidth="1"/>
    <col min="14096" max="14096" width="17.7109375" style="94" customWidth="1"/>
    <col min="14097" max="14108" width="8.5703125" style="94" bestFit="1" customWidth="1"/>
    <col min="14109" max="14344" width="9.140625" style="94"/>
    <col min="14345" max="14345" width="13.85546875" style="94" customWidth="1"/>
    <col min="14346" max="14346" width="61.7109375" style="94" customWidth="1"/>
    <col min="14347" max="14347" width="16.5703125" style="94" bestFit="1" customWidth="1"/>
    <col min="14348" max="14349" width="6.42578125" style="94" bestFit="1" customWidth="1"/>
    <col min="14350" max="14350" width="9.140625" style="94"/>
    <col min="14351" max="14351" width="14.42578125" style="94" bestFit="1" customWidth="1"/>
    <col min="14352" max="14352" width="17.7109375" style="94" customWidth="1"/>
    <col min="14353" max="14364" width="8.5703125" style="94" bestFit="1" customWidth="1"/>
    <col min="14365" max="14600" width="9.140625" style="94"/>
    <col min="14601" max="14601" width="13.85546875" style="94" customWidth="1"/>
    <col min="14602" max="14602" width="61.7109375" style="94" customWidth="1"/>
    <col min="14603" max="14603" width="16.5703125" style="94" bestFit="1" customWidth="1"/>
    <col min="14604" max="14605" width="6.42578125" style="94" bestFit="1" customWidth="1"/>
    <col min="14606" max="14606" width="9.140625" style="94"/>
    <col min="14607" max="14607" width="14.42578125" style="94" bestFit="1" customWidth="1"/>
    <col min="14608" max="14608" width="17.7109375" style="94" customWidth="1"/>
    <col min="14609" max="14620" width="8.5703125" style="94" bestFit="1" customWidth="1"/>
    <col min="14621" max="14856" width="9.140625" style="94"/>
    <col min="14857" max="14857" width="13.85546875" style="94" customWidth="1"/>
    <col min="14858" max="14858" width="61.7109375" style="94" customWidth="1"/>
    <col min="14859" max="14859" width="16.5703125" style="94" bestFit="1" customWidth="1"/>
    <col min="14860" max="14861" width="6.42578125" style="94" bestFit="1" customWidth="1"/>
    <col min="14862" max="14862" width="9.140625" style="94"/>
    <col min="14863" max="14863" width="14.42578125" style="94" bestFit="1" customWidth="1"/>
    <col min="14864" max="14864" width="17.7109375" style="94" customWidth="1"/>
    <col min="14865" max="14876" width="8.5703125" style="94" bestFit="1" customWidth="1"/>
    <col min="14877" max="15112" width="9.140625" style="94"/>
    <col min="15113" max="15113" width="13.85546875" style="94" customWidth="1"/>
    <col min="15114" max="15114" width="61.7109375" style="94" customWidth="1"/>
    <col min="15115" max="15115" width="16.5703125" style="94" bestFit="1" customWidth="1"/>
    <col min="15116" max="15117" width="6.42578125" style="94" bestFit="1" customWidth="1"/>
    <col min="15118" max="15118" width="9.140625" style="94"/>
    <col min="15119" max="15119" width="14.42578125" style="94" bestFit="1" customWidth="1"/>
    <col min="15120" max="15120" width="17.7109375" style="94" customWidth="1"/>
    <col min="15121" max="15132" width="8.5703125" style="94" bestFit="1" customWidth="1"/>
    <col min="15133" max="15368" width="9.140625" style="94"/>
    <col min="15369" max="15369" width="13.85546875" style="94" customWidth="1"/>
    <col min="15370" max="15370" width="61.7109375" style="94" customWidth="1"/>
    <col min="15371" max="15371" width="16.5703125" style="94" bestFit="1" customWidth="1"/>
    <col min="15372" max="15373" width="6.42578125" style="94" bestFit="1" customWidth="1"/>
    <col min="15374" max="15374" width="9.140625" style="94"/>
    <col min="15375" max="15375" width="14.42578125" style="94" bestFit="1" customWidth="1"/>
    <col min="15376" max="15376" width="17.7109375" style="94" customWidth="1"/>
    <col min="15377" max="15388" width="8.5703125" style="94" bestFit="1" customWidth="1"/>
    <col min="15389" max="15624" width="9.140625" style="94"/>
    <col min="15625" max="15625" width="13.85546875" style="94" customWidth="1"/>
    <col min="15626" max="15626" width="61.7109375" style="94" customWidth="1"/>
    <col min="15627" max="15627" width="16.5703125" style="94" bestFit="1" customWidth="1"/>
    <col min="15628" max="15629" width="6.42578125" style="94" bestFit="1" customWidth="1"/>
    <col min="15630" max="15630" width="9.140625" style="94"/>
    <col min="15631" max="15631" width="14.42578125" style="94" bestFit="1" customWidth="1"/>
    <col min="15632" max="15632" width="17.7109375" style="94" customWidth="1"/>
    <col min="15633" max="15644" width="8.5703125" style="94" bestFit="1" customWidth="1"/>
    <col min="15645" max="15880" width="9.140625" style="94"/>
    <col min="15881" max="15881" width="13.85546875" style="94" customWidth="1"/>
    <col min="15882" max="15882" width="61.7109375" style="94" customWidth="1"/>
    <col min="15883" max="15883" width="16.5703125" style="94" bestFit="1" customWidth="1"/>
    <col min="15884" max="15885" width="6.42578125" style="94" bestFit="1" customWidth="1"/>
    <col min="15886" max="15886" width="9.140625" style="94"/>
    <col min="15887" max="15887" width="14.42578125" style="94" bestFit="1" customWidth="1"/>
    <col min="15888" max="15888" width="17.7109375" style="94" customWidth="1"/>
    <col min="15889" max="15900" width="8.5703125" style="94" bestFit="1" customWidth="1"/>
    <col min="15901" max="16136" width="9.140625" style="94"/>
    <col min="16137" max="16137" width="13.85546875" style="94" customWidth="1"/>
    <col min="16138" max="16138" width="61.7109375" style="94" customWidth="1"/>
    <col min="16139" max="16139" width="16.5703125" style="94" bestFit="1" customWidth="1"/>
    <col min="16140" max="16141" width="6.42578125" style="94" bestFit="1" customWidth="1"/>
    <col min="16142" max="16142" width="9.140625" style="94"/>
    <col min="16143" max="16143" width="14.42578125" style="94" bestFit="1" customWidth="1"/>
    <col min="16144" max="16144" width="17.7109375" style="94" customWidth="1"/>
    <col min="16145" max="16156" width="8.5703125" style="94" bestFit="1" customWidth="1"/>
    <col min="16157" max="16384" width="9.140625" style="94"/>
  </cols>
  <sheetData>
    <row r="1" spans="1:31" s="217" customFormat="1" ht="24.95" customHeight="1">
      <c r="B1" s="2272" t="str">
        <f>IF(dms_DataQuality="backcast",INDEX(dms_Worksheet_List,MATCH(dms_Model,dms_Model_List))&amp;" BACKCAST",INDEX(dms_Worksheet_List,MATCH(dms_Model,dms_Model_List)))</f>
        <v>REGULATORY REPORTING STATEMENT</v>
      </c>
      <c r="C1" s="518"/>
      <c r="D1" s="518"/>
      <c r="E1" s="518"/>
      <c r="F1" s="518"/>
      <c r="G1" s="518"/>
      <c r="H1" s="518"/>
      <c r="I1" s="518"/>
      <c r="J1" s="518"/>
      <c r="K1" s="518"/>
      <c r="L1" s="518"/>
      <c r="M1" s="518"/>
      <c r="N1" s="518"/>
      <c r="O1" s="518"/>
      <c r="P1" s="518"/>
      <c r="Q1" s="518"/>
      <c r="R1" s="518"/>
      <c r="S1" s="518"/>
      <c r="T1" s="518"/>
      <c r="U1" s="518"/>
      <c r="V1" s="518"/>
      <c r="W1" s="518"/>
      <c r="X1" s="518"/>
      <c r="Y1" s="518"/>
      <c r="Z1" s="518"/>
      <c r="AA1" s="518"/>
      <c r="AB1" s="518"/>
      <c r="AC1"/>
      <c r="AD1"/>
      <c r="AE1"/>
    </row>
    <row r="2" spans="1:31" s="217" customFormat="1" ht="24.95" customHeight="1">
      <c r="B2" s="2277" t="str">
        <f>INDEX(dms_TradingNameFull_List,MATCH(dms_TradingName,dms_TradingName_List))</f>
        <v>Multinet Gas (DB No.1) Pty Ltd (ACN 086 026 986), Multinet Gas (DB No.2) Pty Ltd (ACN 086 230 122)</v>
      </c>
      <c r="C2" s="220"/>
      <c r="D2" s="220"/>
      <c r="E2" s="220"/>
      <c r="F2" s="220"/>
      <c r="G2" s="220"/>
      <c r="H2" s="220"/>
      <c r="I2" s="220"/>
      <c r="J2" s="220"/>
      <c r="K2" s="220"/>
      <c r="L2" s="220"/>
      <c r="M2" s="220"/>
      <c r="N2" s="220"/>
      <c r="O2" s="220"/>
      <c r="P2" s="220"/>
      <c r="Q2" s="220"/>
      <c r="R2" s="220"/>
      <c r="S2" s="220"/>
      <c r="T2" s="220"/>
      <c r="U2" s="220"/>
      <c r="V2" s="220"/>
      <c r="W2" s="220"/>
      <c r="X2" s="220"/>
      <c r="Y2" s="220"/>
      <c r="Z2" s="220"/>
      <c r="AA2" s="220"/>
      <c r="AB2" s="220"/>
      <c r="AC2"/>
      <c r="AD2"/>
      <c r="AE2"/>
    </row>
    <row r="3" spans="1:31" s="217" customFormat="1" ht="24.95" customHeight="1">
      <c r="B3" s="2277" t="str">
        <f ca="1">IF(SUM(dms_SingleYear_Model)&gt;0,CRY,CONCATENATE(FRCP_y1," to ",dms_MultiYear_FinalYear_Result))</f>
        <v>2018 to 2022</v>
      </c>
      <c r="C3" s="221"/>
      <c r="D3" s="221"/>
      <c r="E3" s="221"/>
      <c r="F3" s="221"/>
      <c r="G3" s="221"/>
      <c r="H3" s="221"/>
      <c r="I3" s="221"/>
      <c r="J3" s="221"/>
      <c r="K3" s="221"/>
      <c r="L3" s="221"/>
      <c r="M3" s="221"/>
      <c r="N3" s="221"/>
      <c r="O3" s="221"/>
      <c r="P3" s="221"/>
      <c r="Q3" s="221"/>
      <c r="R3" s="221"/>
      <c r="S3" s="221"/>
      <c r="T3" s="221"/>
      <c r="U3" s="221"/>
      <c r="V3" s="221"/>
      <c r="W3" s="221"/>
      <c r="X3" s="221"/>
      <c r="Y3" s="221"/>
      <c r="Z3" s="221"/>
      <c r="AA3" s="221"/>
      <c r="AB3" s="221"/>
      <c r="AC3"/>
      <c r="AD3"/>
      <c r="AE3"/>
    </row>
    <row r="4" spans="1:31" s="159" customFormat="1" ht="24" customHeight="1">
      <c r="B4" s="10" t="s">
        <v>501</v>
      </c>
      <c r="C4" s="12"/>
      <c r="D4" s="12"/>
      <c r="E4" s="12"/>
      <c r="F4" s="12"/>
      <c r="G4" s="12"/>
      <c r="H4" s="12"/>
      <c r="I4" s="12"/>
      <c r="J4" s="12"/>
      <c r="K4" s="12"/>
      <c r="L4" s="12"/>
      <c r="M4" s="12"/>
      <c r="N4" s="12"/>
      <c r="O4" s="12"/>
      <c r="P4" s="12"/>
      <c r="Q4" s="12"/>
      <c r="R4" s="12"/>
      <c r="S4" s="12"/>
      <c r="T4" s="12"/>
      <c r="U4" s="12"/>
      <c r="V4" s="12"/>
      <c r="W4" s="12"/>
      <c r="X4" s="12"/>
      <c r="Y4" s="12"/>
      <c r="Z4" s="12"/>
      <c r="AA4" s="12"/>
      <c r="AB4" s="12"/>
      <c r="AC4"/>
      <c r="AD4"/>
      <c r="AE4"/>
    </row>
    <row r="5" spans="1:31">
      <c r="A5" s="391"/>
      <c r="B5" s="940"/>
      <c r="C5" s="725"/>
      <c r="D5" s="725"/>
      <c r="E5" s="725"/>
      <c r="F5" s="725"/>
      <c r="G5" s="725"/>
      <c r="H5" s="725"/>
      <c r="I5" s="725"/>
      <c r="J5" s="725"/>
      <c r="K5" s="725"/>
      <c r="L5" s="725"/>
      <c r="M5" s="725"/>
      <c r="N5" s="725"/>
      <c r="O5" s="725"/>
      <c r="P5" s="725"/>
      <c r="Q5" s="725"/>
      <c r="R5" s="725"/>
      <c r="S5" s="725"/>
      <c r="T5" s="725"/>
      <c r="U5" s="725"/>
      <c r="V5" s="725"/>
      <c r="W5" s="725"/>
      <c r="X5" s="725"/>
      <c r="Y5" s="725"/>
      <c r="Z5" s="725"/>
      <c r="AA5" s="725"/>
      <c r="AB5" s="725"/>
    </row>
    <row r="6" spans="1:31">
      <c r="A6" s="725"/>
      <c r="B6" s="940"/>
      <c r="C6" s="725"/>
      <c r="D6" s="725"/>
      <c r="E6" s="725"/>
      <c r="F6" s="725"/>
      <c r="G6" s="725"/>
      <c r="H6" s="725"/>
      <c r="I6" s="725"/>
      <c r="J6" s="725"/>
      <c r="K6" s="725"/>
      <c r="L6" s="725"/>
      <c r="M6" s="725"/>
      <c r="N6" s="725"/>
      <c r="O6" s="725"/>
      <c r="P6" s="725"/>
      <c r="Q6" s="725"/>
      <c r="R6" s="725"/>
      <c r="S6" s="725"/>
      <c r="T6" s="725"/>
      <c r="U6" s="725"/>
      <c r="V6" s="725"/>
      <c r="W6" s="725"/>
      <c r="X6" s="725"/>
      <c r="Y6" s="725"/>
      <c r="Z6" s="725"/>
      <c r="AA6" s="725"/>
      <c r="AB6" s="725"/>
    </row>
    <row r="7" spans="1:31">
      <c r="A7" s="725"/>
      <c r="B7" s="84" t="s">
        <v>61</v>
      </c>
      <c r="C7" s="84"/>
      <c r="D7" s="84"/>
      <c r="E7" s="84"/>
      <c r="F7"/>
      <c r="G7"/>
      <c r="H7"/>
      <c r="I7"/>
      <c r="J7"/>
      <c r="K7"/>
      <c r="L7"/>
      <c r="M7"/>
      <c r="N7" s="725"/>
      <c r="O7" s="725"/>
      <c r="P7" s="725"/>
      <c r="Q7" s="725"/>
      <c r="R7" s="725"/>
      <c r="S7" s="725"/>
      <c r="T7" s="725"/>
      <c r="U7" s="725"/>
      <c r="V7" s="725"/>
      <c r="W7" s="725"/>
      <c r="X7" s="725"/>
      <c r="Y7" s="725"/>
      <c r="Z7" s="725"/>
      <c r="AA7" s="725"/>
      <c r="AB7" s="725"/>
    </row>
    <row r="8" spans="1:31" s="197" customFormat="1" ht="27.75" customHeight="1">
      <c r="A8" s="287"/>
      <c r="B8" s="4889" t="s">
        <v>239</v>
      </c>
      <c r="C8" s="4889"/>
      <c r="D8" s="4889"/>
      <c r="E8" s="4889"/>
      <c r="N8" s="287"/>
      <c r="O8" s="287"/>
      <c r="P8" s="287"/>
      <c r="Q8" s="287"/>
      <c r="R8" s="287"/>
      <c r="S8" s="287"/>
      <c r="T8" s="287"/>
      <c r="U8" s="287"/>
      <c r="V8" s="287"/>
      <c r="W8" s="287"/>
      <c r="X8" s="287"/>
      <c r="Y8" s="287"/>
      <c r="Z8" s="287"/>
      <c r="AA8" s="287"/>
      <c r="AB8" s="287"/>
    </row>
    <row r="9" spans="1:31" s="197" customFormat="1" ht="27.75" customHeight="1">
      <c r="A9" s="287"/>
      <c r="B9" s="4889" t="s">
        <v>270</v>
      </c>
      <c r="C9" s="4889"/>
      <c r="D9" s="4889"/>
      <c r="E9" s="4889"/>
      <c r="N9" s="287"/>
      <c r="O9" s="287"/>
      <c r="P9" s="287"/>
      <c r="Q9" s="287"/>
      <c r="R9" s="287"/>
      <c r="S9" s="287"/>
      <c r="T9" s="287"/>
      <c r="U9" s="287"/>
      <c r="V9" s="287"/>
      <c r="W9" s="287"/>
      <c r="X9" s="287"/>
      <c r="Y9" s="287"/>
      <c r="Z9" s="287"/>
      <c r="AA9" s="287"/>
      <c r="AB9" s="287"/>
    </row>
    <row r="10" spans="1:31" s="197" customFormat="1" ht="27.75" customHeight="1">
      <c r="A10" s="287"/>
      <c r="B10" s="4889" t="s">
        <v>500</v>
      </c>
      <c r="C10" s="4889"/>
      <c r="D10" s="4889"/>
      <c r="E10" s="4889"/>
      <c r="N10" s="287"/>
      <c r="O10" s="287"/>
      <c r="P10" s="287"/>
      <c r="Q10" s="287"/>
      <c r="R10" s="287"/>
      <c r="S10" s="287"/>
      <c r="T10" s="287"/>
      <c r="U10" s="287"/>
      <c r="V10" s="287"/>
      <c r="W10" s="287"/>
      <c r="X10" s="287"/>
      <c r="Y10" s="287"/>
      <c r="Z10" s="287"/>
      <c r="AA10" s="287"/>
      <c r="AB10" s="287"/>
    </row>
    <row r="11" spans="1:31" s="197" customFormat="1" ht="27.75" customHeight="1">
      <c r="A11" s="287"/>
      <c r="B11" s="1435" t="s">
        <v>407</v>
      </c>
      <c r="C11" s="1436"/>
      <c r="D11" s="1436"/>
      <c r="E11" s="1436"/>
      <c r="N11" s="287"/>
      <c r="O11" s="287"/>
      <c r="P11" s="287"/>
      <c r="Q11" s="287"/>
      <c r="R11" s="287"/>
      <c r="S11" s="287"/>
      <c r="T11" s="287"/>
      <c r="U11" s="287"/>
      <c r="V11" s="287"/>
      <c r="W11" s="287"/>
      <c r="X11" s="287"/>
      <c r="Y11" s="287"/>
      <c r="Z11" s="287"/>
      <c r="AA11" s="287"/>
      <c r="AB11" s="287"/>
    </row>
    <row r="12" spans="1:31">
      <c r="A12" s="725"/>
      <c r="B12" s="940"/>
      <c r="C12" s="725"/>
      <c r="D12" s="725"/>
      <c r="E12" s="725"/>
      <c r="F12" s="725"/>
      <c r="G12" s="725"/>
      <c r="H12" s="725"/>
      <c r="I12" s="725"/>
      <c r="J12" s="725"/>
      <c r="K12" s="725"/>
      <c r="L12" s="725"/>
      <c r="M12" s="725"/>
      <c r="N12" s="725"/>
      <c r="O12" s="725"/>
      <c r="P12" s="725"/>
      <c r="Q12" s="725"/>
      <c r="R12" s="725"/>
      <c r="S12" s="725"/>
      <c r="T12" s="725"/>
      <c r="U12" s="725"/>
      <c r="V12" s="725"/>
      <c r="W12" s="725"/>
      <c r="X12" s="725"/>
      <c r="Y12" s="725"/>
      <c r="Z12" s="725"/>
      <c r="AA12" s="725"/>
      <c r="AB12" s="725"/>
    </row>
    <row r="13" spans="1:31" ht="13.5" thickBot="1">
      <c r="A13" s="725"/>
      <c r="B13" s="940"/>
      <c r="C13" s="725"/>
      <c r="D13" s="725"/>
      <c r="E13" s="725"/>
      <c r="F13" s="725"/>
      <c r="G13" s="725"/>
      <c r="H13" s="725"/>
      <c r="I13" s="725"/>
      <c r="J13" s="725"/>
      <c r="K13" s="725"/>
      <c r="L13" s="725"/>
      <c r="M13" s="725"/>
      <c r="N13" s="725"/>
      <c r="O13" s="725"/>
      <c r="P13" s="725"/>
      <c r="Q13" s="725"/>
      <c r="R13" s="725"/>
      <c r="S13" s="725"/>
      <c r="T13" s="725"/>
      <c r="U13" s="725"/>
      <c r="V13" s="725"/>
      <c r="W13" s="725"/>
      <c r="X13" s="725"/>
      <c r="Y13" s="725"/>
      <c r="Z13" s="725"/>
      <c r="AA13" s="725"/>
      <c r="AB13" s="725"/>
    </row>
    <row r="14" spans="1:31">
      <c r="A14" s="725"/>
      <c r="B14" s="937" t="s">
        <v>50</v>
      </c>
      <c r="C14" s="725"/>
      <c r="D14" s="725"/>
      <c r="E14" s="725"/>
      <c r="F14" s="725"/>
      <c r="G14" s="725"/>
      <c r="H14" s="725"/>
      <c r="I14" s="725"/>
      <c r="J14" s="725"/>
      <c r="K14" s="725"/>
      <c r="L14" s="725"/>
      <c r="M14" s="725"/>
      <c r="N14" s="725"/>
      <c r="O14" s="725"/>
      <c r="P14" s="725"/>
      <c r="Q14" s="725"/>
      <c r="R14" s="725"/>
      <c r="S14" s="725"/>
      <c r="T14" s="725"/>
      <c r="U14" s="725"/>
      <c r="V14" s="725"/>
      <c r="W14" s="725"/>
      <c r="X14" s="725"/>
      <c r="Y14" s="725"/>
      <c r="Z14" s="725"/>
      <c r="AA14" s="725"/>
      <c r="AB14" s="725"/>
    </row>
    <row r="15" spans="1:31" ht="12.75" customHeight="1" thickBot="1">
      <c r="A15" s="725"/>
      <c r="B15" s="938" t="s">
        <v>222</v>
      </c>
      <c r="C15" s="725"/>
      <c r="D15" s="725"/>
      <c r="E15" s="725"/>
      <c r="F15" s="725"/>
      <c r="G15" s="725"/>
      <c r="H15" s="725"/>
      <c r="I15" s="725"/>
      <c r="J15" s="725"/>
      <c r="K15" s="725"/>
      <c r="L15" s="725"/>
      <c r="M15" s="725"/>
      <c r="N15" s="725"/>
      <c r="O15" s="725"/>
      <c r="P15" s="725"/>
      <c r="Q15" s="725"/>
      <c r="R15" s="725"/>
      <c r="S15" s="725"/>
      <c r="T15" s="725"/>
      <c r="U15" s="725"/>
      <c r="V15" s="725"/>
      <c r="W15" s="725"/>
      <c r="X15" s="725"/>
      <c r="Y15" s="725"/>
      <c r="Z15" s="725"/>
      <c r="AA15" s="725"/>
      <c r="AB15" s="725"/>
    </row>
    <row r="16" spans="1:31" ht="21.75" customHeight="1" thickBot="1">
      <c r="A16" s="725"/>
      <c r="B16" s="147"/>
      <c r="C16" s="725"/>
      <c r="D16" s="725"/>
      <c r="E16" s="725"/>
      <c r="F16" s="725"/>
      <c r="G16" s="725"/>
      <c r="H16" s="725"/>
      <c r="I16" s="725"/>
      <c r="J16" s="725"/>
      <c r="K16" s="725"/>
      <c r="L16" s="725"/>
      <c r="M16" s="725"/>
      <c r="N16" s="725"/>
      <c r="O16" s="725"/>
      <c r="P16" s="725"/>
      <c r="Q16" s="725"/>
      <c r="R16" s="725"/>
      <c r="S16" s="725"/>
      <c r="T16" s="725"/>
      <c r="U16" s="725"/>
      <c r="V16" s="725"/>
      <c r="W16" s="725"/>
      <c r="X16" s="725"/>
      <c r="Y16" s="725"/>
      <c r="Z16" s="725"/>
      <c r="AA16" s="725"/>
      <c r="AB16" s="725"/>
    </row>
    <row r="17" spans="1:135">
      <c r="A17" s="725"/>
      <c r="B17" s="937" t="s">
        <v>265</v>
      </c>
      <c r="C17" s="725"/>
      <c r="D17" s="725"/>
      <c r="E17" s="725"/>
      <c r="F17" s="725"/>
      <c r="G17" s="725"/>
      <c r="H17" s="725"/>
      <c r="I17" s="725"/>
      <c r="J17" s="725"/>
      <c r="K17" s="725"/>
      <c r="L17" s="725"/>
      <c r="M17" s="725"/>
      <c r="N17" s="725"/>
      <c r="O17" s="725"/>
      <c r="P17" s="725"/>
      <c r="Q17" s="725"/>
      <c r="R17" s="725"/>
      <c r="S17" s="725"/>
      <c r="T17" s="725"/>
      <c r="U17" s="725"/>
      <c r="V17" s="725"/>
      <c r="W17" s="725"/>
      <c r="X17" s="725"/>
      <c r="Y17" s="725"/>
      <c r="Z17" s="725"/>
      <c r="AA17" s="725"/>
      <c r="AB17" s="725"/>
    </row>
    <row r="18" spans="1:135" ht="27" customHeight="1" thickBot="1">
      <c r="A18" s="725"/>
      <c r="B18" s="939"/>
      <c r="C18" s="725"/>
      <c r="D18" s="725"/>
      <c r="E18" s="725"/>
      <c r="F18" s="725"/>
      <c r="G18" s="725"/>
      <c r="H18" s="725"/>
      <c r="I18" s="725"/>
      <c r="J18" s="725"/>
      <c r="K18" s="725"/>
      <c r="L18" s="725"/>
      <c r="M18" s="725"/>
      <c r="N18" s="725"/>
      <c r="O18" s="725"/>
      <c r="P18" s="725"/>
      <c r="Q18" s="725"/>
      <c r="R18" s="725"/>
      <c r="S18" s="725"/>
      <c r="T18" s="725"/>
      <c r="U18" s="725"/>
      <c r="V18" s="725"/>
      <c r="W18" s="725"/>
      <c r="X18" s="725"/>
      <c r="Y18" s="725"/>
      <c r="Z18" s="725"/>
      <c r="AA18" s="725"/>
      <c r="AB18" s="725"/>
    </row>
    <row r="19" spans="1:135" ht="12.75" customHeight="1" thickBot="1">
      <c r="A19" s="725"/>
      <c r="B19" s="94"/>
    </row>
    <row r="20" spans="1:135" s="69" customFormat="1" ht="34.5" customHeight="1" thickBot="1">
      <c r="A20" s="392"/>
      <c r="B20" s="833" t="s">
        <v>560</v>
      </c>
      <c r="C20" s="863"/>
      <c r="D20" s="863"/>
      <c r="E20" s="863"/>
      <c r="F20" s="863"/>
      <c r="G20" s="863"/>
      <c r="H20" s="863"/>
      <c r="I20" s="863"/>
      <c r="J20" s="863"/>
      <c r="K20" s="864"/>
      <c r="L20" s="864"/>
      <c r="M20" s="864"/>
      <c r="N20" s="864"/>
      <c r="O20" s="864"/>
      <c r="P20" s="864"/>
      <c r="Q20" s="864"/>
      <c r="R20" s="864"/>
      <c r="S20" s="864"/>
      <c r="T20" s="864"/>
      <c r="U20" s="864"/>
      <c r="V20" s="864"/>
      <c r="W20" s="864"/>
      <c r="X20" s="864"/>
      <c r="Y20" s="864"/>
      <c r="Z20" s="864"/>
      <c r="AA20" s="864"/>
      <c r="AB20" s="864"/>
      <c r="AC20" s="864"/>
      <c r="AD20"/>
      <c r="AE20"/>
      <c r="AF20"/>
    </row>
    <row r="21" spans="1:135" ht="20.25" customHeight="1">
      <c r="A21" s="725"/>
      <c r="B21" s="4884"/>
      <c r="C21" s="4893" t="s">
        <v>664</v>
      </c>
      <c r="D21" s="4890" t="s">
        <v>72</v>
      </c>
      <c r="E21" s="4816" t="s">
        <v>37</v>
      </c>
      <c r="F21" s="4817"/>
      <c r="G21" s="4817"/>
      <c r="H21" s="4817"/>
      <c r="I21" s="4817"/>
      <c r="J21" s="4810" t="s">
        <v>75</v>
      </c>
      <c r="K21" s="4810"/>
      <c r="L21" s="4810"/>
      <c r="M21" s="4810"/>
      <c r="N21" s="4810"/>
      <c r="O21" s="4811" t="s">
        <v>267</v>
      </c>
      <c r="P21" s="4811"/>
      <c r="Q21" s="4811"/>
      <c r="R21" s="4811"/>
      <c r="S21" s="4811"/>
      <c r="T21" s="4811"/>
      <c r="U21" s="4811"/>
      <c r="V21" s="4811"/>
      <c r="W21" s="4811"/>
      <c r="X21" s="4811"/>
      <c r="Y21" s="4811"/>
      <c r="Z21" s="4811"/>
      <c r="AA21" s="4811"/>
      <c r="AB21" s="4811"/>
      <c r="AC21" s="4812"/>
      <c r="AF21"/>
    </row>
    <row r="22" spans="1:135" s="65" customFormat="1" ht="20.25" customHeight="1">
      <c r="A22" s="282"/>
      <c r="B22" s="4885"/>
      <c r="C22" s="4894"/>
      <c r="D22" s="4891"/>
      <c r="E22" s="4887" t="str">
        <f>B15</f>
        <v>$/day</v>
      </c>
      <c r="F22" s="4805"/>
      <c r="G22" s="4805"/>
      <c r="H22" s="4805"/>
      <c r="I22" s="4805"/>
      <c r="J22" s="4805"/>
      <c r="K22" s="4805"/>
      <c r="L22" s="4805"/>
      <c r="M22" s="4805"/>
      <c r="N22" s="4805"/>
      <c r="O22" s="4805"/>
      <c r="P22" s="4805"/>
      <c r="Q22" s="4805"/>
      <c r="R22" s="4805"/>
      <c r="S22" s="4805"/>
      <c r="T22" s="4805"/>
      <c r="U22" s="4805"/>
      <c r="V22" s="4805"/>
      <c r="W22" s="4805"/>
      <c r="X22" s="4805"/>
      <c r="Y22" s="4805"/>
      <c r="Z22" s="4805"/>
      <c r="AA22" s="4805"/>
      <c r="AB22" s="4805"/>
      <c r="AC22" s="4888"/>
      <c r="AD22"/>
      <c r="AE22"/>
      <c r="AF22"/>
    </row>
    <row r="23" spans="1:135" s="65" customFormat="1" ht="20.25" customHeight="1">
      <c r="A23" s="282"/>
      <c r="B23" s="4885"/>
      <c r="C23" s="4894"/>
      <c r="D23" s="4891"/>
      <c r="E23" s="4804" t="s">
        <v>56</v>
      </c>
      <c r="F23" s="4805"/>
      <c r="G23" s="4806"/>
      <c r="H23" s="4807" t="s">
        <v>397</v>
      </c>
      <c r="I23" s="4808"/>
      <c r="J23" s="4808"/>
      <c r="K23" s="4808"/>
      <c r="L23" s="4808"/>
      <c r="M23" s="4808"/>
      <c r="N23" s="4808"/>
      <c r="O23" s="4808"/>
      <c r="P23" s="4808"/>
      <c r="Q23" s="4808"/>
      <c r="R23" s="4808"/>
      <c r="S23" s="4808"/>
      <c r="T23" s="4808"/>
      <c r="U23" s="4808"/>
      <c r="V23" s="4808"/>
      <c r="W23" s="4808"/>
      <c r="X23" s="4808"/>
      <c r="Y23" s="4808"/>
      <c r="Z23" s="4808"/>
      <c r="AA23" s="4808"/>
      <c r="AB23" s="4808"/>
      <c r="AC23" s="4809"/>
      <c r="AD23"/>
      <c r="AE23"/>
      <c r="AF23"/>
    </row>
    <row r="24" spans="1:135" s="65" customFormat="1" ht="20.25" customHeight="1" thickBot="1">
      <c r="A24" s="282"/>
      <c r="B24" s="4886"/>
      <c r="C24" s="4895"/>
      <c r="D24" s="4892"/>
      <c r="E24" s="860">
        <f>CRCP_y1</f>
        <v>2013</v>
      </c>
      <c r="F24" s="860">
        <f>CRCP_y2</f>
        <v>2014</v>
      </c>
      <c r="G24" s="860">
        <f>CRCP_y3</f>
        <v>2015</v>
      </c>
      <c r="H24" s="860">
        <f>CRCP_y4</f>
        <v>2016</v>
      </c>
      <c r="I24" s="860">
        <f>CRCP_y5</f>
        <v>2017</v>
      </c>
      <c r="J24" s="859" t="str">
        <f>CONCATENATE(IF(dms_RPT="Calendar",I24+1,(LEFT(I24,4)+1&amp;"-"&amp;IF(MID(I24,6,2)&lt;"09","0"&amp;RIGHT(I24,1)+1,RIGHT(I24,2)+1))))</f>
        <v>2018</v>
      </c>
      <c r="K24" s="859" t="str">
        <f t="shared" ref="K24:AC24" si="0">CONCATENATE(IF(dms_RPT="Calendar",J24+1,(LEFT(J24,4)+1&amp;"-"&amp;IF(MID(J24,6,2)&lt;"09","0"&amp;RIGHT(J24,1)+1,RIGHT(J24,2)+1))))</f>
        <v>2019</v>
      </c>
      <c r="L24" s="859" t="str">
        <f t="shared" si="0"/>
        <v>2020</v>
      </c>
      <c r="M24" s="859" t="str">
        <f t="shared" si="0"/>
        <v>2021</v>
      </c>
      <c r="N24" s="859" t="str">
        <f t="shared" si="0"/>
        <v>2022</v>
      </c>
      <c r="O24" s="860" t="str">
        <f t="shared" si="0"/>
        <v>2023</v>
      </c>
      <c r="P24" s="860" t="str">
        <f t="shared" si="0"/>
        <v>2024</v>
      </c>
      <c r="Q24" s="860" t="str">
        <f t="shared" si="0"/>
        <v>2025</v>
      </c>
      <c r="R24" s="860" t="str">
        <f t="shared" si="0"/>
        <v>2026</v>
      </c>
      <c r="S24" s="860" t="str">
        <f t="shared" si="0"/>
        <v>2027</v>
      </c>
      <c r="T24" s="860" t="str">
        <f t="shared" si="0"/>
        <v>2028</v>
      </c>
      <c r="U24" s="860" t="str">
        <f t="shared" si="0"/>
        <v>2029</v>
      </c>
      <c r="V24" s="860" t="str">
        <f t="shared" si="0"/>
        <v>2030</v>
      </c>
      <c r="W24" s="860" t="str">
        <f t="shared" si="0"/>
        <v>2031</v>
      </c>
      <c r="X24" s="860" t="str">
        <f t="shared" si="0"/>
        <v>2032</v>
      </c>
      <c r="Y24" s="860" t="str">
        <f t="shared" si="0"/>
        <v>2033</v>
      </c>
      <c r="Z24" s="860" t="str">
        <f t="shared" si="0"/>
        <v>2034</v>
      </c>
      <c r="AA24" s="860" t="str">
        <f t="shared" si="0"/>
        <v>2035</v>
      </c>
      <c r="AB24" s="860" t="str">
        <f t="shared" si="0"/>
        <v>2036</v>
      </c>
      <c r="AC24" s="860" t="str">
        <f t="shared" si="0"/>
        <v>2037</v>
      </c>
      <c r="AD24"/>
      <c r="AE24"/>
      <c r="AF24"/>
    </row>
    <row r="25" spans="1:135" s="92" customFormat="1" ht="18.75" customHeight="1" thickBot="1">
      <c r="A25" s="299"/>
      <c r="B25" s="813" t="s">
        <v>561</v>
      </c>
      <c r="C25" s="814"/>
      <c r="D25" s="814"/>
      <c r="E25" s="814"/>
      <c r="F25" s="814"/>
      <c r="G25" s="814"/>
      <c r="H25" s="814"/>
      <c r="I25" s="814"/>
      <c r="J25" s="814"/>
      <c r="K25" s="814"/>
      <c r="L25" s="814"/>
      <c r="M25" s="814"/>
      <c r="N25" s="814"/>
      <c r="O25" s="814"/>
      <c r="P25" s="814"/>
      <c r="Q25" s="814"/>
      <c r="R25" s="814"/>
      <c r="S25" s="814"/>
      <c r="T25" s="814"/>
      <c r="U25" s="814"/>
      <c r="V25" s="814"/>
      <c r="W25" s="814"/>
      <c r="X25" s="814"/>
      <c r="Y25" s="814"/>
      <c r="Z25" s="814"/>
      <c r="AA25" s="814"/>
      <c r="AB25" s="814"/>
      <c r="AC25" s="815"/>
      <c r="AD25"/>
      <c r="AE25"/>
      <c r="AF25"/>
      <c r="DF25" s="69"/>
      <c r="DG25" s="69"/>
      <c r="DH25" s="69"/>
      <c r="DI25" s="69"/>
      <c r="DJ25" s="69"/>
      <c r="DK25" s="69"/>
      <c r="DL25" s="69"/>
      <c r="DM25" s="69"/>
      <c r="DN25" s="69"/>
      <c r="DO25" s="69"/>
      <c r="DP25" s="69"/>
      <c r="DQ25" s="69"/>
      <c r="DR25" s="69"/>
      <c r="DS25" s="69"/>
      <c r="DT25" s="69"/>
      <c r="DU25" s="69"/>
      <c r="DV25" s="69"/>
      <c r="DW25" s="69"/>
      <c r="DX25" s="69"/>
      <c r="DY25" s="69"/>
      <c r="DZ25" s="69"/>
      <c r="EA25" s="69"/>
      <c r="EB25" s="69"/>
      <c r="EC25" s="69"/>
      <c r="ED25" s="69"/>
      <c r="EE25" s="69"/>
    </row>
    <row r="26" spans="1:135">
      <c r="A26" s="725"/>
      <c r="B26" s="4748" t="s">
        <v>1469</v>
      </c>
      <c r="C26" s="4896" t="s">
        <v>257</v>
      </c>
      <c r="D26" s="4897"/>
      <c r="E26" s="1669"/>
      <c r="F26" s="1670"/>
      <c r="G26" s="1670"/>
      <c r="H26" s="1670"/>
      <c r="I26" s="1672"/>
      <c r="J26" s="1671"/>
      <c r="K26" s="1670"/>
      <c r="L26" s="1670"/>
      <c r="M26" s="1670"/>
      <c r="N26" s="1672"/>
      <c r="O26" s="1669"/>
      <c r="P26" s="1670"/>
      <c r="Q26" s="1670"/>
      <c r="R26" s="1670"/>
      <c r="S26" s="1670"/>
      <c r="T26" s="1670"/>
      <c r="U26" s="1670"/>
      <c r="V26" s="1670"/>
      <c r="W26" s="1670"/>
      <c r="X26" s="1670"/>
      <c r="Y26" s="1670"/>
      <c r="Z26" s="1670"/>
      <c r="AA26" s="1670"/>
      <c r="AB26" s="1670"/>
      <c r="AC26" s="1672"/>
      <c r="AF26"/>
    </row>
    <row r="27" spans="1:135">
      <c r="A27" s="725"/>
      <c r="B27" s="4749"/>
      <c r="C27" s="890" t="s">
        <v>289</v>
      </c>
      <c r="D27" s="790" t="s">
        <v>288</v>
      </c>
      <c r="E27" s="738"/>
      <c r="F27" s="708"/>
      <c r="G27" s="708"/>
      <c r="H27" s="708"/>
      <c r="I27" s="790"/>
      <c r="J27" s="786"/>
      <c r="K27" s="708"/>
      <c r="L27" s="708"/>
      <c r="M27" s="708"/>
      <c r="N27" s="790"/>
      <c r="O27" s="738"/>
      <c r="P27" s="708"/>
      <c r="Q27" s="708"/>
      <c r="R27" s="708"/>
      <c r="S27" s="708"/>
      <c r="T27" s="708"/>
      <c r="U27" s="708"/>
      <c r="V27" s="708"/>
      <c r="W27" s="708"/>
      <c r="X27" s="708"/>
      <c r="Y27" s="708"/>
      <c r="Z27" s="708"/>
      <c r="AA27" s="708"/>
      <c r="AB27" s="708"/>
      <c r="AC27" s="790"/>
      <c r="AF27"/>
    </row>
    <row r="28" spans="1:135">
      <c r="A28" s="725"/>
      <c r="B28" s="4749"/>
      <c r="C28" s="890" t="s">
        <v>289</v>
      </c>
      <c r="D28" s="790" t="s">
        <v>288</v>
      </c>
      <c r="E28" s="738"/>
      <c r="F28" s="708"/>
      <c r="G28" s="708"/>
      <c r="H28" s="708"/>
      <c r="I28" s="790"/>
      <c r="J28" s="786"/>
      <c r="K28" s="708"/>
      <c r="L28" s="708"/>
      <c r="M28" s="708"/>
      <c r="N28" s="790"/>
      <c r="O28" s="738"/>
      <c r="P28" s="708"/>
      <c r="Q28" s="708"/>
      <c r="R28" s="708"/>
      <c r="S28" s="708"/>
      <c r="T28" s="708"/>
      <c r="U28" s="708"/>
      <c r="V28" s="708"/>
      <c r="W28" s="708"/>
      <c r="X28" s="708"/>
      <c r="Y28" s="708"/>
      <c r="Z28" s="708"/>
      <c r="AA28" s="708"/>
      <c r="AB28" s="708"/>
      <c r="AC28" s="790"/>
      <c r="AF28"/>
    </row>
    <row r="29" spans="1:135">
      <c r="A29" s="725"/>
      <c r="B29" s="4749"/>
      <c r="C29" s="890" t="s">
        <v>289</v>
      </c>
      <c r="D29" s="790" t="s">
        <v>288</v>
      </c>
      <c r="E29" s="738"/>
      <c r="F29" s="708"/>
      <c r="G29" s="708"/>
      <c r="H29" s="708"/>
      <c r="I29" s="790"/>
      <c r="J29" s="786"/>
      <c r="K29" s="708"/>
      <c r="L29" s="708"/>
      <c r="M29" s="708"/>
      <c r="N29" s="790"/>
      <c r="O29" s="738"/>
      <c r="P29" s="708"/>
      <c r="Q29" s="708"/>
      <c r="R29" s="708"/>
      <c r="S29" s="708"/>
      <c r="T29" s="708"/>
      <c r="U29" s="708"/>
      <c r="V29" s="708"/>
      <c r="W29" s="708"/>
      <c r="X29" s="708"/>
      <c r="Y29" s="708"/>
      <c r="Z29" s="708"/>
      <c r="AA29" s="708"/>
      <c r="AB29" s="708"/>
      <c r="AC29" s="790"/>
      <c r="AF29"/>
    </row>
    <row r="30" spans="1:135">
      <c r="A30" s="725"/>
      <c r="B30" s="4749"/>
      <c r="C30" s="890" t="s">
        <v>289</v>
      </c>
      <c r="D30" s="790" t="s">
        <v>288</v>
      </c>
      <c r="E30" s="738"/>
      <c r="F30" s="708"/>
      <c r="G30" s="708"/>
      <c r="H30" s="708"/>
      <c r="I30" s="790"/>
      <c r="J30" s="786"/>
      <c r="K30" s="708"/>
      <c r="L30" s="708"/>
      <c r="M30" s="708"/>
      <c r="N30" s="790"/>
      <c r="O30" s="738"/>
      <c r="P30" s="708"/>
      <c r="Q30" s="708"/>
      <c r="R30" s="708"/>
      <c r="S30" s="708"/>
      <c r="T30" s="708"/>
      <c r="U30" s="708"/>
      <c r="V30" s="708"/>
      <c r="W30" s="708"/>
      <c r="X30" s="708"/>
      <c r="Y30" s="708"/>
      <c r="Z30" s="708"/>
      <c r="AA30" s="708"/>
      <c r="AB30" s="708"/>
      <c r="AC30" s="790"/>
      <c r="AF30"/>
    </row>
    <row r="31" spans="1:135">
      <c r="A31" s="725"/>
      <c r="B31" s="4749"/>
      <c r="C31" s="890" t="s">
        <v>289</v>
      </c>
      <c r="D31" s="790" t="s">
        <v>288</v>
      </c>
      <c r="E31" s="738"/>
      <c r="F31" s="708"/>
      <c r="G31" s="708"/>
      <c r="H31" s="708"/>
      <c r="I31" s="790"/>
      <c r="J31" s="786"/>
      <c r="K31" s="708"/>
      <c r="L31" s="708"/>
      <c r="M31" s="708"/>
      <c r="N31" s="790"/>
      <c r="O31" s="738"/>
      <c r="P31" s="708"/>
      <c r="Q31" s="708"/>
      <c r="R31" s="708"/>
      <c r="S31" s="708"/>
      <c r="T31" s="708"/>
      <c r="U31" s="708"/>
      <c r="V31" s="708"/>
      <c r="W31" s="708"/>
      <c r="X31" s="708"/>
      <c r="Y31" s="708"/>
      <c r="Z31" s="708"/>
      <c r="AA31" s="708"/>
      <c r="AB31" s="708"/>
      <c r="AC31" s="790"/>
      <c r="AF31"/>
    </row>
    <row r="32" spans="1:135" ht="13.5" thickBot="1">
      <c r="A32" s="725"/>
      <c r="B32" s="4870"/>
      <c r="C32" s="1668" t="s">
        <v>289</v>
      </c>
      <c r="D32" s="793" t="s">
        <v>288</v>
      </c>
      <c r="E32" s="1601"/>
      <c r="F32" s="792"/>
      <c r="G32" s="792"/>
      <c r="H32" s="792"/>
      <c r="I32" s="793"/>
      <c r="J32" s="795"/>
      <c r="K32" s="792"/>
      <c r="L32" s="792"/>
      <c r="M32" s="792"/>
      <c r="N32" s="793"/>
      <c r="O32" s="1601"/>
      <c r="P32" s="792"/>
      <c r="Q32" s="792"/>
      <c r="R32" s="792"/>
      <c r="S32" s="792"/>
      <c r="T32" s="792"/>
      <c r="U32" s="792"/>
      <c r="V32" s="792"/>
      <c r="W32" s="792"/>
      <c r="X32" s="792"/>
      <c r="Y32" s="792"/>
      <c r="Z32" s="792"/>
      <c r="AA32" s="792"/>
      <c r="AB32" s="792"/>
      <c r="AC32" s="793"/>
      <c r="AF32"/>
    </row>
    <row r="33" spans="1:29" s="1266" customFormat="1">
      <c r="A33" s="1268"/>
      <c r="B33" s="4748" t="s">
        <v>1469</v>
      </c>
      <c r="C33" s="4896" t="s">
        <v>257</v>
      </c>
      <c r="D33" s="4897"/>
      <c r="E33" s="1669"/>
      <c r="F33" s="1670"/>
      <c r="G33" s="1670"/>
      <c r="H33" s="1670"/>
      <c r="I33" s="1672"/>
      <c r="J33" s="1671"/>
      <c r="K33" s="1670"/>
      <c r="L33" s="1670"/>
      <c r="M33" s="1670"/>
      <c r="N33" s="1672"/>
      <c r="O33" s="1669"/>
      <c r="P33" s="1670"/>
      <c r="Q33" s="1670"/>
      <c r="R33" s="1670"/>
      <c r="S33" s="1670"/>
      <c r="T33" s="1670"/>
      <c r="U33" s="1670"/>
      <c r="V33" s="1670"/>
      <c r="W33" s="1670"/>
      <c r="X33" s="1670"/>
      <c r="Y33" s="1670"/>
      <c r="Z33" s="1670"/>
      <c r="AA33" s="1670"/>
      <c r="AB33" s="1670"/>
      <c r="AC33" s="1672"/>
    </row>
    <row r="34" spans="1:29" s="1266" customFormat="1">
      <c r="A34" s="1268"/>
      <c r="B34" s="4749"/>
      <c r="C34" s="890" t="s">
        <v>289</v>
      </c>
      <c r="D34" s="790" t="s">
        <v>288</v>
      </c>
      <c r="E34" s="738"/>
      <c r="F34" s="708"/>
      <c r="G34" s="708"/>
      <c r="H34" s="708"/>
      <c r="I34" s="790"/>
      <c r="J34" s="786"/>
      <c r="K34" s="708"/>
      <c r="L34" s="708"/>
      <c r="M34" s="708"/>
      <c r="N34" s="790"/>
      <c r="O34" s="738"/>
      <c r="P34" s="708"/>
      <c r="Q34" s="708"/>
      <c r="R34" s="708"/>
      <c r="S34" s="708"/>
      <c r="T34" s="708"/>
      <c r="U34" s="708"/>
      <c r="V34" s="708"/>
      <c r="W34" s="708"/>
      <c r="X34" s="708"/>
      <c r="Y34" s="708"/>
      <c r="Z34" s="708"/>
      <c r="AA34" s="708"/>
      <c r="AB34" s="708"/>
      <c r="AC34" s="790"/>
    </row>
    <row r="35" spans="1:29" s="1266" customFormat="1">
      <c r="A35" s="1268"/>
      <c r="B35" s="4749"/>
      <c r="C35" s="890" t="s">
        <v>289</v>
      </c>
      <c r="D35" s="790" t="s">
        <v>288</v>
      </c>
      <c r="E35" s="738"/>
      <c r="F35" s="708"/>
      <c r="G35" s="708"/>
      <c r="H35" s="708"/>
      <c r="I35" s="790"/>
      <c r="J35" s="786"/>
      <c r="K35" s="708"/>
      <c r="L35" s="708"/>
      <c r="M35" s="708"/>
      <c r="N35" s="790"/>
      <c r="O35" s="738"/>
      <c r="P35" s="708"/>
      <c r="Q35" s="708"/>
      <c r="R35" s="708"/>
      <c r="S35" s="708"/>
      <c r="T35" s="708"/>
      <c r="U35" s="708"/>
      <c r="V35" s="708"/>
      <c r="W35" s="708"/>
      <c r="X35" s="708"/>
      <c r="Y35" s="708"/>
      <c r="Z35" s="708"/>
      <c r="AA35" s="708"/>
      <c r="AB35" s="708"/>
      <c r="AC35" s="790"/>
    </row>
    <row r="36" spans="1:29" s="1266" customFormat="1">
      <c r="A36" s="1268"/>
      <c r="B36" s="4749"/>
      <c r="C36" s="890" t="s">
        <v>289</v>
      </c>
      <c r="D36" s="790" t="s">
        <v>288</v>
      </c>
      <c r="E36" s="738"/>
      <c r="F36" s="708"/>
      <c r="G36" s="708"/>
      <c r="H36" s="708"/>
      <c r="I36" s="790"/>
      <c r="J36" s="786"/>
      <c r="K36" s="708"/>
      <c r="L36" s="708"/>
      <c r="M36" s="708"/>
      <c r="N36" s="790"/>
      <c r="O36" s="738"/>
      <c r="P36" s="708"/>
      <c r="Q36" s="708"/>
      <c r="R36" s="708"/>
      <c r="S36" s="708"/>
      <c r="T36" s="708"/>
      <c r="U36" s="708"/>
      <c r="V36" s="708"/>
      <c r="W36" s="708"/>
      <c r="X36" s="708"/>
      <c r="Y36" s="708"/>
      <c r="Z36" s="708"/>
      <c r="AA36" s="708"/>
      <c r="AB36" s="708"/>
      <c r="AC36" s="790"/>
    </row>
    <row r="37" spans="1:29" s="1266" customFormat="1">
      <c r="A37" s="1268"/>
      <c r="B37" s="4749"/>
      <c r="C37" s="890" t="s">
        <v>289</v>
      </c>
      <c r="D37" s="790" t="s">
        <v>288</v>
      </c>
      <c r="E37" s="738"/>
      <c r="F37" s="708"/>
      <c r="G37" s="708"/>
      <c r="H37" s="708"/>
      <c r="I37" s="790"/>
      <c r="J37" s="786"/>
      <c r="K37" s="708"/>
      <c r="L37" s="708"/>
      <c r="M37" s="708"/>
      <c r="N37" s="790"/>
      <c r="O37" s="738"/>
      <c r="P37" s="708"/>
      <c r="Q37" s="708"/>
      <c r="R37" s="708"/>
      <c r="S37" s="708"/>
      <c r="T37" s="708"/>
      <c r="U37" s="708"/>
      <c r="V37" s="708"/>
      <c r="W37" s="708"/>
      <c r="X37" s="708"/>
      <c r="Y37" s="708"/>
      <c r="Z37" s="708"/>
      <c r="AA37" s="708"/>
      <c r="AB37" s="708"/>
      <c r="AC37" s="790"/>
    </row>
    <row r="38" spans="1:29" s="1266" customFormat="1">
      <c r="A38" s="1268"/>
      <c r="B38" s="4749"/>
      <c r="C38" s="890" t="s">
        <v>289</v>
      </c>
      <c r="D38" s="790" t="s">
        <v>288</v>
      </c>
      <c r="E38" s="738"/>
      <c r="F38" s="708"/>
      <c r="G38" s="708"/>
      <c r="H38" s="708"/>
      <c r="I38" s="790"/>
      <c r="J38" s="786"/>
      <c r="K38" s="708"/>
      <c r="L38" s="708"/>
      <c r="M38" s="708"/>
      <c r="N38" s="790"/>
      <c r="O38" s="738"/>
      <c r="P38" s="708"/>
      <c r="Q38" s="708"/>
      <c r="R38" s="708"/>
      <c r="S38" s="708"/>
      <c r="T38" s="708"/>
      <c r="U38" s="708"/>
      <c r="V38" s="708"/>
      <c r="W38" s="708"/>
      <c r="X38" s="708"/>
      <c r="Y38" s="708"/>
      <c r="Z38" s="708"/>
      <c r="AA38" s="708"/>
      <c r="AB38" s="708"/>
      <c r="AC38" s="790"/>
    </row>
    <row r="39" spans="1:29" s="1266" customFormat="1" ht="13.5" thickBot="1">
      <c r="A39" s="1268"/>
      <c r="B39" s="4870"/>
      <c r="C39" s="1668" t="s">
        <v>289</v>
      </c>
      <c r="D39" s="793" t="s">
        <v>288</v>
      </c>
      <c r="E39" s="1601"/>
      <c r="F39" s="792"/>
      <c r="G39" s="792"/>
      <c r="H39" s="792"/>
      <c r="I39" s="793"/>
      <c r="J39" s="795"/>
      <c r="K39" s="792"/>
      <c r="L39" s="792"/>
      <c r="M39" s="792"/>
      <c r="N39" s="793"/>
      <c r="O39" s="1601"/>
      <c r="P39" s="792"/>
      <c r="Q39" s="792"/>
      <c r="R39" s="792"/>
      <c r="S39" s="792"/>
      <c r="T39" s="792"/>
      <c r="U39" s="792"/>
      <c r="V39" s="792"/>
      <c r="W39" s="792"/>
      <c r="X39" s="792"/>
      <c r="Y39" s="792"/>
      <c r="Z39" s="792"/>
      <c r="AA39" s="792"/>
      <c r="AB39" s="792"/>
      <c r="AC39" s="793"/>
    </row>
    <row r="40" spans="1:29" s="1266" customFormat="1">
      <c r="A40" s="1268"/>
      <c r="B40" s="4748" t="s">
        <v>1469</v>
      </c>
      <c r="C40" s="4896" t="s">
        <v>257</v>
      </c>
      <c r="D40" s="4897"/>
      <c r="E40" s="1669"/>
      <c r="F40" s="1670"/>
      <c r="G40" s="1670"/>
      <c r="H40" s="1670"/>
      <c r="I40" s="1672"/>
      <c r="J40" s="1671"/>
      <c r="K40" s="1670"/>
      <c r="L40" s="1670"/>
      <c r="M40" s="1670"/>
      <c r="N40" s="1672"/>
      <c r="O40" s="1669"/>
      <c r="P40" s="1670"/>
      <c r="Q40" s="1670"/>
      <c r="R40" s="1670"/>
      <c r="S40" s="1670"/>
      <c r="T40" s="1670"/>
      <c r="U40" s="1670"/>
      <c r="V40" s="1670"/>
      <c r="W40" s="1670"/>
      <c r="X40" s="1670"/>
      <c r="Y40" s="1670"/>
      <c r="Z40" s="1670"/>
      <c r="AA40" s="1670"/>
      <c r="AB40" s="1670"/>
      <c r="AC40" s="1672"/>
    </row>
    <row r="41" spans="1:29" s="1266" customFormat="1">
      <c r="A41" s="1268"/>
      <c r="B41" s="4749"/>
      <c r="C41" s="890" t="s">
        <v>289</v>
      </c>
      <c r="D41" s="790" t="s">
        <v>288</v>
      </c>
      <c r="E41" s="738"/>
      <c r="F41" s="708"/>
      <c r="G41" s="708"/>
      <c r="H41" s="708"/>
      <c r="I41" s="790"/>
      <c r="J41" s="786"/>
      <c r="K41" s="708"/>
      <c r="L41" s="708"/>
      <c r="M41" s="708"/>
      <c r="N41" s="790"/>
      <c r="O41" s="738"/>
      <c r="P41" s="708"/>
      <c r="Q41" s="708"/>
      <c r="R41" s="708"/>
      <c r="S41" s="708"/>
      <c r="T41" s="708"/>
      <c r="U41" s="708"/>
      <c r="V41" s="708"/>
      <c r="W41" s="708"/>
      <c r="X41" s="708"/>
      <c r="Y41" s="708"/>
      <c r="Z41" s="708"/>
      <c r="AA41" s="708"/>
      <c r="AB41" s="708"/>
      <c r="AC41" s="790"/>
    </row>
    <row r="42" spans="1:29" s="1266" customFormat="1">
      <c r="A42" s="1268"/>
      <c r="B42" s="4749"/>
      <c r="C42" s="890" t="s">
        <v>289</v>
      </c>
      <c r="D42" s="790" t="s">
        <v>288</v>
      </c>
      <c r="E42" s="738"/>
      <c r="F42" s="708"/>
      <c r="G42" s="708"/>
      <c r="H42" s="708"/>
      <c r="I42" s="790"/>
      <c r="J42" s="786"/>
      <c r="K42" s="708"/>
      <c r="L42" s="708"/>
      <c r="M42" s="708"/>
      <c r="N42" s="790"/>
      <c r="O42" s="738"/>
      <c r="P42" s="708"/>
      <c r="Q42" s="708"/>
      <c r="R42" s="708"/>
      <c r="S42" s="708"/>
      <c r="T42" s="708"/>
      <c r="U42" s="708"/>
      <c r="V42" s="708"/>
      <c r="W42" s="708"/>
      <c r="X42" s="708"/>
      <c r="Y42" s="708"/>
      <c r="Z42" s="708"/>
      <c r="AA42" s="708"/>
      <c r="AB42" s="708"/>
      <c r="AC42" s="790"/>
    </row>
    <row r="43" spans="1:29" s="1266" customFormat="1">
      <c r="A43" s="1268"/>
      <c r="B43" s="4749"/>
      <c r="C43" s="890" t="s">
        <v>289</v>
      </c>
      <c r="D43" s="790" t="s">
        <v>288</v>
      </c>
      <c r="E43" s="738"/>
      <c r="F43" s="708"/>
      <c r="G43" s="708"/>
      <c r="H43" s="708"/>
      <c r="I43" s="790"/>
      <c r="J43" s="786"/>
      <c r="K43" s="708"/>
      <c r="L43" s="708"/>
      <c r="M43" s="708"/>
      <c r="N43" s="790"/>
      <c r="O43" s="738"/>
      <c r="P43" s="708"/>
      <c r="Q43" s="708"/>
      <c r="R43" s="708"/>
      <c r="S43" s="708"/>
      <c r="T43" s="708"/>
      <c r="U43" s="708"/>
      <c r="V43" s="708"/>
      <c r="W43" s="708"/>
      <c r="X43" s="708"/>
      <c r="Y43" s="708"/>
      <c r="Z43" s="708"/>
      <c r="AA43" s="708"/>
      <c r="AB43" s="708"/>
      <c r="AC43" s="790"/>
    </row>
    <row r="44" spans="1:29" s="1266" customFormat="1">
      <c r="A44" s="1268"/>
      <c r="B44" s="4749"/>
      <c r="C44" s="890" t="s">
        <v>289</v>
      </c>
      <c r="D44" s="790" t="s">
        <v>288</v>
      </c>
      <c r="E44" s="738"/>
      <c r="F44" s="708"/>
      <c r="G44" s="708"/>
      <c r="H44" s="708"/>
      <c r="I44" s="790"/>
      <c r="J44" s="786"/>
      <c r="K44" s="708"/>
      <c r="L44" s="708"/>
      <c r="M44" s="708"/>
      <c r="N44" s="790"/>
      <c r="O44" s="738"/>
      <c r="P44" s="708"/>
      <c r="Q44" s="708"/>
      <c r="R44" s="708"/>
      <c r="S44" s="708"/>
      <c r="T44" s="708"/>
      <c r="U44" s="708"/>
      <c r="V44" s="708"/>
      <c r="W44" s="708"/>
      <c r="X44" s="708"/>
      <c r="Y44" s="708"/>
      <c r="Z44" s="708"/>
      <c r="AA44" s="708"/>
      <c r="AB44" s="708"/>
      <c r="AC44" s="790"/>
    </row>
    <row r="45" spans="1:29" s="1266" customFormat="1">
      <c r="A45" s="1268"/>
      <c r="B45" s="4749"/>
      <c r="C45" s="890" t="s">
        <v>289</v>
      </c>
      <c r="D45" s="790" t="s">
        <v>288</v>
      </c>
      <c r="E45" s="738"/>
      <c r="F45" s="708"/>
      <c r="G45" s="708"/>
      <c r="H45" s="708"/>
      <c r="I45" s="790"/>
      <c r="J45" s="786"/>
      <c r="K45" s="708"/>
      <c r="L45" s="708"/>
      <c r="M45" s="708"/>
      <c r="N45" s="790"/>
      <c r="O45" s="738"/>
      <c r="P45" s="708"/>
      <c r="Q45" s="708"/>
      <c r="R45" s="708"/>
      <c r="S45" s="708"/>
      <c r="T45" s="708"/>
      <c r="U45" s="708"/>
      <c r="V45" s="708"/>
      <c r="W45" s="708"/>
      <c r="X45" s="708"/>
      <c r="Y45" s="708"/>
      <c r="Z45" s="708"/>
      <c r="AA45" s="708"/>
      <c r="AB45" s="708"/>
      <c r="AC45" s="790"/>
    </row>
    <row r="46" spans="1:29" s="1266" customFormat="1" ht="13.5" thickBot="1">
      <c r="A46" s="1268"/>
      <c r="B46" s="4870"/>
      <c r="C46" s="1668" t="s">
        <v>289</v>
      </c>
      <c r="D46" s="793" t="s">
        <v>288</v>
      </c>
      <c r="E46" s="1601"/>
      <c r="F46" s="792"/>
      <c r="G46" s="792"/>
      <c r="H46" s="792"/>
      <c r="I46" s="793"/>
      <c r="J46" s="795"/>
      <c r="K46" s="792"/>
      <c r="L46" s="792"/>
      <c r="M46" s="792"/>
      <c r="N46" s="793"/>
      <c r="O46" s="1601"/>
      <c r="P46" s="792"/>
      <c r="Q46" s="792"/>
      <c r="R46" s="792"/>
      <c r="S46" s="792"/>
      <c r="T46" s="792"/>
      <c r="U46" s="792"/>
      <c r="V46" s="792"/>
      <c r="W46" s="792"/>
      <c r="X46" s="792"/>
      <c r="Y46" s="792"/>
      <c r="Z46" s="792"/>
      <c r="AA46" s="792"/>
      <c r="AB46" s="792"/>
      <c r="AC46" s="793"/>
    </row>
    <row r="47" spans="1:29" s="1266" customFormat="1">
      <c r="A47" s="1268"/>
      <c r="B47" s="4748" t="s">
        <v>1469</v>
      </c>
      <c r="C47" s="4896" t="s">
        <v>257</v>
      </c>
      <c r="D47" s="4897"/>
      <c r="E47" s="1669"/>
      <c r="F47" s="1670"/>
      <c r="G47" s="1670"/>
      <c r="H47" s="1670"/>
      <c r="I47" s="1672"/>
      <c r="J47" s="1671"/>
      <c r="K47" s="1670"/>
      <c r="L47" s="1670"/>
      <c r="M47" s="1670"/>
      <c r="N47" s="1672"/>
      <c r="O47" s="1669"/>
      <c r="P47" s="1670"/>
      <c r="Q47" s="1670"/>
      <c r="R47" s="1670"/>
      <c r="S47" s="1670"/>
      <c r="T47" s="1670"/>
      <c r="U47" s="1670"/>
      <c r="V47" s="1670"/>
      <c r="W47" s="1670"/>
      <c r="X47" s="1670"/>
      <c r="Y47" s="1670"/>
      <c r="Z47" s="1670"/>
      <c r="AA47" s="1670"/>
      <c r="AB47" s="1670"/>
      <c r="AC47" s="1672"/>
    </row>
    <row r="48" spans="1:29" s="1266" customFormat="1">
      <c r="A48" s="1268"/>
      <c r="B48" s="4749"/>
      <c r="C48" s="890" t="s">
        <v>289</v>
      </c>
      <c r="D48" s="790" t="s">
        <v>288</v>
      </c>
      <c r="E48" s="738"/>
      <c r="F48" s="708"/>
      <c r="G48" s="708"/>
      <c r="H48" s="708"/>
      <c r="I48" s="790"/>
      <c r="J48" s="786"/>
      <c r="K48" s="708"/>
      <c r="L48" s="708"/>
      <c r="M48" s="708"/>
      <c r="N48" s="790"/>
      <c r="O48" s="738"/>
      <c r="P48" s="708"/>
      <c r="Q48" s="708"/>
      <c r="R48" s="708"/>
      <c r="S48" s="708"/>
      <c r="T48" s="708"/>
      <c r="U48" s="708"/>
      <c r="V48" s="708"/>
      <c r="W48" s="708"/>
      <c r="X48" s="708"/>
      <c r="Y48" s="708"/>
      <c r="Z48" s="708"/>
      <c r="AA48" s="708"/>
      <c r="AB48" s="708"/>
      <c r="AC48" s="790"/>
    </row>
    <row r="49" spans="1:135" s="1266" customFormat="1">
      <c r="A49" s="1268"/>
      <c r="B49" s="4749"/>
      <c r="C49" s="890" t="s">
        <v>289</v>
      </c>
      <c r="D49" s="790" t="s">
        <v>288</v>
      </c>
      <c r="E49" s="738"/>
      <c r="F49" s="708"/>
      <c r="G49" s="708"/>
      <c r="H49" s="708"/>
      <c r="I49" s="790"/>
      <c r="J49" s="786"/>
      <c r="K49" s="708"/>
      <c r="L49" s="708"/>
      <c r="M49" s="708"/>
      <c r="N49" s="790"/>
      <c r="O49" s="738"/>
      <c r="P49" s="708"/>
      <c r="Q49" s="708"/>
      <c r="R49" s="708"/>
      <c r="S49" s="708"/>
      <c r="T49" s="708"/>
      <c r="U49" s="708"/>
      <c r="V49" s="708"/>
      <c r="W49" s="708"/>
      <c r="X49" s="708"/>
      <c r="Y49" s="708"/>
      <c r="Z49" s="708"/>
      <c r="AA49" s="708"/>
      <c r="AB49" s="708"/>
      <c r="AC49" s="790"/>
    </row>
    <row r="50" spans="1:135" s="1266" customFormat="1">
      <c r="A50" s="1268"/>
      <c r="B50" s="4749"/>
      <c r="C50" s="890" t="s">
        <v>289</v>
      </c>
      <c r="D50" s="790" t="s">
        <v>288</v>
      </c>
      <c r="E50" s="738"/>
      <c r="F50" s="708"/>
      <c r="G50" s="708"/>
      <c r="H50" s="708"/>
      <c r="I50" s="790"/>
      <c r="J50" s="786"/>
      <c r="K50" s="708"/>
      <c r="L50" s="708"/>
      <c r="M50" s="708"/>
      <c r="N50" s="790"/>
      <c r="O50" s="738"/>
      <c r="P50" s="708"/>
      <c r="Q50" s="708"/>
      <c r="R50" s="708"/>
      <c r="S50" s="708"/>
      <c r="T50" s="708"/>
      <c r="U50" s="708"/>
      <c r="V50" s="708"/>
      <c r="W50" s="708"/>
      <c r="X50" s="708"/>
      <c r="Y50" s="708"/>
      <c r="Z50" s="708"/>
      <c r="AA50" s="708"/>
      <c r="AB50" s="708"/>
      <c r="AC50" s="790"/>
    </row>
    <row r="51" spans="1:135" s="1266" customFormat="1">
      <c r="A51" s="1268"/>
      <c r="B51" s="4749"/>
      <c r="C51" s="890" t="s">
        <v>289</v>
      </c>
      <c r="D51" s="790" t="s">
        <v>288</v>
      </c>
      <c r="E51" s="738"/>
      <c r="F51" s="708"/>
      <c r="G51" s="708"/>
      <c r="H51" s="708"/>
      <c r="I51" s="790"/>
      <c r="J51" s="786"/>
      <c r="K51" s="708"/>
      <c r="L51" s="708"/>
      <c r="M51" s="708"/>
      <c r="N51" s="790"/>
      <c r="O51" s="738"/>
      <c r="P51" s="708"/>
      <c r="Q51" s="708"/>
      <c r="R51" s="708"/>
      <c r="S51" s="708"/>
      <c r="T51" s="708"/>
      <c r="U51" s="708"/>
      <c r="V51" s="708"/>
      <c r="W51" s="708"/>
      <c r="X51" s="708"/>
      <c r="Y51" s="708"/>
      <c r="Z51" s="708"/>
      <c r="AA51" s="708"/>
      <c r="AB51" s="708"/>
      <c r="AC51" s="790"/>
    </row>
    <row r="52" spans="1:135" s="1266" customFormat="1">
      <c r="A52" s="1268"/>
      <c r="B52" s="4749"/>
      <c r="C52" s="890" t="s">
        <v>289</v>
      </c>
      <c r="D52" s="790" t="s">
        <v>288</v>
      </c>
      <c r="E52" s="738"/>
      <c r="F52" s="708"/>
      <c r="G52" s="708"/>
      <c r="H52" s="708"/>
      <c r="I52" s="790"/>
      <c r="J52" s="786"/>
      <c r="K52" s="708"/>
      <c r="L52" s="708"/>
      <c r="M52" s="708"/>
      <c r="N52" s="790"/>
      <c r="O52" s="738"/>
      <c r="P52" s="708"/>
      <c r="Q52" s="708"/>
      <c r="R52" s="708"/>
      <c r="S52" s="708"/>
      <c r="T52" s="708"/>
      <c r="U52" s="708"/>
      <c r="V52" s="708"/>
      <c r="W52" s="708"/>
      <c r="X52" s="708"/>
      <c r="Y52" s="708"/>
      <c r="Z52" s="708"/>
      <c r="AA52" s="708"/>
      <c r="AB52" s="708"/>
      <c r="AC52" s="790"/>
    </row>
    <row r="53" spans="1:135" s="1266" customFormat="1" ht="13.5" thickBot="1">
      <c r="A53" s="1268"/>
      <c r="B53" s="4870"/>
      <c r="C53" s="1668" t="s">
        <v>289</v>
      </c>
      <c r="D53" s="793" t="s">
        <v>288</v>
      </c>
      <c r="E53" s="1601"/>
      <c r="F53" s="792"/>
      <c r="G53" s="792"/>
      <c r="H53" s="792"/>
      <c r="I53" s="793"/>
      <c r="J53" s="795"/>
      <c r="K53" s="792"/>
      <c r="L53" s="792"/>
      <c r="M53" s="792"/>
      <c r="N53" s="793"/>
      <c r="O53" s="1601"/>
      <c r="P53" s="792"/>
      <c r="Q53" s="792"/>
      <c r="R53" s="792"/>
      <c r="S53" s="792"/>
      <c r="T53" s="792"/>
      <c r="U53" s="792"/>
      <c r="V53" s="792"/>
      <c r="W53" s="792"/>
      <c r="X53" s="792"/>
      <c r="Y53" s="792"/>
      <c r="Z53" s="792"/>
      <c r="AA53" s="792"/>
      <c r="AB53" s="792"/>
      <c r="AC53" s="793"/>
    </row>
    <row r="54" spans="1:135" customFormat="1" ht="13.5" thickBot="1">
      <c r="C54" s="1266"/>
      <c r="E54" s="228"/>
      <c r="F54" s="228"/>
      <c r="G54" s="228"/>
      <c r="H54" s="228"/>
      <c r="I54" s="228"/>
      <c r="J54" s="228"/>
      <c r="K54" s="228"/>
      <c r="L54" s="228"/>
      <c r="M54" s="228"/>
      <c r="N54" s="228"/>
      <c r="O54" s="228"/>
      <c r="P54" s="228"/>
      <c r="Q54" s="228"/>
      <c r="R54" s="228"/>
      <c r="S54" s="228"/>
      <c r="T54" s="228"/>
      <c r="U54" s="228"/>
      <c r="V54" s="228"/>
      <c r="W54" s="228"/>
      <c r="X54" s="228"/>
      <c r="Y54" s="228"/>
      <c r="Z54" s="228"/>
      <c r="AA54" s="228"/>
      <c r="AB54" s="228"/>
      <c r="AC54" s="228"/>
    </row>
    <row r="55" spans="1:135" s="92" customFormat="1" ht="18.75" customHeight="1" thickBot="1">
      <c r="A55" s="299"/>
      <c r="B55" s="813" t="s">
        <v>562</v>
      </c>
      <c r="C55" s="814"/>
      <c r="D55" s="814"/>
      <c r="E55" s="1022"/>
      <c r="F55" s="1022"/>
      <c r="G55" s="1022"/>
      <c r="H55" s="1022"/>
      <c r="I55" s="1022"/>
      <c r="J55" s="1022"/>
      <c r="K55" s="1022"/>
      <c r="L55" s="1022"/>
      <c r="M55" s="1022"/>
      <c r="N55" s="1022"/>
      <c r="O55" s="1022"/>
      <c r="P55" s="1022"/>
      <c r="Q55" s="1022"/>
      <c r="R55" s="1022"/>
      <c r="S55" s="1022"/>
      <c r="T55" s="1022"/>
      <c r="U55" s="1022"/>
      <c r="V55" s="1022"/>
      <c r="W55" s="1022"/>
      <c r="X55" s="1022"/>
      <c r="Y55" s="1022"/>
      <c r="Z55" s="1022"/>
      <c r="AA55" s="1022"/>
      <c r="AB55" s="1022"/>
      <c r="AC55" s="1667"/>
      <c r="AD55"/>
      <c r="AE55"/>
      <c r="AF55"/>
      <c r="DF55" s="69"/>
      <c r="DG55" s="69"/>
      <c r="DH55" s="69"/>
      <c r="DI55" s="69"/>
      <c r="DJ55" s="69"/>
      <c r="DK55" s="69"/>
      <c r="DL55" s="69"/>
      <c r="DM55" s="69"/>
      <c r="DN55" s="69"/>
      <c r="DO55" s="69"/>
      <c r="DP55" s="69"/>
      <c r="DQ55" s="69"/>
      <c r="DR55" s="69"/>
      <c r="DS55" s="69"/>
      <c r="DT55" s="69"/>
      <c r="DU55" s="69"/>
      <c r="DV55" s="69"/>
      <c r="DW55" s="69"/>
      <c r="DX55" s="69"/>
      <c r="DY55" s="69"/>
      <c r="DZ55" s="69"/>
      <c r="EA55" s="69"/>
      <c r="EB55" s="69"/>
      <c r="EC55" s="69"/>
      <c r="ED55" s="69"/>
      <c r="EE55" s="69"/>
    </row>
    <row r="56" spans="1:135" s="1266" customFormat="1">
      <c r="A56" s="1268"/>
      <c r="B56" s="4748" t="s">
        <v>1469</v>
      </c>
      <c r="C56" s="4896" t="s">
        <v>257</v>
      </c>
      <c r="D56" s="4897"/>
      <c r="E56" s="1669"/>
      <c r="F56" s="1670"/>
      <c r="G56" s="1670"/>
      <c r="H56" s="1670"/>
      <c r="I56" s="1672"/>
      <c r="J56" s="1671"/>
      <c r="K56" s="1670"/>
      <c r="L56" s="1670"/>
      <c r="M56" s="1670"/>
      <c r="N56" s="1672"/>
      <c r="O56" s="1669"/>
      <c r="P56" s="1670"/>
      <c r="Q56" s="1670"/>
      <c r="R56" s="1670"/>
      <c r="S56" s="1670"/>
      <c r="T56" s="1670"/>
      <c r="U56" s="1670"/>
      <c r="V56" s="1670"/>
      <c r="W56" s="1670"/>
      <c r="X56" s="1670"/>
      <c r="Y56" s="1670"/>
      <c r="Z56" s="1670"/>
      <c r="AA56" s="1670"/>
      <c r="AB56" s="1670"/>
      <c r="AC56" s="1672"/>
    </row>
    <row r="57" spans="1:135" s="1266" customFormat="1">
      <c r="A57" s="1268"/>
      <c r="B57" s="4749"/>
      <c r="C57" s="890" t="s">
        <v>289</v>
      </c>
      <c r="D57" s="790" t="s">
        <v>288</v>
      </c>
      <c r="E57" s="738"/>
      <c r="F57" s="708"/>
      <c r="G57" s="708"/>
      <c r="H57" s="708"/>
      <c r="I57" s="790"/>
      <c r="J57" s="786"/>
      <c r="K57" s="708"/>
      <c r="L57" s="708"/>
      <c r="M57" s="708"/>
      <c r="N57" s="790"/>
      <c r="O57" s="738"/>
      <c r="P57" s="708"/>
      <c r="Q57" s="708"/>
      <c r="R57" s="708"/>
      <c r="S57" s="708"/>
      <c r="T57" s="708"/>
      <c r="U57" s="708"/>
      <c r="V57" s="708"/>
      <c r="W57" s="708"/>
      <c r="X57" s="708"/>
      <c r="Y57" s="708"/>
      <c r="Z57" s="708"/>
      <c r="AA57" s="708"/>
      <c r="AB57" s="708"/>
      <c r="AC57" s="790"/>
    </row>
    <row r="58" spans="1:135" s="1266" customFormat="1">
      <c r="A58" s="1268"/>
      <c r="B58" s="4749"/>
      <c r="C58" s="890" t="s">
        <v>289</v>
      </c>
      <c r="D58" s="790" t="s">
        <v>288</v>
      </c>
      <c r="E58" s="738"/>
      <c r="F58" s="708"/>
      <c r="G58" s="708"/>
      <c r="H58" s="708"/>
      <c r="I58" s="790"/>
      <c r="J58" s="786"/>
      <c r="K58" s="708"/>
      <c r="L58" s="708"/>
      <c r="M58" s="708"/>
      <c r="N58" s="790"/>
      <c r="O58" s="738"/>
      <c r="P58" s="708"/>
      <c r="Q58" s="708"/>
      <c r="R58" s="708"/>
      <c r="S58" s="708"/>
      <c r="T58" s="708"/>
      <c r="U58" s="708"/>
      <c r="V58" s="708"/>
      <c r="W58" s="708"/>
      <c r="X58" s="708"/>
      <c r="Y58" s="708"/>
      <c r="Z58" s="708"/>
      <c r="AA58" s="708"/>
      <c r="AB58" s="708"/>
      <c r="AC58" s="790"/>
    </row>
    <row r="59" spans="1:135" s="1266" customFormat="1">
      <c r="A59" s="1268"/>
      <c r="B59" s="4749"/>
      <c r="C59" s="890" t="s">
        <v>289</v>
      </c>
      <c r="D59" s="790" t="s">
        <v>288</v>
      </c>
      <c r="E59" s="738"/>
      <c r="F59" s="708"/>
      <c r="G59" s="708"/>
      <c r="H59" s="708"/>
      <c r="I59" s="790"/>
      <c r="J59" s="786"/>
      <c r="K59" s="708"/>
      <c r="L59" s="708"/>
      <c r="M59" s="708"/>
      <c r="N59" s="790"/>
      <c r="O59" s="738"/>
      <c r="P59" s="708"/>
      <c r="Q59" s="708"/>
      <c r="R59" s="708"/>
      <c r="S59" s="708"/>
      <c r="T59" s="708"/>
      <c r="U59" s="708"/>
      <c r="V59" s="708"/>
      <c r="W59" s="708"/>
      <c r="X59" s="708"/>
      <c r="Y59" s="708"/>
      <c r="Z59" s="708"/>
      <c r="AA59" s="708"/>
      <c r="AB59" s="708"/>
      <c r="AC59" s="790"/>
    </row>
    <row r="60" spans="1:135" s="1266" customFormat="1">
      <c r="A60" s="1268"/>
      <c r="B60" s="4749"/>
      <c r="C60" s="890" t="s">
        <v>289</v>
      </c>
      <c r="D60" s="790" t="s">
        <v>288</v>
      </c>
      <c r="E60" s="738"/>
      <c r="F60" s="708"/>
      <c r="G60" s="708"/>
      <c r="H60" s="708"/>
      <c r="I60" s="790"/>
      <c r="J60" s="786"/>
      <c r="K60" s="708"/>
      <c r="L60" s="708"/>
      <c r="M60" s="708"/>
      <c r="N60" s="790"/>
      <c r="O60" s="738"/>
      <c r="P60" s="708"/>
      <c r="Q60" s="708"/>
      <c r="R60" s="708"/>
      <c r="S60" s="708"/>
      <c r="T60" s="708"/>
      <c r="U60" s="708"/>
      <c r="V60" s="708"/>
      <c r="W60" s="708"/>
      <c r="X60" s="708"/>
      <c r="Y60" s="708"/>
      <c r="Z60" s="708"/>
      <c r="AA60" s="708"/>
      <c r="AB60" s="708"/>
      <c r="AC60" s="790"/>
    </row>
    <row r="61" spans="1:135" s="1266" customFormat="1">
      <c r="A61" s="1268"/>
      <c r="B61" s="4749"/>
      <c r="C61" s="890" t="s">
        <v>289</v>
      </c>
      <c r="D61" s="790" t="s">
        <v>288</v>
      </c>
      <c r="E61" s="738"/>
      <c r="F61" s="708"/>
      <c r="G61" s="708"/>
      <c r="H61" s="708"/>
      <c r="I61" s="790"/>
      <c r="J61" s="786"/>
      <c r="K61" s="708"/>
      <c r="L61" s="708"/>
      <c r="M61" s="708"/>
      <c r="N61" s="790"/>
      <c r="O61" s="738"/>
      <c r="P61" s="708"/>
      <c r="Q61" s="708"/>
      <c r="R61" s="708"/>
      <c r="S61" s="708"/>
      <c r="T61" s="708"/>
      <c r="U61" s="708"/>
      <c r="V61" s="708"/>
      <c r="W61" s="708"/>
      <c r="X61" s="708"/>
      <c r="Y61" s="708"/>
      <c r="Z61" s="708"/>
      <c r="AA61" s="708"/>
      <c r="AB61" s="708"/>
      <c r="AC61" s="790"/>
    </row>
    <row r="62" spans="1:135" s="1266" customFormat="1" ht="13.5" thickBot="1">
      <c r="A62" s="1268"/>
      <c r="B62" s="4870"/>
      <c r="C62" s="1668" t="s">
        <v>289</v>
      </c>
      <c r="D62" s="793" t="s">
        <v>288</v>
      </c>
      <c r="E62" s="1601"/>
      <c r="F62" s="792"/>
      <c r="G62" s="792"/>
      <c r="H62" s="792"/>
      <c r="I62" s="793"/>
      <c r="J62" s="795"/>
      <c r="K62" s="792"/>
      <c r="L62" s="792"/>
      <c r="M62" s="792"/>
      <c r="N62" s="793"/>
      <c r="O62" s="1601"/>
      <c r="P62" s="792"/>
      <c r="Q62" s="792"/>
      <c r="R62" s="792"/>
      <c r="S62" s="792"/>
      <c r="T62" s="792"/>
      <c r="U62" s="792"/>
      <c r="V62" s="792"/>
      <c r="W62" s="792"/>
      <c r="X62" s="792"/>
      <c r="Y62" s="792"/>
      <c r="Z62" s="792"/>
      <c r="AA62" s="792"/>
      <c r="AB62" s="792"/>
      <c r="AC62" s="793"/>
    </row>
    <row r="63" spans="1:135" s="1266" customFormat="1">
      <c r="A63" s="1268"/>
      <c r="B63" s="4748" t="s">
        <v>1469</v>
      </c>
      <c r="C63" s="4896" t="s">
        <v>257</v>
      </c>
      <c r="D63" s="4897"/>
      <c r="E63" s="1669"/>
      <c r="F63" s="1670"/>
      <c r="G63" s="1670"/>
      <c r="H63" s="1670"/>
      <c r="I63" s="1672"/>
      <c r="J63" s="1671"/>
      <c r="K63" s="1670"/>
      <c r="L63" s="1670"/>
      <c r="M63" s="1670"/>
      <c r="N63" s="1672"/>
      <c r="O63" s="1669"/>
      <c r="P63" s="1670"/>
      <c r="Q63" s="1670"/>
      <c r="R63" s="1670"/>
      <c r="S63" s="1670"/>
      <c r="T63" s="1670"/>
      <c r="U63" s="1670"/>
      <c r="V63" s="1670"/>
      <c r="W63" s="1670"/>
      <c r="X63" s="1670"/>
      <c r="Y63" s="1670"/>
      <c r="Z63" s="1670"/>
      <c r="AA63" s="1670"/>
      <c r="AB63" s="1670"/>
      <c r="AC63" s="1672"/>
    </row>
    <row r="64" spans="1:135" s="1266" customFormat="1">
      <c r="A64" s="1268"/>
      <c r="B64" s="4749"/>
      <c r="C64" s="890" t="s">
        <v>289</v>
      </c>
      <c r="D64" s="790" t="s">
        <v>288</v>
      </c>
      <c r="E64" s="738"/>
      <c r="F64" s="708"/>
      <c r="G64" s="708"/>
      <c r="H64" s="708"/>
      <c r="I64" s="790"/>
      <c r="J64" s="786"/>
      <c r="K64" s="708"/>
      <c r="L64" s="708"/>
      <c r="M64" s="708"/>
      <c r="N64" s="790"/>
      <c r="O64" s="738"/>
      <c r="P64" s="708"/>
      <c r="Q64" s="708"/>
      <c r="R64" s="708"/>
      <c r="S64" s="708"/>
      <c r="T64" s="708"/>
      <c r="U64" s="708"/>
      <c r="V64" s="708"/>
      <c r="W64" s="708"/>
      <c r="X64" s="708"/>
      <c r="Y64" s="708"/>
      <c r="Z64" s="708"/>
      <c r="AA64" s="708"/>
      <c r="AB64" s="708"/>
      <c r="AC64" s="790"/>
    </row>
    <row r="65" spans="1:29" s="1266" customFormat="1">
      <c r="A65" s="1268"/>
      <c r="B65" s="4749"/>
      <c r="C65" s="890" t="s">
        <v>289</v>
      </c>
      <c r="D65" s="790" t="s">
        <v>288</v>
      </c>
      <c r="E65" s="738"/>
      <c r="F65" s="708"/>
      <c r="G65" s="708"/>
      <c r="H65" s="708"/>
      <c r="I65" s="790"/>
      <c r="J65" s="786"/>
      <c r="K65" s="708"/>
      <c r="L65" s="708"/>
      <c r="M65" s="708"/>
      <c r="N65" s="790"/>
      <c r="O65" s="738"/>
      <c r="P65" s="708"/>
      <c r="Q65" s="708"/>
      <c r="R65" s="708"/>
      <c r="S65" s="708"/>
      <c r="T65" s="708"/>
      <c r="U65" s="708"/>
      <c r="V65" s="708"/>
      <c r="W65" s="708"/>
      <c r="X65" s="708"/>
      <c r="Y65" s="708"/>
      <c r="Z65" s="708"/>
      <c r="AA65" s="708"/>
      <c r="AB65" s="708"/>
      <c r="AC65" s="790"/>
    </row>
    <row r="66" spans="1:29" s="1266" customFormat="1">
      <c r="A66" s="1268"/>
      <c r="B66" s="4749"/>
      <c r="C66" s="890" t="s">
        <v>289</v>
      </c>
      <c r="D66" s="790" t="s">
        <v>288</v>
      </c>
      <c r="E66" s="738"/>
      <c r="F66" s="708"/>
      <c r="G66" s="708"/>
      <c r="H66" s="708"/>
      <c r="I66" s="790"/>
      <c r="J66" s="786"/>
      <c r="K66" s="708"/>
      <c r="L66" s="708"/>
      <c r="M66" s="708"/>
      <c r="N66" s="790"/>
      <c r="O66" s="738"/>
      <c r="P66" s="708"/>
      <c r="Q66" s="708"/>
      <c r="R66" s="708"/>
      <c r="S66" s="708"/>
      <c r="T66" s="708"/>
      <c r="U66" s="708"/>
      <c r="V66" s="708"/>
      <c r="W66" s="708"/>
      <c r="X66" s="708"/>
      <c r="Y66" s="708"/>
      <c r="Z66" s="708"/>
      <c r="AA66" s="708"/>
      <c r="AB66" s="708"/>
      <c r="AC66" s="790"/>
    </row>
    <row r="67" spans="1:29" s="1266" customFormat="1">
      <c r="A67" s="1268"/>
      <c r="B67" s="4749"/>
      <c r="C67" s="890" t="s">
        <v>289</v>
      </c>
      <c r="D67" s="790" t="s">
        <v>288</v>
      </c>
      <c r="E67" s="738"/>
      <c r="F67" s="708"/>
      <c r="G67" s="708"/>
      <c r="H67" s="708"/>
      <c r="I67" s="790"/>
      <c r="J67" s="786"/>
      <c r="K67" s="708"/>
      <c r="L67" s="708"/>
      <c r="M67" s="708"/>
      <c r="N67" s="790"/>
      <c r="O67" s="738"/>
      <c r="P67" s="708"/>
      <c r="Q67" s="708"/>
      <c r="R67" s="708"/>
      <c r="S67" s="708"/>
      <c r="T67" s="708"/>
      <c r="U67" s="708"/>
      <c r="V67" s="708"/>
      <c r="W67" s="708"/>
      <c r="X67" s="708"/>
      <c r="Y67" s="708"/>
      <c r="Z67" s="708"/>
      <c r="AA67" s="708"/>
      <c r="AB67" s="708"/>
      <c r="AC67" s="790"/>
    </row>
    <row r="68" spans="1:29" s="1266" customFormat="1">
      <c r="A68" s="1268"/>
      <c r="B68" s="4749"/>
      <c r="C68" s="890" t="s">
        <v>289</v>
      </c>
      <c r="D68" s="790" t="s">
        <v>288</v>
      </c>
      <c r="E68" s="738"/>
      <c r="F68" s="708"/>
      <c r="G68" s="708"/>
      <c r="H68" s="708"/>
      <c r="I68" s="790"/>
      <c r="J68" s="786"/>
      <c r="K68" s="708"/>
      <c r="L68" s="708"/>
      <c r="M68" s="708"/>
      <c r="N68" s="790"/>
      <c r="O68" s="738"/>
      <c r="P68" s="708"/>
      <c r="Q68" s="708"/>
      <c r="R68" s="708"/>
      <c r="S68" s="708"/>
      <c r="T68" s="708"/>
      <c r="U68" s="708"/>
      <c r="V68" s="708"/>
      <c r="W68" s="708"/>
      <c r="X68" s="708"/>
      <c r="Y68" s="708"/>
      <c r="Z68" s="708"/>
      <c r="AA68" s="708"/>
      <c r="AB68" s="708"/>
      <c r="AC68" s="790"/>
    </row>
    <row r="69" spans="1:29" s="1266" customFormat="1" ht="13.5" thickBot="1">
      <c r="A69" s="1268"/>
      <c r="B69" s="4870"/>
      <c r="C69" s="1668" t="s">
        <v>289</v>
      </c>
      <c r="D69" s="793" t="s">
        <v>288</v>
      </c>
      <c r="E69" s="1601"/>
      <c r="F69" s="792"/>
      <c r="G69" s="792"/>
      <c r="H69" s="792"/>
      <c r="I69" s="793"/>
      <c r="J69" s="795"/>
      <c r="K69" s="792"/>
      <c r="L69" s="792"/>
      <c r="M69" s="792"/>
      <c r="N69" s="793"/>
      <c r="O69" s="1601"/>
      <c r="P69" s="792"/>
      <c r="Q69" s="792"/>
      <c r="R69" s="792"/>
      <c r="S69" s="792"/>
      <c r="T69" s="792"/>
      <c r="U69" s="792"/>
      <c r="V69" s="792"/>
      <c r="W69" s="792"/>
      <c r="X69" s="792"/>
      <c r="Y69" s="792"/>
      <c r="Z69" s="792"/>
      <c r="AA69" s="792"/>
      <c r="AB69" s="792"/>
      <c r="AC69" s="793"/>
    </row>
    <row r="70" spans="1:29" s="1266" customFormat="1">
      <c r="A70" s="1268"/>
      <c r="B70" s="4748" t="s">
        <v>1469</v>
      </c>
      <c r="C70" s="4896" t="s">
        <v>257</v>
      </c>
      <c r="D70" s="4897"/>
      <c r="E70" s="1669"/>
      <c r="F70" s="1670"/>
      <c r="G70" s="1670"/>
      <c r="H70" s="1670"/>
      <c r="I70" s="1672"/>
      <c r="J70" s="1671"/>
      <c r="K70" s="1670"/>
      <c r="L70" s="1670"/>
      <c r="M70" s="1670"/>
      <c r="N70" s="1672"/>
      <c r="O70" s="1669"/>
      <c r="P70" s="1670"/>
      <c r="Q70" s="1670"/>
      <c r="R70" s="1670"/>
      <c r="S70" s="1670"/>
      <c r="T70" s="1670"/>
      <c r="U70" s="1670"/>
      <c r="V70" s="1670"/>
      <c r="W70" s="1670"/>
      <c r="X70" s="1670"/>
      <c r="Y70" s="1670"/>
      <c r="Z70" s="1670"/>
      <c r="AA70" s="1670"/>
      <c r="AB70" s="1670"/>
      <c r="AC70" s="1672"/>
    </row>
    <row r="71" spans="1:29" s="1266" customFormat="1">
      <c r="A71" s="1268"/>
      <c r="B71" s="4749"/>
      <c r="C71" s="890" t="s">
        <v>289</v>
      </c>
      <c r="D71" s="790" t="s">
        <v>288</v>
      </c>
      <c r="E71" s="738"/>
      <c r="F71" s="708"/>
      <c r="G71" s="708"/>
      <c r="H71" s="708"/>
      <c r="I71" s="790"/>
      <c r="J71" s="786"/>
      <c r="K71" s="708"/>
      <c r="L71" s="708"/>
      <c r="M71" s="708"/>
      <c r="N71" s="790"/>
      <c r="O71" s="738"/>
      <c r="P71" s="708"/>
      <c r="Q71" s="708"/>
      <c r="R71" s="708"/>
      <c r="S71" s="708"/>
      <c r="T71" s="708"/>
      <c r="U71" s="708"/>
      <c r="V71" s="708"/>
      <c r="W71" s="708"/>
      <c r="X71" s="708"/>
      <c r="Y71" s="708"/>
      <c r="Z71" s="708"/>
      <c r="AA71" s="708"/>
      <c r="AB71" s="708"/>
      <c r="AC71" s="790"/>
    </row>
    <row r="72" spans="1:29" s="1266" customFormat="1">
      <c r="A72" s="1268"/>
      <c r="B72" s="4749"/>
      <c r="C72" s="890" t="s">
        <v>289</v>
      </c>
      <c r="D72" s="790" t="s">
        <v>288</v>
      </c>
      <c r="E72" s="738"/>
      <c r="F72" s="708"/>
      <c r="G72" s="708"/>
      <c r="H72" s="708"/>
      <c r="I72" s="790"/>
      <c r="J72" s="786"/>
      <c r="K72" s="708"/>
      <c r="L72" s="708"/>
      <c r="M72" s="708"/>
      <c r="N72" s="790"/>
      <c r="O72" s="738"/>
      <c r="P72" s="708"/>
      <c r="Q72" s="708"/>
      <c r="R72" s="708"/>
      <c r="S72" s="708"/>
      <c r="T72" s="708"/>
      <c r="U72" s="708"/>
      <c r="V72" s="708"/>
      <c r="W72" s="708"/>
      <c r="X72" s="708"/>
      <c r="Y72" s="708"/>
      <c r="Z72" s="708"/>
      <c r="AA72" s="708"/>
      <c r="AB72" s="708"/>
      <c r="AC72" s="790"/>
    </row>
    <row r="73" spans="1:29" s="1266" customFormat="1">
      <c r="A73" s="1268"/>
      <c r="B73" s="4749"/>
      <c r="C73" s="890" t="s">
        <v>289</v>
      </c>
      <c r="D73" s="790" t="s">
        <v>288</v>
      </c>
      <c r="E73" s="738"/>
      <c r="F73" s="708"/>
      <c r="G73" s="708"/>
      <c r="H73" s="708"/>
      <c r="I73" s="790"/>
      <c r="J73" s="786"/>
      <c r="K73" s="708"/>
      <c r="L73" s="708"/>
      <c r="M73" s="708"/>
      <c r="N73" s="790"/>
      <c r="O73" s="738"/>
      <c r="P73" s="708"/>
      <c r="Q73" s="708"/>
      <c r="R73" s="708"/>
      <c r="S73" s="708"/>
      <c r="T73" s="708"/>
      <c r="U73" s="708"/>
      <c r="V73" s="708"/>
      <c r="W73" s="708"/>
      <c r="X73" s="708"/>
      <c r="Y73" s="708"/>
      <c r="Z73" s="708"/>
      <c r="AA73" s="708"/>
      <c r="AB73" s="708"/>
      <c r="AC73" s="790"/>
    </row>
    <row r="74" spans="1:29" s="1266" customFormat="1">
      <c r="A74" s="1268"/>
      <c r="B74" s="4749"/>
      <c r="C74" s="890" t="s">
        <v>289</v>
      </c>
      <c r="D74" s="790" t="s">
        <v>288</v>
      </c>
      <c r="E74" s="738"/>
      <c r="F74" s="708"/>
      <c r="G74" s="708"/>
      <c r="H74" s="708"/>
      <c r="I74" s="790"/>
      <c r="J74" s="786"/>
      <c r="K74" s="708"/>
      <c r="L74" s="708"/>
      <c r="M74" s="708"/>
      <c r="N74" s="790"/>
      <c r="O74" s="738"/>
      <c r="P74" s="708"/>
      <c r="Q74" s="708"/>
      <c r="R74" s="708"/>
      <c r="S74" s="708"/>
      <c r="T74" s="708"/>
      <c r="U74" s="708"/>
      <c r="V74" s="708"/>
      <c r="W74" s="708"/>
      <c r="X74" s="708"/>
      <c r="Y74" s="708"/>
      <c r="Z74" s="708"/>
      <c r="AA74" s="708"/>
      <c r="AB74" s="708"/>
      <c r="AC74" s="790"/>
    </row>
    <row r="75" spans="1:29" s="1266" customFormat="1">
      <c r="A75" s="1268"/>
      <c r="B75" s="4749"/>
      <c r="C75" s="890" t="s">
        <v>289</v>
      </c>
      <c r="D75" s="790" t="s">
        <v>288</v>
      </c>
      <c r="E75" s="738"/>
      <c r="F75" s="708"/>
      <c r="G75" s="708"/>
      <c r="H75" s="708"/>
      <c r="I75" s="790"/>
      <c r="J75" s="786"/>
      <c r="K75" s="708"/>
      <c r="L75" s="708"/>
      <c r="M75" s="708"/>
      <c r="N75" s="790"/>
      <c r="O75" s="738"/>
      <c r="P75" s="708"/>
      <c r="Q75" s="708"/>
      <c r="R75" s="708"/>
      <c r="S75" s="708"/>
      <c r="T75" s="708"/>
      <c r="U75" s="708"/>
      <c r="V75" s="708"/>
      <c r="W75" s="708"/>
      <c r="X75" s="708"/>
      <c r="Y75" s="708"/>
      <c r="Z75" s="708"/>
      <c r="AA75" s="708"/>
      <c r="AB75" s="708"/>
      <c r="AC75" s="790"/>
    </row>
    <row r="76" spans="1:29" s="1266" customFormat="1" ht="13.5" thickBot="1">
      <c r="A76" s="1268"/>
      <c r="B76" s="4870"/>
      <c r="C76" s="1668" t="s">
        <v>289</v>
      </c>
      <c r="D76" s="793" t="s">
        <v>288</v>
      </c>
      <c r="E76" s="1601"/>
      <c r="F76" s="792"/>
      <c r="G76" s="792"/>
      <c r="H76" s="792"/>
      <c r="I76" s="793"/>
      <c r="J76" s="795"/>
      <c r="K76" s="792"/>
      <c r="L76" s="792"/>
      <c r="M76" s="792"/>
      <c r="N76" s="793"/>
      <c r="O76" s="1601"/>
      <c r="P76" s="792"/>
      <c r="Q76" s="792"/>
      <c r="R76" s="792"/>
      <c r="S76" s="792"/>
      <c r="T76" s="792"/>
      <c r="U76" s="792"/>
      <c r="V76" s="792"/>
      <c r="W76" s="792"/>
      <c r="X76" s="792"/>
      <c r="Y76" s="792"/>
      <c r="Z76" s="792"/>
      <c r="AA76" s="792"/>
      <c r="AB76" s="792"/>
      <c r="AC76" s="793"/>
    </row>
    <row r="77" spans="1:29" s="1266" customFormat="1">
      <c r="A77" s="1268"/>
      <c r="B77" s="4748" t="s">
        <v>1469</v>
      </c>
      <c r="C77" s="4896" t="s">
        <v>257</v>
      </c>
      <c r="D77" s="4897"/>
      <c r="E77" s="1669"/>
      <c r="F77" s="1670"/>
      <c r="G77" s="1670"/>
      <c r="H77" s="1670"/>
      <c r="I77" s="1672"/>
      <c r="J77" s="1671"/>
      <c r="K77" s="1670"/>
      <c r="L77" s="1670"/>
      <c r="M77" s="1670"/>
      <c r="N77" s="1672"/>
      <c r="O77" s="1669"/>
      <c r="P77" s="1670"/>
      <c r="Q77" s="1670"/>
      <c r="R77" s="1670"/>
      <c r="S77" s="1670"/>
      <c r="T77" s="1670"/>
      <c r="U77" s="1670"/>
      <c r="V77" s="1670"/>
      <c r="W77" s="1670"/>
      <c r="X77" s="1670"/>
      <c r="Y77" s="1670"/>
      <c r="Z77" s="1670"/>
      <c r="AA77" s="1670"/>
      <c r="AB77" s="1670"/>
      <c r="AC77" s="1672"/>
    </row>
    <row r="78" spans="1:29" s="1266" customFormat="1">
      <c r="A78" s="1268"/>
      <c r="B78" s="4749"/>
      <c r="C78" s="890" t="s">
        <v>289</v>
      </c>
      <c r="D78" s="790" t="s">
        <v>288</v>
      </c>
      <c r="E78" s="738"/>
      <c r="F78" s="708"/>
      <c r="G78" s="708"/>
      <c r="H78" s="708"/>
      <c r="I78" s="790"/>
      <c r="J78" s="786"/>
      <c r="K78" s="708"/>
      <c r="L78" s="708"/>
      <c r="M78" s="708"/>
      <c r="N78" s="790"/>
      <c r="O78" s="738"/>
      <c r="P78" s="708"/>
      <c r="Q78" s="708"/>
      <c r="R78" s="708"/>
      <c r="S78" s="708"/>
      <c r="T78" s="708"/>
      <c r="U78" s="708"/>
      <c r="V78" s="708"/>
      <c r="W78" s="708"/>
      <c r="X78" s="708"/>
      <c r="Y78" s="708"/>
      <c r="Z78" s="708"/>
      <c r="AA78" s="708"/>
      <c r="AB78" s="708"/>
      <c r="AC78" s="790"/>
    </row>
    <row r="79" spans="1:29" s="1266" customFormat="1">
      <c r="A79" s="1268"/>
      <c r="B79" s="4749"/>
      <c r="C79" s="890" t="s">
        <v>289</v>
      </c>
      <c r="D79" s="790" t="s">
        <v>288</v>
      </c>
      <c r="E79" s="738"/>
      <c r="F79" s="708"/>
      <c r="G79" s="708"/>
      <c r="H79" s="708"/>
      <c r="I79" s="790"/>
      <c r="J79" s="786"/>
      <c r="K79" s="708"/>
      <c r="L79" s="708"/>
      <c r="M79" s="708"/>
      <c r="N79" s="790"/>
      <c r="O79" s="738"/>
      <c r="P79" s="708"/>
      <c r="Q79" s="708"/>
      <c r="R79" s="708"/>
      <c r="S79" s="708"/>
      <c r="T79" s="708"/>
      <c r="U79" s="708"/>
      <c r="V79" s="708"/>
      <c r="W79" s="708"/>
      <c r="X79" s="708"/>
      <c r="Y79" s="708"/>
      <c r="Z79" s="708"/>
      <c r="AA79" s="708"/>
      <c r="AB79" s="708"/>
      <c r="AC79" s="790"/>
    </row>
    <row r="80" spans="1:29" s="1266" customFormat="1">
      <c r="A80" s="1268"/>
      <c r="B80" s="4749"/>
      <c r="C80" s="890" t="s">
        <v>289</v>
      </c>
      <c r="D80" s="790" t="s">
        <v>288</v>
      </c>
      <c r="E80" s="738"/>
      <c r="F80" s="708"/>
      <c r="G80" s="708"/>
      <c r="H80" s="708"/>
      <c r="I80" s="790"/>
      <c r="J80" s="786"/>
      <c r="K80" s="708"/>
      <c r="L80" s="708"/>
      <c r="M80" s="708"/>
      <c r="N80" s="790"/>
      <c r="O80" s="738"/>
      <c r="P80" s="708"/>
      <c r="Q80" s="708"/>
      <c r="R80" s="708"/>
      <c r="S80" s="708"/>
      <c r="T80" s="708"/>
      <c r="U80" s="708"/>
      <c r="V80" s="708"/>
      <c r="W80" s="708"/>
      <c r="X80" s="708"/>
      <c r="Y80" s="708"/>
      <c r="Z80" s="708"/>
      <c r="AA80" s="708"/>
      <c r="AB80" s="708"/>
      <c r="AC80" s="790"/>
    </row>
    <row r="81" spans="1:135" s="1266" customFormat="1">
      <c r="A81" s="1268"/>
      <c r="B81" s="4749"/>
      <c r="C81" s="890" t="s">
        <v>289</v>
      </c>
      <c r="D81" s="790" t="s">
        <v>288</v>
      </c>
      <c r="E81" s="738"/>
      <c r="F81" s="708"/>
      <c r="G81" s="708"/>
      <c r="H81" s="708"/>
      <c r="I81" s="790"/>
      <c r="J81" s="786"/>
      <c r="K81" s="708"/>
      <c r="L81" s="708"/>
      <c r="M81" s="708"/>
      <c r="N81" s="790"/>
      <c r="O81" s="738"/>
      <c r="P81" s="708"/>
      <c r="Q81" s="708"/>
      <c r="R81" s="708"/>
      <c r="S81" s="708"/>
      <c r="T81" s="708"/>
      <c r="U81" s="708"/>
      <c r="V81" s="708"/>
      <c r="W81" s="708"/>
      <c r="X81" s="708"/>
      <c r="Y81" s="708"/>
      <c r="Z81" s="708"/>
      <c r="AA81" s="708"/>
      <c r="AB81" s="708"/>
      <c r="AC81" s="790"/>
    </row>
    <row r="82" spans="1:135" s="1266" customFormat="1">
      <c r="A82" s="1268"/>
      <c r="B82" s="4749"/>
      <c r="C82" s="890" t="s">
        <v>289</v>
      </c>
      <c r="D82" s="790" t="s">
        <v>288</v>
      </c>
      <c r="E82" s="738"/>
      <c r="F82" s="708"/>
      <c r="G82" s="708"/>
      <c r="H82" s="708"/>
      <c r="I82" s="790"/>
      <c r="J82" s="786"/>
      <c r="K82" s="708"/>
      <c r="L82" s="708"/>
      <c r="M82" s="708"/>
      <c r="N82" s="790"/>
      <c r="O82" s="738"/>
      <c r="P82" s="708"/>
      <c r="Q82" s="708"/>
      <c r="R82" s="708"/>
      <c r="S82" s="708"/>
      <c r="T82" s="708"/>
      <c r="U82" s="708"/>
      <c r="V82" s="708"/>
      <c r="W82" s="708"/>
      <c r="X82" s="708"/>
      <c r="Y82" s="708"/>
      <c r="Z82" s="708"/>
      <c r="AA82" s="708"/>
      <c r="AB82" s="708"/>
      <c r="AC82" s="790"/>
    </row>
    <row r="83" spans="1:135" s="1266" customFormat="1" ht="13.5" thickBot="1">
      <c r="A83" s="1268"/>
      <c r="B83" s="4870"/>
      <c r="C83" s="1668" t="s">
        <v>289</v>
      </c>
      <c r="D83" s="793" t="s">
        <v>288</v>
      </c>
      <c r="E83" s="1601"/>
      <c r="F83" s="792"/>
      <c r="G83" s="792"/>
      <c r="H83" s="792"/>
      <c r="I83" s="793"/>
      <c r="J83" s="795"/>
      <c r="K83" s="792"/>
      <c r="L83" s="792"/>
      <c r="M83" s="792"/>
      <c r="N83" s="793"/>
      <c r="O83" s="1601"/>
      <c r="P83" s="792"/>
      <c r="Q83" s="792"/>
      <c r="R83" s="792"/>
      <c r="S83" s="792"/>
      <c r="T83" s="792"/>
      <c r="U83" s="792"/>
      <c r="V83" s="792"/>
      <c r="W83" s="792"/>
      <c r="X83" s="792"/>
      <c r="Y83" s="792"/>
      <c r="Z83" s="792"/>
      <c r="AA83" s="792"/>
      <c r="AB83" s="792"/>
      <c r="AC83" s="793"/>
    </row>
    <row r="84" spans="1:135" customFormat="1" ht="13.5" thickBot="1">
      <c r="A84" s="282"/>
      <c r="C84" s="1266"/>
      <c r="E84" s="228"/>
      <c r="F84" s="228"/>
      <c r="G84" s="228"/>
      <c r="H84" s="228"/>
      <c r="I84" s="228"/>
      <c r="J84" s="228"/>
      <c r="K84" s="228"/>
      <c r="L84" s="228"/>
      <c r="M84" s="228"/>
      <c r="N84" s="228"/>
      <c r="O84" s="228"/>
      <c r="P84" s="228"/>
      <c r="Q84" s="228"/>
      <c r="R84" s="228"/>
      <c r="S84" s="228"/>
      <c r="T84" s="228"/>
      <c r="U84" s="228"/>
      <c r="V84" s="228"/>
      <c r="W84" s="228"/>
      <c r="X84" s="228"/>
      <c r="Y84" s="228"/>
      <c r="Z84" s="228"/>
      <c r="AA84" s="228"/>
      <c r="AB84" s="228"/>
      <c r="AC84" s="228"/>
    </row>
    <row r="85" spans="1:135" s="92" customFormat="1" ht="18.75" customHeight="1" thickBot="1">
      <c r="A85" s="299"/>
      <c r="B85" s="771" t="s">
        <v>563</v>
      </c>
      <c r="C85" s="772"/>
      <c r="D85" s="772"/>
      <c r="E85" s="1024"/>
      <c r="F85" s="1024"/>
      <c r="G85" s="1024"/>
      <c r="H85" s="1024"/>
      <c r="I85" s="1024"/>
      <c r="J85" s="1024"/>
      <c r="K85" s="1024"/>
      <c r="L85" s="1024"/>
      <c r="M85" s="1024"/>
      <c r="N85" s="1024"/>
      <c r="O85" s="1024"/>
      <c r="P85" s="1024"/>
      <c r="Q85" s="1024"/>
      <c r="R85" s="1024"/>
      <c r="S85" s="1024"/>
      <c r="T85" s="1024"/>
      <c r="U85" s="1024"/>
      <c r="V85" s="1024"/>
      <c r="W85" s="1024"/>
      <c r="X85" s="1024"/>
      <c r="Y85" s="1024"/>
      <c r="Z85" s="1024"/>
      <c r="AA85" s="1024"/>
      <c r="AB85" s="1024"/>
      <c r="AC85" s="1023"/>
      <c r="AD85"/>
      <c r="AE85"/>
      <c r="AF85"/>
      <c r="DF85" s="69"/>
      <c r="DG85" s="69"/>
      <c r="DH85" s="69"/>
      <c r="DI85" s="69"/>
      <c r="DJ85" s="69"/>
      <c r="DK85" s="69"/>
      <c r="DL85" s="69"/>
      <c r="DM85" s="69"/>
      <c r="DN85" s="69"/>
      <c r="DO85" s="69"/>
      <c r="DP85" s="69"/>
      <c r="DQ85" s="69"/>
      <c r="DR85" s="69"/>
      <c r="DS85" s="69"/>
      <c r="DT85" s="69"/>
      <c r="DU85" s="69"/>
      <c r="DV85" s="69"/>
      <c r="DW85" s="69"/>
      <c r="DX85" s="69"/>
      <c r="DY85" s="69"/>
      <c r="DZ85" s="69"/>
      <c r="EA85" s="69"/>
      <c r="EB85" s="69"/>
      <c r="EC85" s="69"/>
      <c r="ED85" s="69"/>
      <c r="EE85" s="69"/>
    </row>
    <row r="86" spans="1:135">
      <c r="A86" s="725"/>
      <c r="B86" s="4900"/>
      <c r="C86" s="4898" t="s">
        <v>48</v>
      </c>
      <c r="D86" s="4899"/>
      <c r="E86" s="1669"/>
      <c r="F86" s="1670"/>
      <c r="G86" s="1670"/>
      <c r="H86" s="1670"/>
      <c r="I86" s="1672"/>
      <c r="J86" s="1669"/>
      <c r="K86" s="1670"/>
      <c r="L86" s="1670"/>
      <c r="M86" s="1670"/>
      <c r="N86" s="1672"/>
      <c r="O86" s="1671"/>
      <c r="P86" s="1670"/>
      <c r="Q86" s="1670"/>
      <c r="R86" s="1670"/>
      <c r="S86" s="1670"/>
      <c r="T86" s="1670"/>
      <c r="U86" s="1670"/>
      <c r="V86" s="1670"/>
      <c r="W86" s="1670"/>
      <c r="X86" s="1670"/>
      <c r="Y86" s="1670"/>
      <c r="Z86" s="1670"/>
      <c r="AA86" s="1670"/>
      <c r="AB86" s="1670"/>
      <c r="AC86" s="1672"/>
      <c r="AF86"/>
    </row>
    <row r="87" spans="1:135">
      <c r="A87" s="725"/>
      <c r="B87" s="4901"/>
      <c r="C87" s="890" t="s">
        <v>289</v>
      </c>
      <c r="D87" s="790" t="s">
        <v>288</v>
      </c>
      <c r="E87" s="738"/>
      <c r="F87" s="708"/>
      <c r="G87" s="708"/>
      <c r="H87" s="708"/>
      <c r="I87" s="790"/>
      <c r="J87" s="738"/>
      <c r="K87" s="708"/>
      <c r="L87" s="708"/>
      <c r="M87" s="708"/>
      <c r="N87" s="790"/>
      <c r="O87" s="786"/>
      <c r="P87" s="708"/>
      <c r="Q87" s="708"/>
      <c r="R87" s="708"/>
      <c r="S87" s="708"/>
      <c r="T87" s="708"/>
      <c r="U87" s="708"/>
      <c r="V87" s="708"/>
      <c r="W87" s="708"/>
      <c r="X87" s="708"/>
      <c r="Y87" s="708"/>
      <c r="Z87" s="708"/>
      <c r="AA87" s="708"/>
      <c r="AB87" s="708"/>
      <c r="AC87" s="790"/>
      <c r="AF87"/>
    </row>
    <row r="88" spans="1:135">
      <c r="A88" s="725"/>
      <c r="B88" s="4901"/>
      <c r="C88" s="890" t="s">
        <v>289</v>
      </c>
      <c r="D88" s="790" t="s">
        <v>288</v>
      </c>
      <c r="E88" s="738"/>
      <c r="F88" s="708"/>
      <c r="G88" s="708"/>
      <c r="H88" s="708"/>
      <c r="I88" s="790"/>
      <c r="J88" s="738"/>
      <c r="K88" s="708"/>
      <c r="L88" s="708"/>
      <c r="M88" s="708"/>
      <c r="N88" s="790"/>
      <c r="O88" s="786"/>
      <c r="P88" s="708"/>
      <c r="Q88" s="708"/>
      <c r="R88" s="708"/>
      <c r="S88" s="708"/>
      <c r="T88" s="708"/>
      <c r="U88" s="708"/>
      <c r="V88" s="708"/>
      <c r="W88" s="708"/>
      <c r="X88" s="708"/>
      <c r="Y88" s="708"/>
      <c r="Z88" s="708"/>
      <c r="AA88" s="708"/>
      <c r="AB88" s="708"/>
      <c r="AC88" s="790"/>
      <c r="AF88"/>
    </row>
    <row r="89" spans="1:135" ht="13.5" thickBot="1">
      <c r="A89" s="725"/>
      <c r="B89" s="4902"/>
      <c r="C89" s="1668" t="s">
        <v>289</v>
      </c>
      <c r="D89" s="793" t="s">
        <v>288</v>
      </c>
      <c r="E89" s="1601"/>
      <c r="F89" s="792"/>
      <c r="G89" s="792"/>
      <c r="H89" s="792"/>
      <c r="I89" s="793"/>
      <c r="J89" s="1601"/>
      <c r="K89" s="792"/>
      <c r="L89" s="792"/>
      <c r="M89" s="792"/>
      <c r="N89" s="793"/>
      <c r="O89" s="795"/>
      <c r="P89" s="792"/>
      <c r="Q89" s="792"/>
      <c r="R89" s="792"/>
      <c r="S89" s="792"/>
      <c r="T89" s="792"/>
      <c r="U89" s="792"/>
      <c r="V89" s="792"/>
      <c r="W89" s="792"/>
      <c r="X89" s="792"/>
      <c r="Y89" s="792"/>
      <c r="Z89" s="792"/>
      <c r="AA89" s="792"/>
      <c r="AB89" s="792"/>
      <c r="AC89" s="793"/>
      <c r="AF89"/>
    </row>
    <row r="90" spans="1:135" customFormat="1" ht="13.5" thickBot="1">
      <c r="A90" s="282"/>
      <c r="C90" s="1266"/>
      <c r="E90" s="228"/>
      <c r="F90" s="228"/>
      <c r="G90" s="228"/>
      <c r="H90" s="228"/>
      <c r="I90" s="228"/>
      <c r="J90" s="228"/>
      <c r="K90" s="228"/>
      <c r="L90" s="228"/>
      <c r="M90" s="228"/>
      <c r="N90" s="228"/>
      <c r="O90" s="228"/>
      <c r="P90" s="228"/>
      <c r="Q90" s="228"/>
      <c r="R90" s="228"/>
      <c r="S90" s="228"/>
      <c r="T90" s="228"/>
      <c r="U90" s="228"/>
      <c r="V90" s="228"/>
      <c r="W90" s="228"/>
      <c r="X90" s="228"/>
      <c r="Y90" s="228"/>
      <c r="Z90" s="228"/>
      <c r="AA90" s="228"/>
      <c r="AB90" s="228"/>
      <c r="AC90" s="228"/>
    </row>
    <row r="91" spans="1:135" s="69" customFormat="1" ht="34.5" customHeight="1" thickBot="1">
      <c r="A91" s="75"/>
      <c r="B91" s="4196" t="s">
        <v>127</v>
      </c>
      <c r="C91" s="4874"/>
      <c r="D91" s="4875"/>
      <c r="E91" s="1504"/>
      <c r="F91" s="1504"/>
      <c r="G91" s="1504"/>
      <c r="H91" s="1504"/>
      <c r="I91" s="1504"/>
      <c r="J91" s="1504"/>
      <c r="K91" s="1504"/>
      <c r="L91" s="1504"/>
      <c r="M91" s="1504"/>
      <c r="N91" s="1504"/>
      <c r="O91" s="1504"/>
      <c r="P91" s="1504"/>
      <c r="Q91" s="1504"/>
      <c r="R91" s="1504"/>
      <c r="S91" s="1504"/>
      <c r="T91" s="1504"/>
      <c r="U91" s="1504"/>
      <c r="V91" s="1504"/>
      <c r="W91" s="1504"/>
      <c r="X91" s="1504"/>
      <c r="Y91" s="1504"/>
      <c r="Z91" s="1504"/>
      <c r="AA91" s="1504"/>
      <c r="AB91" s="1504"/>
      <c r="AC91" s="1505"/>
      <c r="AD91"/>
      <c r="AE91"/>
      <c r="AF91"/>
    </row>
  </sheetData>
  <mergeCells count="31">
    <mergeCell ref="B77:B83"/>
    <mergeCell ref="C77:D77"/>
    <mergeCell ref="C86:D86"/>
    <mergeCell ref="B91:D91"/>
    <mergeCell ref="B86:B89"/>
    <mergeCell ref="B56:B62"/>
    <mergeCell ref="C56:D56"/>
    <mergeCell ref="B63:B69"/>
    <mergeCell ref="C63:D63"/>
    <mergeCell ref="B70:B76"/>
    <mergeCell ref="C70:D70"/>
    <mergeCell ref="B26:B32"/>
    <mergeCell ref="B33:B39"/>
    <mergeCell ref="B40:B46"/>
    <mergeCell ref="B47:B53"/>
    <mergeCell ref="C26:D26"/>
    <mergeCell ref="C33:D33"/>
    <mergeCell ref="C40:D40"/>
    <mergeCell ref="C47:D47"/>
    <mergeCell ref="B8:E8"/>
    <mergeCell ref="B9:E9"/>
    <mergeCell ref="B10:E10"/>
    <mergeCell ref="B21:B24"/>
    <mergeCell ref="D21:D24"/>
    <mergeCell ref="E21:I21"/>
    <mergeCell ref="C21:C24"/>
    <mergeCell ref="J21:N21"/>
    <mergeCell ref="O21:AC21"/>
    <mergeCell ref="E22:AC22"/>
    <mergeCell ref="E23:G23"/>
    <mergeCell ref="H23:AC23"/>
  </mergeCells>
  <pageMargins left="0.75" right="0.75" top="1" bottom="1" header="0.5" footer="0.5"/>
  <pageSetup paperSize="9" orientation="portrait" r:id="rId1"/>
  <headerFooter alignWithMargins="0"/>
  <customProperties>
    <customPr name="layoutContexts" r:id="rId2"/>
  </customProperties>
  <drawing r:id="rId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92D050"/>
    <pageSetUpPr autoPageBreaks="0"/>
  </sheetPr>
  <dimension ref="A1:AD306"/>
  <sheetViews>
    <sheetView showGridLines="0" topLeftCell="A10" zoomScale="74" zoomScaleNormal="74" workbookViewId="0">
      <selection activeCell="C25" sqref="C25:K58"/>
    </sheetView>
  </sheetViews>
  <sheetFormatPr defaultColWidth="9.140625" defaultRowHeight="12.75"/>
  <cols>
    <col min="1" max="1" width="16.28515625" style="98" bestFit="1" customWidth="1"/>
    <col min="2" max="2" width="38.7109375" style="98" customWidth="1"/>
    <col min="3" max="6" width="15.7109375" style="98" customWidth="1"/>
    <col min="7" max="7" width="41.85546875" style="98" customWidth="1"/>
    <col min="8" max="8" width="40" style="98" customWidth="1"/>
    <col min="9" max="9" width="15.7109375" style="98" customWidth="1"/>
    <col min="10" max="10" width="36.7109375" style="98" customWidth="1"/>
    <col min="11" max="13" width="15.7109375" style="98" customWidth="1"/>
    <col min="14" max="14" width="36.7109375" style="98" bestFit="1" customWidth="1"/>
    <col min="15" max="17" width="15.7109375" style="98" customWidth="1"/>
    <col min="18" max="30" width="8.7109375" customWidth="1"/>
    <col min="31" max="16384" width="9.140625" style="98"/>
  </cols>
  <sheetData>
    <row r="1" spans="1:30" s="217" customFormat="1" ht="24.95" customHeight="1">
      <c r="B1" s="2272" t="str">
        <f>IF(dms_DataQuality="backcast",INDEX(dms_Worksheet_List,MATCH(dms_Model,dms_Model_List))&amp;" BACKCAST",INDEX(dms_Worksheet_List,MATCH(dms_Model,dms_Model_List)))</f>
        <v>REGULATORY REPORTING STATEMENT</v>
      </c>
      <c r="C1" s="518"/>
      <c r="D1" s="518"/>
      <c r="E1" s="518"/>
      <c r="F1" s="518"/>
      <c r="G1" s="518"/>
      <c r="H1" s="518"/>
      <c r="I1" s="518"/>
      <c r="J1" s="518"/>
      <c r="K1" s="518"/>
      <c r="L1" s="518"/>
      <c r="M1" s="518"/>
      <c r="N1" s="518"/>
      <c r="O1" s="518"/>
      <c r="P1" s="518"/>
      <c r="Q1" s="518"/>
      <c r="R1"/>
      <c r="S1"/>
      <c r="T1"/>
      <c r="U1"/>
      <c r="V1"/>
      <c r="W1"/>
      <c r="X1"/>
      <c r="Y1"/>
      <c r="Z1"/>
      <c r="AA1"/>
      <c r="AB1"/>
      <c r="AC1"/>
      <c r="AD1"/>
    </row>
    <row r="2" spans="1:30" s="217" customFormat="1" ht="24.95" customHeight="1">
      <c r="B2" s="2277" t="str">
        <f>INDEX(dms_TradingNameFull_List,MATCH(dms_TradingName,dms_TradingName_List))</f>
        <v>Multinet Gas (DB No.1) Pty Ltd (ACN 086 026 986), Multinet Gas (DB No.2) Pty Ltd (ACN 086 230 122)</v>
      </c>
      <c r="C2" s="220"/>
      <c r="D2" s="220"/>
      <c r="E2" s="220"/>
      <c r="F2" s="220"/>
      <c r="G2" s="220"/>
      <c r="H2" s="220"/>
      <c r="I2" s="220"/>
      <c r="J2" s="220"/>
      <c r="K2" s="220"/>
      <c r="L2" s="220"/>
      <c r="M2" s="220"/>
      <c r="N2" s="220"/>
      <c r="O2" s="220"/>
      <c r="P2" s="220"/>
      <c r="Q2" s="220"/>
      <c r="R2"/>
      <c r="S2"/>
      <c r="T2"/>
      <c r="U2"/>
      <c r="V2"/>
      <c r="W2"/>
      <c r="X2"/>
      <c r="Y2"/>
      <c r="Z2"/>
      <c r="AA2"/>
      <c r="AB2"/>
      <c r="AC2"/>
      <c r="AD2"/>
    </row>
    <row r="3" spans="1:30" s="217" customFormat="1" ht="24.95" customHeight="1">
      <c r="B3" s="2277" t="str">
        <f ca="1">IF(SUM(dms_SingleYear_Model)&gt;0,CRY,CONCATENATE(FRCP_y1," to ",dms_MultiYear_FinalYear_Result))</f>
        <v>2018 to 2022</v>
      </c>
      <c r="C3" s="221"/>
      <c r="D3" s="221"/>
      <c r="E3" s="221"/>
      <c r="F3" s="221"/>
      <c r="G3" s="221"/>
      <c r="H3" s="221"/>
      <c r="I3" s="221"/>
      <c r="J3" s="221"/>
      <c r="K3" s="221"/>
      <c r="L3" s="221"/>
      <c r="M3" s="221"/>
      <c r="N3" s="221"/>
      <c r="O3" s="221"/>
      <c r="P3" s="221"/>
      <c r="Q3" s="221"/>
      <c r="R3"/>
      <c r="S3"/>
      <c r="T3"/>
      <c r="U3"/>
      <c r="V3"/>
      <c r="W3"/>
      <c r="X3"/>
      <c r="Y3"/>
      <c r="Z3"/>
      <c r="AA3"/>
      <c r="AB3"/>
      <c r="AC3"/>
      <c r="AD3"/>
    </row>
    <row r="4" spans="1:30" s="159" customFormat="1" ht="24" customHeight="1">
      <c r="B4" s="10" t="s">
        <v>388</v>
      </c>
      <c r="C4" s="12"/>
      <c r="D4" s="12"/>
      <c r="E4" s="12"/>
      <c r="F4" s="12"/>
      <c r="G4" s="12"/>
      <c r="H4" s="12"/>
      <c r="I4" s="12"/>
      <c r="J4" s="12"/>
      <c r="K4" s="12"/>
      <c r="L4" s="12"/>
      <c r="M4" s="12"/>
      <c r="N4" s="12"/>
      <c r="O4" s="12"/>
      <c r="P4" s="12"/>
      <c r="Q4" s="12"/>
      <c r="R4"/>
      <c r="S4"/>
      <c r="T4"/>
      <c r="U4"/>
      <c r="V4"/>
      <c r="W4"/>
      <c r="X4"/>
      <c r="Y4"/>
      <c r="Z4"/>
      <c r="AA4"/>
      <c r="AB4"/>
      <c r="AC4"/>
      <c r="AD4"/>
    </row>
    <row r="5" spans="1:30">
      <c r="A5" s="726"/>
      <c r="B5" s="726"/>
      <c r="C5" s="726"/>
      <c r="D5" s="726"/>
      <c r="E5" s="726"/>
      <c r="F5" s="726"/>
      <c r="G5" s="726"/>
      <c r="H5" s="726"/>
      <c r="I5" s="726"/>
      <c r="J5" s="726"/>
      <c r="K5" s="726"/>
      <c r="L5" s="726"/>
      <c r="M5" s="726"/>
      <c r="N5" s="726"/>
      <c r="O5" s="726"/>
      <c r="P5" s="726"/>
      <c r="Q5" s="726"/>
    </row>
    <row r="6" spans="1:30">
      <c r="A6" s="726"/>
      <c r="B6" s="726"/>
      <c r="C6" s="726"/>
      <c r="D6" s="726"/>
      <c r="E6" s="726"/>
      <c r="F6" s="726"/>
      <c r="G6" s="726"/>
      <c r="H6" s="726"/>
      <c r="I6" s="726"/>
      <c r="J6" s="726"/>
      <c r="K6" s="726"/>
      <c r="L6" s="726"/>
      <c r="M6" s="726"/>
      <c r="N6" s="726"/>
      <c r="O6" s="726"/>
      <c r="P6" s="726"/>
      <c r="Q6" s="726"/>
    </row>
    <row r="7" spans="1:30" ht="24" customHeight="1">
      <c r="A7" s="726"/>
      <c r="B7" s="4921" t="s">
        <v>61</v>
      </c>
      <c r="C7" s="4921"/>
      <c r="D7" s="4921"/>
      <c r="E7" s="4921"/>
      <c r="F7" s="282"/>
      <c r="G7" s="282"/>
      <c r="H7" s="282"/>
      <c r="I7" s="282"/>
      <c r="J7" s="282"/>
      <c r="K7" s="282"/>
      <c r="L7" s="282"/>
      <c r="M7" s="726"/>
      <c r="N7" s="726"/>
      <c r="O7" s="726"/>
      <c r="P7" s="726"/>
      <c r="Q7" s="726"/>
    </row>
    <row r="8" spans="1:30" s="1502" customFormat="1" ht="24" customHeight="1">
      <c r="A8" s="1673"/>
      <c r="B8" s="4924" t="s">
        <v>9</v>
      </c>
      <c r="C8" s="4924"/>
      <c r="D8" s="4924"/>
      <c r="E8" s="4924"/>
      <c r="F8" s="287"/>
      <c r="G8" s="287"/>
      <c r="H8" s="287"/>
      <c r="I8" s="287"/>
      <c r="J8" s="287"/>
      <c r="K8" s="287"/>
      <c r="L8" s="287"/>
      <c r="M8" s="1673"/>
      <c r="N8" s="1673"/>
      <c r="O8" s="1673"/>
      <c r="P8" s="1673"/>
      <c r="Q8" s="1673"/>
      <c r="R8" s="197"/>
      <c r="S8" s="197"/>
      <c r="T8" s="197"/>
      <c r="U8" s="197"/>
      <c r="V8" s="197"/>
      <c r="W8" s="197"/>
      <c r="X8" s="197"/>
      <c r="Y8" s="197"/>
      <c r="Z8" s="197"/>
      <c r="AA8" s="197"/>
      <c r="AB8" s="197"/>
      <c r="AC8" s="197"/>
      <c r="AD8" s="197"/>
    </row>
    <row r="9" spans="1:30" s="1502" customFormat="1" ht="24" customHeight="1">
      <c r="A9" s="1673"/>
      <c r="B9" s="4924" t="s">
        <v>716</v>
      </c>
      <c r="C9" s="4924"/>
      <c r="D9" s="4924"/>
      <c r="E9" s="4924"/>
      <c r="F9" s="287"/>
      <c r="G9" s="287"/>
      <c r="H9" s="287"/>
      <c r="I9" s="287"/>
      <c r="J9" s="287"/>
      <c r="K9" s="287"/>
      <c r="L9" s="287"/>
      <c r="M9" s="1673"/>
      <c r="N9" s="1673"/>
      <c r="O9" s="1673"/>
      <c r="P9" s="1673"/>
      <c r="Q9" s="1673"/>
      <c r="R9" s="197"/>
      <c r="S9" s="197"/>
      <c r="T9" s="197"/>
      <c r="U9" s="197"/>
      <c r="V9" s="197"/>
      <c r="W9" s="197"/>
      <c r="X9" s="197"/>
      <c r="Y9" s="197"/>
      <c r="Z9" s="197"/>
      <c r="AA9" s="197"/>
      <c r="AB9" s="197"/>
      <c r="AC9" s="197"/>
      <c r="AD9" s="197"/>
    </row>
    <row r="10" spans="1:30" s="1502" customFormat="1" ht="24" customHeight="1">
      <c r="A10" s="1673"/>
      <c r="B10" s="4924" t="s">
        <v>245</v>
      </c>
      <c r="C10" s="4924"/>
      <c r="D10" s="4924"/>
      <c r="E10" s="4924"/>
      <c r="F10" s="287"/>
      <c r="G10" s="287"/>
      <c r="H10" s="287"/>
      <c r="I10" s="287"/>
      <c r="J10" s="287"/>
      <c r="K10" s="287"/>
      <c r="L10" s="287"/>
      <c r="M10" s="1673"/>
      <c r="N10" s="1673"/>
      <c r="O10" s="1673"/>
      <c r="P10" s="1673"/>
      <c r="Q10" s="1673"/>
      <c r="R10" s="197"/>
      <c r="S10" s="197"/>
      <c r="T10" s="197"/>
      <c r="U10" s="197"/>
      <c r="V10" s="197"/>
      <c r="W10" s="197"/>
      <c r="X10" s="197"/>
      <c r="Y10" s="197"/>
      <c r="Z10" s="197"/>
      <c r="AA10" s="197"/>
      <c r="AB10" s="197"/>
      <c r="AC10" s="197"/>
      <c r="AD10" s="197"/>
    </row>
    <row r="11" spans="1:30" s="1963" customFormat="1" ht="24" customHeight="1">
      <c r="A11" s="1673"/>
      <c r="B11" s="4924" t="s">
        <v>1459</v>
      </c>
      <c r="C11" s="4222"/>
      <c r="D11" s="4222"/>
      <c r="E11" s="4222"/>
      <c r="F11" s="287"/>
      <c r="G11" s="287"/>
      <c r="H11" s="287"/>
      <c r="I11" s="287"/>
      <c r="J11" s="287"/>
      <c r="K11" s="287"/>
      <c r="L11" s="287"/>
      <c r="M11" s="1673"/>
      <c r="N11" s="1673"/>
      <c r="O11" s="1673"/>
      <c r="P11" s="1673"/>
      <c r="Q11" s="1673"/>
      <c r="R11" s="197"/>
      <c r="S11" s="197"/>
      <c r="T11" s="197"/>
      <c r="U11" s="197"/>
      <c r="V11" s="197"/>
      <c r="W11" s="197"/>
      <c r="X11" s="197"/>
      <c r="Y11" s="197"/>
      <c r="Z11" s="197"/>
      <c r="AA11" s="197"/>
      <c r="AB11" s="197"/>
      <c r="AC11" s="197"/>
      <c r="AD11" s="197"/>
    </row>
    <row r="12" spans="1:30" s="2924" customFormat="1" ht="30.75" customHeight="1">
      <c r="A12" s="1673"/>
      <c r="B12" s="4924" t="s">
        <v>731</v>
      </c>
      <c r="C12" s="4222"/>
      <c r="D12" s="4222"/>
      <c r="E12" s="4222"/>
      <c r="F12" s="287"/>
      <c r="G12" s="287"/>
      <c r="H12" s="287"/>
      <c r="I12" s="287"/>
      <c r="J12" s="287"/>
      <c r="K12" s="287"/>
      <c r="L12" s="287"/>
      <c r="M12" s="1673"/>
      <c r="N12" s="1673"/>
      <c r="O12" s="1673"/>
      <c r="P12" s="1673"/>
      <c r="Q12" s="1673"/>
      <c r="R12" s="197"/>
      <c r="S12" s="197"/>
      <c r="T12" s="197"/>
      <c r="U12" s="197"/>
      <c r="V12" s="197"/>
      <c r="W12" s="197"/>
      <c r="X12" s="197"/>
      <c r="Y12" s="197"/>
      <c r="Z12" s="197"/>
      <c r="AA12" s="197"/>
      <c r="AB12" s="197"/>
      <c r="AC12" s="197"/>
      <c r="AD12" s="197"/>
    </row>
    <row r="13" spans="1:30" s="1963" customFormat="1" ht="35.25" customHeight="1">
      <c r="A13" s="1673"/>
      <c r="B13" s="4924" t="s">
        <v>1461</v>
      </c>
      <c r="C13" s="4222"/>
      <c r="D13" s="4222"/>
      <c r="E13" s="4222"/>
      <c r="F13" s="287"/>
      <c r="G13" s="287"/>
      <c r="H13" s="287"/>
      <c r="I13" s="287"/>
      <c r="J13" s="287"/>
      <c r="K13" s="287"/>
      <c r="L13" s="287"/>
      <c r="M13" s="1673"/>
      <c r="N13" s="1673"/>
      <c r="O13" s="1673"/>
      <c r="P13" s="1673"/>
      <c r="Q13" s="1673"/>
      <c r="R13" s="197"/>
      <c r="S13" s="197"/>
      <c r="T13" s="197"/>
      <c r="U13" s="197"/>
      <c r="V13" s="197"/>
      <c r="W13" s="197"/>
      <c r="X13" s="197"/>
      <c r="Y13" s="197"/>
      <c r="Z13" s="197"/>
      <c r="AA13" s="197"/>
      <c r="AB13" s="197"/>
      <c r="AC13" s="197"/>
      <c r="AD13" s="197"/>
    </row>
    <row r="14" spans="1:30" s="1960" customFormat="1" ht="88.5" customHeight="1">
      <c r="A14" s="1673"/>
      <c r="B14" s="4924" t="s">
        <v>1460</v>
      </c>
      <c r="C14" s="4222"/>
      <c r="D14" s="4222"/>
      <c r="E14" s="4222"/>
      <c r="F14" s="287"/>
      <c r="G14" s="287"/>
      <c r="H14" s="287"/>
      <c r="I14" s="287"/>
      <c r="J14" s="287"/>
      <c r="K14" s="287"/>
      <c r="L14" s="287"/>
      <c r="M14" s="1673"/>
      <c r="N14" s="1673"/>
      <c r="O14" s="1673"/>
      <c r="P14" s="1673"/>
      <c r="Q14" s="1673"/>
      <c r="R14" s="197"/>
      <c r="S14" s="197"/>
      <c r="T14" s="197"/>
      <c r="U14" s="197"/>
      <c r="V14" s="197"/>
      <c r="W14" s="197"/>
      <c r="X14" s="197"/>
      <c r="Y14" s="197"/>
      <c r="Z14" s="197"/>
      <c r="AA14" s="197"/>
      <c r="AB14" s="197"/>
      <c r="AC14" s="197"/>
      <c r="AD14" s="197"/>
    </row>
    <row r="15" spans="1:30" s="1960" customFormat="1" ht="24" customHeight="1">
      <c r="A15" s="1673"/>
      <c r="B15" s="1961"/>
      <c r="C15" s="1961"/>
      <c r="D15" s="1961"/>
      <c r="E15" s="1961"/>
      <c r="F15" s="287"/>
      <c r="G15" s="287"/>
      <c r="H15" s="287"/>
      <c r="I15" s="287"/>
      <c r="J15" s="287"/>
      <c r="K15" s="287"/>
      <c r="L15" s="287"/>
      <c r="M15" s="1673"/>
      <c r="N15" s="1673"/>
      <c r="O15" s="1673"/>
      <c r="P15" s="1673"/>
      <c r="Q15" s="1673"/>
      <c r="R15" s="197"/>
      <c r="S15" s="197"/>
      <c r="T15" s="197"/>
      <c r="U15" s="197"/>
      <c r="V15" s="197"/>
      <c r="W15" s="197"/>
      <c r="X15" s="197"/>
      <c r="Y15" s="197"/>
      <c r="Z15" s="197"/>
      <c r="AA15" s="197"/>
      <c r="AB15" s="197"/>
      <c r="AC15" s="197"/>
      <c r="AD15" s="197"/>
    </row>
    <row r="16" spans="1:30" s="65" customFormat="1">
      <c r="A16" s="282"/>
      <c r="B16" s="282"/>
      <c r="C16" s="282"/>
      <c r="D16" s="282"/>
      <c r="E16" s="282"/>
      <c r="F16" s="282"/>
      <c r="G16" s="282"/>
      <c r="H16" s="282"/>
      <c r="I16" s="282"/>
      <c r="J16" s="282"/>
      <c r="K16" s="282"/>
      <c r="L16" s="282"/>
      <c r="M16" s="282"/>
      <c r="N16" s="282"/>
      <c r="O16" s="282"/>
      <c r="P16" s="282"/>
      <c r="Q16" s="282"/>
      <c r="R16"/>
      <c r="S16"/>
      <c r="T16"/>
      <c r="U16"/>
      <c r="V16"/>
      <c r="W16"/>
      <c r="X16"/>
      <c r="Y16"/>
      <c r="Z16"/>
      <c r="AA16"/>
      <c r="AB16"/>
      <c r="AC16"/>
      <c r="AD16"/>
    </row>
    <row r="17" spans="1:30" customFormat="1" ht="13.5" thickBot="1">
      <c r="A17" s="282"/>
      <c r="B17" s="282"/>
      <c r="C17" s="282"/>
      <c r="D17" s="282"/>
      <c r="E17" s="282"/>
      <c r="F17" s="282"/>
      <c r="G17" s="282"/>
      <c r="H17" s="282"/>
      <c r="I17" s="282"/>
      <c r="J17" s="282"/>
      <c r="K17" s="282"/>
      <c r="L17" s="282"/>
      <c r="M17" s="282"/>
      <c r="N17" s="282"/>
      <c r="O17" s="282"/>
      <c r="P17" s="282"/>
      <c r="Q17" s="282"/>
    </row>
    <row r="18" spans="1:30" s="1266" customFormat="1" ht="34.5" customHeight="1" thickBot="1">
      <c r="A18" s="1268"/>
      <c r="B18" s="3545" t="s">
        <v>564</v>
      </c>
      <c r="C18" s="3657"/>
      <c r="D18" s="3657"/>
      <c r="E18" s="3657"/>
      <c r="F18" s="3657"/>
      <c r="G18" s="3657"/>
      <c r="H18" s="3685"/>
      <c r="I18" s="3686"/>
      <c r="J18" s="3686"/>
      <c r="K18" s="3658"/>
      <c r="L18" s="3658"/>
      <c r="M18" s="3658"/>
      <c r="N18" s="3658"/>
      <c r="O18" s="3658"/>
      <c r="P18" s="3658"/>
      <c r="Q18" s="3658"/>
    </row>
    <row r="19" spans="1:30" s="1266" customFormat="1" ht="34.5" customHeight="1" thickBot="1">
      <c r="A19" s="1268"/>
      <c r="B19" s="3546" t="s">
        <v>717</v>
      </c>
      <c r="C19" s="3547"/>
      <c r="D19" s="3547"/>
      <c r="E19" s="3547"/>
      <c r="F19" s="3547"/>
      <c r="G19" s="3547"/>
      <c r="H19" s="3687"/>
      <c r="I19" s="3688"/>
      <c r="J19" s="3688"/>
      <c r="K19" s="3547"/>
      <c r="L19" s="3547"/>
      <c r="M19" s="3547"/>
      <c r="N19" s="3547"/>
      <c r="O19" s="3547"/>
      <c r="P19" s="3547"/>
      <c r="Q19" s="3548"/>
    </row>
    <row r="20" spans="1:30" s="881" customFormat="1" ht="16.5" customHeight="1">
      <c r="A20" s="880"/>
      <c r="B20" s="4922"/>
      <c r="C20" s="4763" t="s">
        <v>36</v>
      </c>
      <c r="D20" s="4764"/>
      <c r="E20" s="4764"/>
      <c r="F20" s="4764"/>
      <c r="G20" s="4764"/>
      <c r="H20" s="4765" t="s">
        <v>37</v>
      </c>
      <c r="I20" s="4766"/>
      <c r="J20" s="4766"/>
      <c r="K20" s="4766"/>
      <c r="L20" s="4766"/>
      <c r="M20" s="4767" t="s">
        <v>75</v>
      </c>
      <c r="N20" s="4767"/>
      <c r="O20" s="4767"/>
      <c r="P20" s="4767"/>
      <c r="Q20" s="4768"/>
      <c r="R20"/>
      <c r="S20"/>
      <c r="T20"/>
      <c r="U20"/>
      <c r="V20"/>
      <c r="W20"/>
      <c r="X20"/>
      <c r="Y20"/>
      <c r="Z20"/>
      <c r="AA20"/>
      <c r="AB20"/>
      <c r="AC20"/>
      <c r="AD20"/>
    </row>
    <row r="21" spans="1:30" s="883" customFormat="1" ht="15" customHeight="1">
      <c r="A21" s="880"/>
      <c r="B21" s="4923"/>
      <c r="C21" s="4769" t="s">
        <v>484</v>
      </c>
      <c r="D21" s="4770"/>
      <c r="E21" s="4770"/>
      <c r="F21" s="4770"/>
      <c r="G21" s="4770"/>
      <c r="H21" s="4770"/>
      <c r="I21" s="4770"/>
      <c r="J21" s="4770"/>
      <c r="K21" s="4770"/>
      <c r="L21" s="4770"/>
      <c r="M21" s="4770"/>
      <c r="N21" s="4770"/>
      <c r="O21" s="4770"/>
      <c r="P21" s="4770"/>
      <c r="Q21" s="4771"/>
      <c r="R21"/>
      <c r="S21"/>
      <c r="T21"/>
      <c r="U21"/>
      <c r="V21"/>
      <c r="W21"/>
      <c r="X21"/>
      <c r="Y21"/>
      <c r="Z21"/>
      <c r="AA21"/>
      <c r="AB21"/>
      <c r="AC21"/>
      <c r="AD21"/>
    </row>
    <row r="22" spans="1:30" s="881" customFormat="1" ht="16.5" customHeight="1">
      <c r="A22" s="880"/>
      <c r="B22" s="4923"/>
      <c r="C22" s="4769" t="s">
        <v>56</v>
      </c>
      <c r="D22" s="4770"/>
      <c r="E22" s="4770"/>
      <c r="F22" s="4770"/>
      <c r="G22" s="4770"/>
      <c r="H22" s="4770"/>
      <c r="I22" s="4770"/>
      <c r="J22" s="4912"/>
      <c r="K22" s="4772" t="s">
        <v>57</v>
      </c>
      <c r="L22" s="4773"/>
      <c r="M22" s="4773"/>
      <c r="N22" s="4773"/>
      <c r="O22" s="4773"/>
      <c r="P22" s="4773"/>
      <c r="Q22" s="4774"/>
      <c r="R22"/>
      <c r="S22"/>
      <c r="T22"/>
      <c r="U22"/>
      <c r="V22"/>
      <c r="W22"/>
      <c r="X22"/>
      <c r="Y22"/>
      <c r="Z22"/>
      <c r="AA22"/>
      <c r="AB22"/>
      <c r="AC22"/>
      <c r="AD22"/>
    </row>
    <row r="23" spans="1:30" s="883" customFormat="1" ht="12.75" customHeight="1" thickBot="1">
      <c r="A23" s="882"/>
      <c r="B23" s="4923"/>
      <c r="C23" s="3689">
        <f t="array" ref="C23:G23">PRCP</f>
        <v>2008</v>
      </c>
      <c r="D23" s="3690">
        <v>2009</v>
      </c>
      <c r="E23" s="3690">
        <v>2010</v>
      </c>
      <c r="F23" s="3690">
        <v>2011</v>
      </c>
      <c r="G23" s="3690">
        <v>2012</v>
      </c>
      <c r="H23" s="3691">
        <f>CRCP_y1</f>
        <v>2013</v>
      </c>
      <c r="I23" s="3691">
        <f>CRCP_y2</f>
        <v>2014</v>
      </c>
      <c r="J23" s="3691">
        <f>CRCP_y3</f>
        <v>2015</v>
      </c>
      <c r="K23" s="3691">
        <f>CRCP_y4</f>
        <v>2016</v>
      </c>
      <c r="L23" s="3691">
        <f>CRCP_y5</f>
        <v>2017</v>
      </c>
      <c r="M23" s="3690" t="str">
        <f t="array" ref="M23:Q23">FRCP</f>
        <v>2018</v>
      </c>
      <c r="N23" s="3690">
        <v>2019</v>
      </c>
      <c r="O23" s="3690">
        <v>2020</v>
      </c>
      <c r="P23" s="3690">
        <v>2021</v>
      </c>
      <c r="Q23" s="3692">
        <v>2022</v>
      </c>
      <c r="R23"/>
      <c r="S23"/>
      <c r="T23"/>
      <c r="U23"/>
      <c r="V23"/>
      <c r="W23"/>
      <c r="X23"/>
      <c r="Y23"/>
      <c r="Z23"/>
      <c r="AA23"/>
      <c r="AB23"/>
      <c r="AC23"/>
      <c r="AD23"/>
    </row>
    <row r="24" spans="1:30">
      <c r="A24" s="726"/>
      <c r="B24" s="3693" t="s">
        <v>665</v>
      </c>
      <c r="C24" s="3694"/>
      <c r="D24" s="3695"/>
      <c r="E24" s="3695"/>
      <c r="F24" s="3695"/>
      <c r="G24" s="3696"/>
      <c r="H24" s="3697"/>
      <c r="I24" s="3698"/>
      <c r="J24" s="3698"/>
      <c r="K24" s="3695"/>
      <c r="L24" s="3696"/>
      <c r="M24" s="3694"/>
      <c r="N24" s="3695"/>
      <c r="O24" s="3695"/>
      <c r="P24" s="3695"/>
      <c r="Q24" s="3696"/>
    </row>
    <row r="25" spans="1:30">
      <c r="A25" s="726"/>
      <c r="B25" s="3699" t="s">
        <v>66</v>
      </c>
      <c r="C25" s="3700">
        <v>1453000</v>
      </c>
      <c r="D25" s="3701">
        <v>1425000</v>
      </c>
      <c r="E25" s="3701">
        <v>1410000</v>
      </c>
      <c r="F25" s="3701">
        <v>1405000</v>
      </c>
      <c r="G25" s="3702">
        <v>1381000</v>
      </c>
      <c r="H25" s="3703">
        <v>1325000</v>
      </c>
      <c r="I25" s="3701">
        <v>1266000</v>
      </c>
      <c r="J25" s="3701">
        <v>1237000</v>
      </c>
      <c r="K25" s="3701">
        <v>1190000</v>
      </c>
      <c r="L25" s="3704">
        <v>1062007</v>
      </c>
      <c r="M25" s="3705">
        <v>935572</v>
      </c>
      <c r="N25" s="3706">
        <v>807870</v>
      </c>
      <c r="O25" s="3706">
        <v>680046</v>
      </c>
      <c r="P25" s="3706">
        <v>544683</v>
      </c>
      <c r="Q25" s="3704">
        <v>437302</v>
      </c>
    </row>
    <row r="26" spans="1:30">
      <c r="A26" s="726"/>
      <c r="B26" s="3699" t="s">
        <v>67</v>
      </c>
      <c r="C26" s="3700">
        <v>737000</v>
      </c>
      <c r="D26" s="3701">
        <v>703000</v>
      </c>
      <c r="E26" s="3701">
        <v>701000</v>
      </c>
      <c r="F26" s="3701">
        <v>698000</v>
      </c>
      <c r="G26" s="3702">
        <v>696000</v>
      </c>
      <c r="H26" s="3703">
        <v>678000</v>
      </c>
      <c r="I26" s="3701">
        <v>651000</v>
      </c>
      <c r="J26" s="3701">
        <v>627000</v>
      </c>
      <c r="K26" s="3701">
        <v>601000</v>
      </c>
      <c r="L26" s="3704">
        <v>601000</v>
      </c>
      <c r="M26" s="3705">
        <v>601000</v>
      </c>
      <c r="N26" s="3706">
        <v>601000</v>
      </c>
      <c r="O26" s="3706">
        <v>601000</v>
      </c>
      <c r="P26" s="3706">
        <v>601000</v>
      </c>
      <c r="Q26" s="3704">
        <v>601000</v>
      </c>
    </row>
    <row r="27" spans="1:30">
      <c r="A27" s="726"/>
      <c r="B27" s="3699" t="s">
        <v>85</v>
      </c>
      <c r="C27" s="3707"/>
      <c r="D27" s="3708"/>
      <c r="E27" s="3708"/>
      <c r="F27" s="3708"/>
      <c r="G27" s="3709" t="s">
        <v>1608</v>
      </c>
      <c r="H27" s="3710"/>
      <c r="I27" s="3708"/>
      <c r="J27" s="3708"/>
      <c r="K27" s="3708"/>
      <c r="L27" s="3711"/>
      <c r="M27" s="3712"/>
      <c r="N27" s="3713"/>
      <c r="O27" s="3713"/>
      <c r="P27" s="3713"/>
      <c r="Q27" s="3711"/>
    </row>
    <row r="28" spans="1:30">
      <c r="A28" s="726"/>
      <c r="B28" s="3699" t="s">
        <v>712</v>
      </c>
      <c r="C28" s="3707"/>
      <c r="D28" s="3708"/>
      <c r="E28" s="3708"/>
      <c r="F28" s="3708"/>
      <c r="G28" s="3709" t="s">
        <v>1609</v>
      </c>
      <c r="H28" s="3710"/>
      <c r="I28" s="3708"/>
      <c r="J28" s="3708"/>
      <c r="K28" s="3708"/>
      <c r="L28" s="3711"/>
      <c r="M28" s="3712"/>
      <c r="N28" s="3713"/>
      <c r="O28" s="3713"/>
      <c r="P28" s="3713"/>
      <c r="Q28" s="3711"/>
    </row>
    <row r="29" spans="1:30" s="1959" customFormat="1">
      <c r="A29" s="726"/>
      <c r="B29" s="3699" t="s">
        <v>713</v>
      </c>
      <c r="C29" s="3707"/>
      <c r="D29" s="3708"/>
      <c r="E29" s="3708"/>
      <c r="F29" s="3708"/>
      <c r="G29" s="3709" t="s">
        <v>1609</v>
      </c>
      <c r="H29" s="3710"/>
      <c r="I29" s="3708"/>
      <c r="J29" s="3708"/>
      <c r="K29" s="3708"/>
      <c r="L29" s="3711"/>
      <c r="M29" s="3712"/>
      <c r="N29" s="3713"/>
      <c r="O29" s="3713"/>
      <c r="P29" s="3713"/>
      <c r="Q29" s="3711"/>
      <c r="R29" s="1266"/>
      <c r="S29" s="1266"/>
      <c r="T29" s="1266"/>
      <c r="U29" s="1266"/>
      <c r="V29" s="1266"/>
      <c r="W29" s="1266"/>
      <c r="X29" s="1266"/>
      <c r="Y29" s="1266"/>
      <c r="Z29" s="1266"/>
      <c r="AA29" s="1266"/>
      <c r="AB29" s="1266"/>
      <c r="AC29" s="1266"/>
      <c r="AD29" s="1266"/>
    </row>
    <row r="30" spans="1:30" s="1959" customFormat="1">
      <c r="A30" s="726"/>
      <c r="B30" s="3699" t="s">
        <v>714</v>
      </c>
      <c r="C30" s="3700">
        <v>25000</v>
      </c>
      <c r="D30" s="3701">
        <v>27000</v>
      </c>
      <c r="E30" s="3701">
        <v>28000</v>
      </c>
      <c r="F30" s="3701">
        <v>25000</v>
      </c>
      <c r="G30" s="3702">
        <v>31000</v>
      </c>
      <c r="H30" s="3703">
        <v>31000</v>
      </c>
      <c r="I30" s="3701">
        <v>31000</v>
      </c>
      <c r="J30" s="3701">
        <v>31000</v>
      </c>
      <c r="K30" s="3701">
        <v>32000</v>
      </c>
      <c r="L30" s="3704">
        <v>32000</v>
      </c>
      <c r="M30" s="3705">
        <v>32000</v>
      </c>
      <c r="N30" s="3706">
        <v>32000</v>
      </c>
      <c r="O30" s="3706">
        <v>32000</v>
      </c>
      <c r="P30" s="3706">
        <v>32000</v>
      </c>
      <c r="Q30" s="3704">
        <v>32000</v>
      </c>
      <c r="R30" s="1266"/>
      <c r="S30" s="1266"/>
      <c r="T30" s="1266"/>
      <c r="U30" s="1266"/>
      <c r="V30" s="1266"/>
      <c r="W30" s="1266"/>
      <c r="X30" s="1266"/>
      <c r="Y30" s="1266"/>
      <c r="Z30" s="1266"/>
      <c r="AA30" s="1266"/>
      <c r="AB30" s="1266"/>
      <c r="AC30" s="1266"/>
      <c r="AD30" s="1266"/>
    </row>
    <row r="31" spans="1:30">
      <c r="A31" s="726"/>
      <c r="B31" s="3699" t="s">
        <v>68</v>
      </c>
      <c r="C31" s="3700">
        <v>348000</v>
      </c>
      <c r="D31" s="3701">
        <v>450000</v>
      </c>
      <c r="E31" s="3701">
        <v>445000</v>
      </c>
      <c r="F31" s="3701">
        <v>432000</v>
      </c>
      <c r="G31" s="3702">
        <v>422000</v>
      </c>
      <c r="H31" s="3703">
        <v>386000</v>
      </c>
      <c r="I31" s="3701">
        <v>359000</v>
      </c>
      <c r="J31" s="3701">
        <v>333000</v>
      </c>
      <c r="K31" s="3701">
        <v>333000</v>
      </c>
      <c r="L31" s="3704">
        <v>333000</v>
      </c>
      <c r="M31" s="3705">
        <v>333000</v>
      </c>
      <c r="N31" s="3706">
        <v>333000</v>
      </c>
      <c r="O31" s="3706">
        <v>333000</v>
      </c>
      <c r="P31" s="3706">
        <v>333000</v>
      </c>
      <c r="Q31" s="3704">
        <v>333000</v>
      </c>
    </row>
    <row r="32" spans="1:30">
      <c r="A32" s="726"/>
      <c r="B32" s="3699" t="s">
        <v>69</v>
      </c>
      <c r="C32" s="3700">
        <v>120000</v>
      </c>
      <c r="D32" s="3701">
        <v>0</v>
      </c>
      <c r="E32" s="3701">
        <v>0</v>
      </c>
      <c r="F32" s="3701">
        <v>0</v>
      </c>
      <c r="G32" s="3702">
        <v>0</v>
      </c>
      <c r="H32" s="3703">
        <v>0</v>
      </c>
      <c r="I32" s="3701">
        <v>0</v>
      </c>
      <c r="J32" s="3701">
        <v>0</v>
      </c>
      <c r="K32" s="3701">
        <v>0</v>
      </c>
      <c r="L32" s="3704"/>
      <c r="M32" s="3705"/>
      <c r="N32" s="3706"/>
      <c r="O32" s="3706"/>
      <c r="P32" s="3706"/>
      <c r="Q32" s="3704"/>
    </row>
    <row r="33" spans="1:30">
      <c r="A33" s="726"/>
      <c r="B33" s="3714" t="s">
        <v>84</v>
      </c>
      <c r="C33" s="3707"/>
      <c r="D33" s="3708"/>
      <c r="E33" s="3708"/>
      <c r="F33" s="3708"/>
      <c r="G33" s="3709"/>
      <c r="H33" s="3710"/>
      <c r="I33" s="3708"/>
      <c r="J33" s="3708"/>
      <c r="K33" s="3708"/>
      <c r="L33" s="3711"/>
      <c r="M33" s="3712"/>
      <c r="N33" s="3713"/>
      <c r="O33" s="3713"/>
      <c r="P33" s="3713"/>
      <c r="Q33" s="3711"/>
    </row>
    <row r="34" spans="1:30" ht="13.5" thickBot="1">
      <c r="A34" s="726"/>
      <c r="B34" s="3715" t="s">
        <v>84</v>
      </c>
      <c r="C34" s="3707"/>
      <c r="D34" s="3708"/>
      <c r="E34" s="3708"/>
      <c r="F34" s="3708"/>
      <c r="G34" s="3709"/>
      <c r="H34" s="3710"/>
      <c r="I34" s="3708"/>
      <c r="J34" s="3708"/>
      <c r="K34" s="3708"/>
      <c r="L34" s="3711"/>
      <c r="M34" s="3712"/>
      <c r="N34" s="3713"/>
      <c r="O34" s="3713"/>
      <c r="P34" s="3713"/>
      <c r="Q34" s="3711"/>
    </row>
    <row r="35" spans="1:30" s="1503" customFormat="1">
      <c r="A35" s="726"/>
      <c r="B35" s="3693" t="s">
        <v>729</v>
      </c>
      <c r="C35" s="3697"/>
      <c r="D35" s="3698"/>
      <c r="E35" s="3698"/>
      <c r="F35" s="3698"/>
      <c r="G35" s="3716"/>
      <c r="H35" s="3697"/>
      <c r="I35" s="3698"/>
      <c r="J35" s="3698"/>
      <c r="K35" s="3698"/>
      <c r="L35" s="3696"/>
      <c r="M35" s="3694"/>
      <c r="N35" s="3695"/>
      <c r="O35" s="3695"/>
      <c r="P35" s="3695"/>
      <c r="Q35" s="3696"/>
      <c r="R35" s="1266"/>
      <c r="S35" s="1266"/>
      <c r="T35" s="1266"/>
      <c r="U35" s="1266"/>
      <c r="V35" s="1266"/>
      <c r="W35" s="1266"/>
      <c r="X35" s="1266"/>
      <c r="Y35" s="1266"/>
      <c r="Z35" s="1266"/>
      <c r="AA35" s="1266"/>
      <c r="AB35" s="1266"/>
      <c r="AC35" s="1266"/>
      <c r="AD35" s="1266"/>
    </row>
    <row r="36" spans="1:30">
      <c r="A36" s="726"/>
      <c r="B36" s="3699" t="s">
        <v>66</v>
      </c>
      <c r="C36" s="3700">
        <v>58000</v>
      </c>
      <c r="D36" s="3701">
        <v>58000</v>
      </c>
      <c r="E36" s="3701">
        <v>47000</v>
      </c>
      <c r="F36" s="3701">
        <v>47000</v>
      </c>
      <c r="G36" s="3702">
        <v>46000</v>
      </c>
      <c r="H36" s="3703">
        <v>36000</v>
      </c>
      <c r="I36" s="3701">
        <v>35000</v>
      </c>
      <c r="J36" s="3701">
        <v>35000</v>
      </c>
      <c r="K36" s="3701">
        <v>35000</v>
      </c>
      <c r="L36" s="3704">
        <v>35000</v>
      </c>
      <c r="M36" s="3705">
        <v>35000</v>
      </c>
      <c r="N36" s="3706">
        <v>35000</v>
      </c>
      <c r="O36" s="3706">
        <v>35000</v>
      </c>
      <c r="P36" s="3706">
        <v>35000</v>
      </c>
      <c r="Q36" s="3704">
        <v>35000</v>
      </c>
    </row>
    <row r="37" spans="1:30">
      <c r="A37" s="726"/>
      <c r="B37" s="3699" t="s">
        <v>67</v>
      </c>
      <c r="C37" s="3700">
        <v>0</v>
      </c>
      <c r="D37" s="3701">
        <v>0</v>
      </c>
      <c r="E37" s="3701">
        <v>0</v>
      </c>
      <c r="F37" s="3701">
        <v>0</v>
      </c>
      <c r="G37" s="3702">
        <v>0</v>
      </c>
      <c r="H37" s="3703">
        <v>0</v>
      </c>
      <c r="I37" s="3701">
        <v>0</v>
      </c>
      <c r="J37" s="3701">
        <v>0</v>
      </c>
      <c r="K37" s="3701">
        <v>0</v>
      </c>
      <c r="L37" s="3704">
        <v>0</v>
      </c>
      <c r="M37" s="3705">
        <v>0</v>
      </c>
      <c r="N37" s="3706">
        <v>0</v>
      </c>
      <c r="O37" s="3706">
        <v>0</v>
      </c>
      <c r="P37" s="3706">
        <v>0</v>
      </c>
      <c r="Q37" s="3704">
        <v>0</v>
      </c>
    </row>
    <row r="38" spans="1:30">
      <c r="A38" s="726"/>
      <c r="B38" s="3699" t="s">
        <v>85</v>
      </c>
      <c r="C38" s="3707"/>
      <c r="D38" s="3708"/>
      <c r="E38" s="3708"/>
      <c r="F38" s="3708"/>
      <c r="G38" s="3709" t="s">
        <v>1608</v>
      </c>
      <c r="H38" s="3710"/>
      <c r="I38" s="3708"/>
      <c r="J38" s="3708"/>
      <c r="K38" s="3708"/>
      <c r="L38" s="3711"/>
      <c r="M38" s="3712"/>
      <c r="N38" s="3713"/>
      <c r="O38" s="3713"/>
      <c r="P38" s="3713"/>
      <c r="Q38" s="3711"/>
    </row>
    <row r="39" spans="1:30">
      <c r="A39" s="726"/>
      <c r="B39" s="3699" t="s">
        <v>712</v>
      </c>
      <c r="C39" s="3707"/>
      <c r="D39" s="3708"/>
      <c r="E39" s="3708"/>
      <c r="F39" s="3708"/>
      <c r="G39" s="3709" t="s">
        <v>1609</v>
      </c>
      <c r="H39" s="3710"/>
      <c r="I39" s="3708"/>
      <c r="J39" s="3708"/>
      <c r="K39" s="3708"/>
      <c r="L39" s="3711"/>
      <c r="M39" s="3712"/>
      <c r="N39" s="3713"/>
      <c r="O39" s="3713"/>
      <c r="P39" s="3713"/>
      <c r="Q39" s="3711"/>
    </row>
    <row r="40" spans="1:30">
      <c r="A40" s="726"/>
      <c r="B40" s="3699" t="s">
        <v>713</v>
      </c>
      <c r="C40" s="3707"/>
      <c r="D40" s="3708"/>
      <c r="E40" s="3708"/>
      <c r="F40" s="3708"/>
      <c r="G40" s="3709" t="s">
        <v>1609</v>
      </c>
      <c r="H40" s="3710"/>
      <c r="I40" s="3708"/>
      <c r="J40" s="3708"/>
      <c r="K40" s="3708"/>
      <c r="L40" s="3711"/>
      <c r="M40" s="3712"/>
      <c r="N40" s="3713"/>
      <c r="O40" s="3713"/>
      <c r="P40" s="3713"/>
      <c r="Q40" s="3711"/>
    </row>
    <row r="41" spans="1:30">
      <c r="A41" s="726"/>
      <c r="B41" s="3699" t="s">
        <v>714</v>
      </c>
      <c r="C41" s="3700">
        <v>317000</v>
      </c>
      <c r="D41" s="3701">
        <v>310000</v>
      </c>
      <c r="E41" s="3701">
        <v>309000</v>
      </c>
      <c r="F41" s="3701">
        <v>304000</v>
      </c>
      <c r="G41" s="3702">
        <v>301000</v>
      </c>
      <c r="H41" s="3703">
        <v>286000</v>
      </c>
      <c r="I41" s="3701">
        <v>286000</v>
      </c>
      <c r="J41" s="3701">
        <v>287000</v>
      </c>
      <c r="K41" s="3701">
        <v>287000</v>
      </c>
      <c r="L41" s="3704">
        <v>287000</v>
      </c>
      <c r="M41" s="3705">
        <v>276796</v>
      </c>
      <c r="N41" s="3706">
        <v>271325</v>
      </c>
      <c r="O41" s="3706">
        <v>271325</v>
      </c>
      <c r="P41" s="3706">
        <v>248976</v>
      </c>
      <c r="Q41" s="3704">
        <v>231317</v>
      </c>
    </row>
    <row r="42" spans="1:30" s="1959" customFormat="1">
      <c r="A42" s="726"/>
      <c r="B42" s="3699" t="s">
        <v>68</v>
      </c>
      <c r="C42" s="3700">
        <v>0</v>
      </c>
      <c r="D42" s="3701">
        <v>0</v>
      </c>
      <c r="E42" s="3701">
        <v>0</v>
      </c>
      <c r="F42" s="3701">
        <v>0</v>
      </c>
      <c r="G42" s="3702">
        <v>0</v>
      </c>
      <c r="H42" s="3703">
        <v>0</v>
      </c>
      <c r="I42" s="3701">
        <v>0</v>
      </c>
      <c r="J42" s="3701">
        <v>0</v>
      </c>
      <c r="K42" s="3701">
        <v>0</v>
      </c>
      <c r="L42" s="3704"/>
      <c r="M42" s="3705"/>
      <c r="N42" s="3706"/>
      <c r="O42" s="3706"/>
      <c r="P42" s="3706"/>
      <c r="Q42" s="3704"/>
      <c r="R42" s="1266"/>
      <c r="S42" s="1266"/>
      <c r="T42" s="1266"/>
      <c r="U42" s="1266"/>
      <c r="V42" s="1266"/>
      <c r="W42" s="1266"/>
      <c r="X42" s="1266"/>
      <c r="Y42" s="1266"/>
      <c r="Z42" s="1266"/>
      <c r="AA42" s="1266"/>
      <c r="AB42" s="1266"/>
      <c r="AC42" s="1266"/>
      <c r="AD42" s="1266"/>
    </row>
    <row r="43" spans="1:30" s="1959" customFormat="1">
      <c r="A43" s="726"/>
      <c r="B43" s="3699" t="s">
        <v>69</v>
      </c>
      <c r="C43" s="3700">
        <v>644000</v>
      </c>
      <c r="D43" s="3701">
        <v>634000</v>
      </c>
      <c r="E43" s="3701">
        <v>621000</v>
      </c>
      <c r="F43" s="3701">
        <v>605000</v>
      </c>
      <c r="G43" s="3702">
        <v>593000</v>
      </c>
      <c r="H43" s="3703">
        <v>574000</v>
      </c>
      <c r="I43" s="3701">
        <v>574000</v>
      </c>
      <c r="J43" s="3701">
        <v>574000</v>
      </c>
      <c r="K43" s="3701">
        <v>574000</v>
      </c>
      <c r="L43" s="3704">
        <v>574000</v>
      </c>
      <c r="M43" s="3705">
        <v>574000</v>
      </c>
      <c r="N43" s="3706">
        <v>574000</v>
      </c>
      <c r="O43" s="3706">
        <v>574000</v>
      </c>
      <c r="P43" s="3706">
        <v>574000</v>
      </c>
      <c r="Q43" s="3704">
        <v>574000</v>
      </c>
      <c r="R43" s="1266"/>
      <c r="S43" s="1266"/>
      <c r="T43" s="1266"/>
      <c r="U43" s="1266"/>
      <c r="V43" s="1266"/>
      <c r="W43" s="1266"/>
      <c r="X43" s="1266"/>
      <c r="Y43" s="1266"/>
      <c r="Z43" s="1266"/>
      <c r="AA43" s="1266"/>
      <c r="AB43" s="1266"/>
      <c r="AC43" s="1266"/>
      <c r="AD43" s="1266"/>
    </row>
    <row r="44" spans="1:30">
      <c r="A44" s="726"/>
      <c r="B44" s="3714" t="s">
        <v>84</v>
      </c>
      <c r="C44" s="3707"/>
      <c r="D44" s="3708"/>
      <c r="E44" s="3708"/>
      <c r="F44" s="3708"/>
      <c r="G44" s="3709"/>
      <c r="H44" s="3710"/>
      <c r="I44" s="3708"/>
      <c r="J44" s="3708"/>
      <c r="K44" s="3708"/>
      <c r="L44" s="3711"/>
      <c r="M44" s="3712"/>
      <c r="N44" s="3713"/>
      <c r="O44" s="3713"/>
      <c r="P44" s="3713"/>
      <c r="Q44" s="3711"/>
    </row>
    <row r="45" spans="1:30" ht="13.5" thickBot="1">
      <c r="A45" s="726"/>
      <c r="B45" s="3715" t="s">
        <v>84</v>
      </c>
      <c r="C45" s="3707"/>
      <c r="D45" s="3708"/>
      <c r="E45" s="3708"/>
      <c r="F45" s="3708"/>
      <c r="G45" s="3709"/>
      <c r="H45" s="3710"/>
      <c r="I45" s="3708"/>
      <c r="J45" s="3708"/>
      <c r="K45" s="3708"/>
      <c r="L45" s="3711"/>
      <c r="M45" s="3712"/>
      <c r="N45" s="3713"/>
      <c r="O45" s="3713"/>
      <c r="P45" s="3713"/>
      <c r="Q45" s="3711"/>
    </row>
    <row r="46" spans="1:30" s="1503" customFormat="1">
      <c r="A46" s="726"/>
      <c r="B46" s="3693" t="s">
        <v>666</v>
      </c>
      <c r="C46" s="3697"/>
      <c r="D46" s="3698"/>
      <c r="E46" s="3698"/>
      <c r="F46" s="3698"/>
      <c r="G46" s="3716"/>
      <c r="H46" s="3697"/>
      <c r="I46" s="3698"/>
      <c r="J46" s="3698"/>
      <c r="K46" s="3698"/>
      <c r="L46" s="3696"/>
      <c r="M46" s="3694"/>
      <c r="N46" s="3695"/>
      <c r="O46" s="3695"/>
      <c r="P46" s="3695"/>
      <c r="Q46" s="3696"/>
      <c r="R46" s="1266"/>
      <c r="S46" s="1266"/>
      <c r="T46" s="1266"/>
      <c r="U46" s="1266"/>
      <c r="V46" s="1266"/>
      <c r="W46" s="1266"/>
      <c r="X46" s="1266"/>
      <c r="Y46" s="1266"/>
      <c r="Z46" s="1266"/>
      <c r="AA46" s="1266"/>
      <c r="AB46" s="1266"/>
      <c r="AC46" s="1266"/>
      <c r="AD46" s="1266"/>
    </row>
    <row r="47" spans="1:30">
      <c r="A47" s="726"/>
      <c r="B47" s="3699" t="s">
        <v>66</v>
      </c>
      <c r="C47" s="3700">
        <v>0</v>
      </c>
      <c r="D47" s="3701">
        <v>0</v>
      </c>
      <c r="E47" s="3701">
        <v>0</v>
      </c>
      <c r="F47" s="3701">
        <v>0</v>
      </c>
      <c r="G47" s="3702">
        <v>0</v>
      </c>
      <c r="H47" s="3703">
        <v>0</v>
      </c>
      <c r="I47" s="3701">
        <v>0</v>
      </c>
      <c r="J47" s="3701">
        <v>0</v>
      </c>
      <c r="K47" s="3701">
        <v>0</v>
      </c>
      <c r="L47" s="3704">
        <v>0</v>
      </c>
      <c r="M47" s="3705">
        <v>0</v>
      </c>
      <c r="N47" s="3706">
        <v>0</v>
      </c>
      <c r="O47" s="3706">
        <v>0</v>
      </c>
      <c r="P47" s="3706">
        <v>0</v>
      </c>
      <c r="Q47" s="3704">
        <v>0</v>
      </c>
    </row>
    <row r="48" spans="1:30">
      <c r="A48" s="726"/>
      <c r="B48" s="3699" t="s">
        <v>67</v>
      </c>
      <c r="C48" s="3700">
        <v>0</v>
      </c>
      <c r="D48" s="3701">
        <v>0</v>
      </c>
      <c r="E48" s="3701">
        <v>0</v>
      </c>
      <c r="F48" s="3701">
        <v>0</v>
      </c>
      <c r="G48" s="3702">
        <v>0</v>
      </c>
      <c r="H48" s="3703">
        <v>0</v>
      </c>
      <c r="I48" s="3701">
        <v>0</v>
      </c>
      <c r="J48" s="3701">
        <v>0</v>
      </c>
      <c r="K48" s="3701">
        <v>0</v>
      </c>
      <c r="L48" s="3704">
        <v>0</v>
      </c>
      <c r="M48" s="3705">
        <v>0</v>
      </c>
      <c r="N48" s="3706">
        <v>0</v>
      </c>
      <c r="O48" s="3706">
        <v>0</v>
      </c>
      <c r="P48" s="3706">
        <v>0</v>
      </c>
      <c r="Q48" s="3704">
        <v>0</v>
      </c>
    </row>
    <row r="49" spans="1:30">
      <c r="A49" s="726"/>
      <c r="B49" s="3699" t="s">
        <v>85</v>
      </c>
      <c r="C49" s="3707"/>
      <c r="D49" s="3708"/>
      <c r="E49" s="3708"/>
      <c r="F49" s="3708"/>
      <c r="G49" s="3709" t="s">
        <v>1608</v>
      </c>
      <c r="H49" s="3710"/>
      <c r="I49" s="3708"/>
      <c r="J49" s="3708"/>
      <c r="K49" s="3708"/>
      <c r="L49" s="3711"/>
      <c r="M49" s="3712"/>
      <c r="N49" s="3713"/>
      <c r="O49" s="3713"/>
      <c r="P49" s="3713"/>
      <c r="Q49" s="3711"/>
    </row>
    <row r="50" spans="1:30">
      <c r="A50" s="726"/>
      <c r="B50" s="3699" t="s">
        <v>712</v>
      </c>
      <c r="C50" s="3707"/>
      <c r="D50" s="3708"/>
      <c r="E50" s="3708"/>
      <c r="F50" s="3708"/>
      <c r="G50" s="3709" t="s">
        <v>1609</v>
      </c>
      <c r="H50" s="3710"/>
      <c r="I50" s="3708"/>
      <c r="J50" s="3708"/>
      <c r="K50" s="3708"/>
      <c r="L50" s="3711"/>
      <c r="M50" s="3712"/>
      <c r="N50" s="3713"/>
      <c r="O50" s="3713"/>
      <c r="P50" s="3713"/>
      <c r="Q50" s="3711"/>
    </row>
    <row r="51" spans="1:30">
      <c r="A51" s="726"/>
      <c r="B51" s="3699" t="s">
        <v>713</v>
      </c>
      <c r="C51" s="3707"/>
      <c r="D51" s="3708"/>
      <c r="E51" s="3708"/>
      <c r="F51" s="3708"/>
      <c r="G51" s="3709" t="s">
        <v>1609</v>
      </c>
      <c r="H51" s="3710"/>
      <c r="I51" s="3708"/>
      <c r="J51" s="3708"/>
      <c r="K51" s="3708"/>
      <c r="L51" s="3711"/>
      <c r="M51" s="3712"/>
      <c r="N51" s="3713"/>
      <c r="O51" s="3713"/>
      <c r="P51" s="3713"/>
      <c r="Q51" s="3711"/>
    </row>
    <row r="52" spans="1:30">
      <c r="A52" s="726"/>
      <c r="B52" s="3699" t="s">
        <v>714</v>
      </c>
      <c r="C52" s="3700">
        <v>3320000</v>
      </c>
      <c r="D52" s="3701">
        <v>3490000</v>
      </c>
      <c r="E52" s="3701">
        <v>3556000</v>
      </c>
      <c r="F52" s="3701">
        <v>3595000</v>
      </c>
      <c r="G52" s="3702">
        <v>3670000</v>
      </c>
      <c r="H52" s="3703">
        <v>3865000</v>
      </c>
      <c r="I52" s="3701">
        <v>3989000</v>
      </c>
      <c r="J52" s="3701">
        <v>4099000</v>
      </c>
      <c r="K52" s="3701">
        <v>4219000</v>
      </c>
      <c r="L52" s="3704">
        <v>4346993</v>
      </c>
      <c r="M52" s="3705">
        <v>4483632</v>
      </c>
      <c r="N52" s="3706">
        <v>4616805</v>
      </c>
      <c r="O52" s="3706">
        <v>4744629</v>
      </c>
      <c r="P52" s="3706">
        <v>4902341</v>
      </c>
      <c r="Q52" s="3704">
        <v>5027381</v>
      </c>
    </row>
    <row r="53" spans="1:30" s="1959" customFormat="1">
      <c r="A53" s="726"/>
      <c r="B53" s="3699" t="s">
        <v>68</v>
      </c>
      <c r="C53" s="3700">
        <v>0</v>
      </c>
      <c r="D53" s="3701">
        <v>0</v>
      </c>
      <c r="E53" s="3701">
        <v>0</v>
      </c>
      <c r="F53" s="3701">
        <v>0</v>
      </c>
      <c r="G53" s="3702">
        <v>0</v>
      </c>
      <c r="H53" s="3703">
        <v>0</v>
      </c>
      <c r="I53" s="3701">
        <v>0</v>
      </c>
      <c r="J53" s="3701">
        <v>0</v>
      </c>
      <c r="K53" s="3701">
        <v>0</v>
      </c>
      <c r="L53" s="3704"/>
      <c r="M53" s="3705"/>
      <c r="N53" s="3706"/>
      <c r="O53" s="3706"/>
      <c r="P53" s="3706"/>
      <c r="Q53" s="3704"/>
      <c r="R53" s="1266"/>
      <c r="S53" s="1266"/>
      <c r="T53" s="1266"/>
      <c r="U53" s="1266"/>
      <c r="V53" s="1266"/>
      <c r="W53" s="1266"/>
      <c r="X53" s="1266"/>
      <c r="Y53" s="1266"/>
      <c r="Z53" s="1266"/>
      <c r="AA53" s="1266"/>
      <c r="AB53" s="1266"/>
      <c r="AC53" s="1266"/>
      <c r="AD53" s="1266"/>
    </row>
    <row r="54" spans="1:30" s="1959" customFormat="1">
      <c r="A54" s="726"/>
      <c r="B54" s="3699" t="s">
        <v>69</v>
      </c>
      <c r="C54" s="3700">
        <v>2669000</v>
      </c>
      <c r="D54" s="3701">
        <v>2608000</v>
      </c>
      <c r="E54" s="3701">
        <v>2611000</v>
      </c>
      <c r="F54" s="3701">
        <v>2700000</v>
      </c>
      <c r="G54" s="3702">
        <v>2707000</v>
      </c>
      <c r="H54" s="3703">
        <v>2725000</v>
      </c>
      <c r="I54" s="3701">
        <v>2726000</v>
      </c>
      <c r="J54" s="3701">
        <v>2727000</v>
      </c>
      <c r="K54" s="3701">
        <v>2727000</v>
      </c>
      <c r="L54" s="3704">
        <v>2727000</v>
      </c>
      <c r="M54" s="3705">
        <v>2727000</v>
      </c>
      <c r="N54" s="3706">
        <v>2727000</v>
      </c>
      <c r="O54" s="3706">
        <v>2727000</v>
      </c>
      <c r="P54" s="3706">
        <v>2727000</v>
      </c>
      <c r="Q54" s="3704">
        <v>2727000</v>
      </c>
      <c r="R54" s="1266"/>
      <c r="S54" s="1266"/>
      <c r="T54" s="1266"/>
      <c r="U54" s="1266"/>
      <c r="V54" s="1266"/>
      <c r="W54" s="1266"/>
      <c r="X54" s="1266"/>
      <c r="Y54" s="1266"/>
      <c r="Z54" s="1266"/>
      <c r="AA54" s="1266"/>
      <c r="AB54" s="1266"/>
      <c r="AC54" s="1266"/>
      <c r="AD54" s="1266"/>
    </row>
    <row r="55" spans="1:30">
      <c r="A55" s="726"/>
      <c r="B55" s="3714" t="s">
        <v>84</v>
      </c>
      <c r="C55" s="3707"/>
      <c r="D55" s="3708"/>
      <c r="E55" s="3708"/>
      <c r="F55" s="3708"/>
      <c r="G55" s="3709"/>
      <c r="H55" s="3710"/>
      <c r="I55" s="3708"/>
      <c r="J55" s="3708"/>
      <c r="K55" s="3708"/>
      <c r="L55" s="3711"/>
      <c r="M55" s="3712"/>
      <c r="N55" s="3713"/>
      <c r="O55" s="3713"/>
      <c r="P55" s="3713"/>
      <c r="Q55" s="3711"/>
    </row>
    <row r="56" spans="1:30" ht="13.5" thickBot="1">
      <c r="A56" s="726"/>
      <c r="B56" s="3715" t="s">
        <v>84</v>
      </c>
      <c r="C56" s="3707"/>
      <c r="D56" s="3708"/>
      <c r="E56" s="3708"/>
      <c r="F56" s="3708"/>
      <c r="G56" s="3709"/>
      <c r="H56" s="3710"/>
      <c r="I56" s="3708"/>
      <c r="J56" s="3708"/>
      <c r="K56" s="3708"/>
      <c r="L56" s="3711"/>
      <c r="M56" s="3712"/>
      <c r="N56" s="3713"/>
      <c r="O56" s="3713"/>
      <c r="P56" s="3713"/>
      <c r="Q56" s="3711"/>
    </row>
    <row r="57" spans="1:30" s="1503" customFormat="1">
      <c r="A57" s="726"/>
      <c r="B57" s="3693" t="s">
        <v>667</v>
      </c>
      <c r="C57" s="3697"/>
      <c r="D57" s="3698"/>
      <c r="E57" s="3698"/>
      <c r="F57" s="3698"/>
      <c r="G57" s="3716"/>
      <c r="H57" s="3697"/>
      <c r="I57" s="3698"/>
      <c r="J57" s="3698"/>
      <c r="K57" s="3698"/>
      <c r="L57" s="3696"/>
      <c r="M57" s="3694"/>
      <c r="N57" s="3695"/>
      <c r="O57" s="3695"/>
      <c r="P57" s="3695"/>
      <c r="Q57" s="3696"/>
      <c r="R57" s="1266"/>
      <c r="S57" s="1266"/>
      <c r="T57" s="1266"/>
      <c r="U57" s="1266"/>
      <c r="V57" s="1266"/>
      <c r="W57" s="1266"/>
      <c r="X57" s="1266"/>
      <c r="Y57" s="1266"/>
      <c r="Z57" s="1266"/>
      <c r="AA57" s="1266"/>
      <c r="AB57" s="1266"/>
      <c r="AC57" s="1266"/>
      <c r="AD57" s="1266"/>
    </row>
    <row r="58" spans="1:30">
      <c r="A58" s="726"/>
      <c r="B58" s="3699" t="s">
        <v>69</v>
      </c>
      <c r="C58" s="3700">
        <v>157000</v>
      </c>
      <c r="D58" s="3701">
        <v>157000</v>
      </c>
      <c r="E58" s="3701">
        <v>157000</v>
      </c>
      <c r="F58" s="3701">
        <v>157000</v>
      </c>
      <c r="G58" s="3702">
        <v>157000</v>
      </c>
      <c r="H58" s="3703">
        <v>167000</v>
      </c>
      <c r="I58" s="3701">
        <v>167000</v>
      </c>
      <c r="J58" s="3701">
        <v>167000</v>
      </c>
      <c r="K58" s="3701">
        <v>167000</v>
      </c>
      <c r="L58" s="3704">
        <v>167000</v>
      </c>
      <c r="M58" s="3705">
        <v>167000</v>
      </c>
      <c r="N58" s="3706">
        <v>167000</v>
      </c>
      <c r="O58" s="3706">
        <v>167000</v>
      </c>
      <c r="P58" s="3706">
        <v>167000</v>
      </c>
      <c r="Q58" s="3704">
        <v>167000</v>
      </c>
    </row>
    <row r="59" spans="1:30">
      <c r="A59" s="726"/>
      <c r="B59" s="3714" t="s">
        <v>84</v>
      </c>
      <c r="C59" s="3717"/>
      <c r="D59" s="3718"/>
      <c r="E59" s="3718"/>
      <c r="F59" s="3718"/>
      <c r="G59" s="3719"/>
      <c r="H59" s="3720"/>
      <c r="I59" s="3721"/>
      <c r="J59" s="3721"/>
      <c r="K59" s="3721"/>
      <c r="L59" s="3722"/>
      <c r="M59" s="3723"/>
      <c r="N59" s="3721"/>
      <c r="O59" s="3721"/>
      <c r="P59" s="3721"/>
      <c r="Q59" s="3721"/>
    </row>
    <row r="60" spans="1:30">
      <c r="A60" s="726"/>
      <c r="B60" s="3714" t="s">
        <v>84</v>
      </c>
      <c r="C60" s="3717"/>
      <c r="D60" s="3718"/>
      <c r="E60" s="3718"/>
      <c r="F60" s="3718"/>
      <c r="G60" s="3719"/>
      <c r="H60" s="3720"/>
      <c r="I60" s="3721"/>
      <c r="J60" s="3721"/>
      <c r="K60" s="3721"/>
      <c r="L60" s="3722"/>
      <c r="M60" s="3723"/>
      <c r="N60" s="3721"/>
      <c r="O60" s="3721"/>
      <c r="P60" s="3721"/>
      <c r="Q60" s="3721"/>
    </row>
    <row r="61" spans="1:30">
      <c r="A61" s="726"/>
      <c r="B61" s="3714" t="s">
        <v>84</v>
      </c>
      <c r="C61" s="3717"/>
      <c r="D61" s="3718"/>
      <c r="E61" s="3718"/>
      <c r="F61" s="3718"/>
      <c r="G61" s="3719"/>
      <c r="H61" s="3720"/>
      <c r="I61" s="3721"/>
      <c r="J61" s="3721"/>
      <c r="K61" s="3721"/>
      <c r="L61" s="3722"/>
      <c r="M61" s="3723"/>
      <c r="N61" s="3721"/>
      <c r="O61" s="3721"/>
      <c r="P61" s="3721"/>
      <c r="Q61" s="3721"/>
    </row>
    <row r="62" spans="1:30">
      <c r="A62" s="726"/>
      <c r="B62" s="3714" t="s">
        <v>84</v>
      </c>
      <c r="C62" s="3717"/>
      <c r="D62" s="3718"/>
      <c r="E62" s="3718"/>
      <c r="F62" s="3718"/>
      <c r="G62" s="3719"/>
      <c r="H62" s="3720"/>
      <c r="I62" s="3721"/>
      <c r="J62" s="3721"/>
      <c r="K62" s="3721"/>
      <c r="L62" s="3722"/>
      <c r="M62" s="3723"/>
      <c r="N62" s="3721"/>
      <c r="O62" s="3721"/>
      <c r="P62" s="3721"/>
      <c r="Q62" s="3721"/>
    </row>
    <row r="63" spans="1:30">
      <c r="A63" s="726"/>
      <c r="B63" s="3714" t="s">
        <v>84</v>
      </c>
      <c r="C63" s="3717"/>
      <c r="D63" s="3718"/>
      <c r="E63" s="3718"/>
      <c r="F63" s="3718"/>
      <c r="G63" s="3719"/>
      <c r="H63" s="3720"/>
      <c r="I63" s="3721"/>
      <c r="J63" s="3721"/>
      <c r="K63" s="3721"/>
      <c r="L63" s="3722"/>
      <c r="M63" s="3723"/>
      <c r="N63" s="3721"/>
      <c r="O63" s="3721"/>
      <c r="P63" s="3721"/>
      <c r="Q63" s="3721"/>
    </row>
    <row r="64" spans="1:30" ht="19.5" customHeight="1" thickBot="1">
      <c r="A64" s="726"/>
      <c r="B64" s="3724" t="s">
        <v>23</v>
      </c>
      <c r="C64" s="3725">
        <f t="shared" ref="C64:Q64" si="0">SUM(C25:C63)</f>
        <v>9848000</v>
      </c>
      <c r="D64" s="3726">
        <f t="shared" si="0"/>
        <v>9862000</v>
      </c>
      <c r="E64" s="3726">
        <f t="shared" si="0"/>
        <v>9885000</v>
      </c>
      <c r="F64" s="3726">
        <f t="shared" si="0"/>
        <v>9968000</v>
      </c>
      <c r="G64" s="3727">
        <f t="shared" si="0"/>
        <v>10004000</v>
      </c>
      <c r="H64" s="3728">
        <f t="shared" si="0"/>
        <v>10073000</v>
      </c>
      <c r="I64" s="3729">
        <f t="shared" si="0"/>
        <v>10084000</v>
      </c>
      <c r="J64" s="3729">
        <f t="shared" si="0"/>
        <v>10117000</v>
      </c>
      <c r="K64" s="3726">
        <f t="shared" si="0"/>
        <v>10165000</v>
      </c>
      <c r="L64" s="3727">
        <f t="shared" si="0"/>
        <v>10165000</v>
      </c>
      <c r="M64" s="3725">
        <f t="shared" si="0"/>
        <v>10165000</v>
      </c>
      <c r="N64" s="3726">
        <f t="shared" si="0"/>
        <v>10165000</v>
      </c>
      <c r="O64" s="3726">
        <f t="shared" si="0"/>
        <v>10165000</v>
      </c>
      <c r="P64" s="3726">
        <f t="shared" si="0"/>
        <v>10165000</v>
      </c>
      <c r="Q64" s="3727">
        <f t="shared" si="0"/>
        <v>10165000</v>
      </c>
    </row>
    <row r="65" spans="1:30" s="965" customFormat="1" ht="28.5" customHeight="1" thickBot="1">
      <c r="A65" s="964"/>
      <c r="B65" s="3730" t="s">
        <v>127</v>
      </c>
      <c r="C65" s="3223"/>
      <c r="D65" s="3224"/>
      <c r="E65" s="3224"/>
      <c r="F65" s="3224"/>
      <c r="G65" s="3224"/>
      <c r="H65" s="3731"/>
      <c r="I65" s="3731"/>
      <c r="J65" s="3731"/>
      <c r="K65" s="3224"/>
      <c r="L65" s="3224"/>
      <c r="M65" s="3224"/>
      <c r="N65" s="3224"/>
      <c r="O65" s="3224"/>
      <c r="P65" s="3224"/>
      <c r="Q65" s="3552"/>
      <c r="R65"/>
      <c r="S65"/>
      <c r="T65"/>
      <c r="U65"/>
      <c r="V65"/>
      <c r="W65"/>
      <c r="X65"/>
      <c r="Y65"/>
      <c r="Z65"/>
      <c r="AA65"/>
      <c r="AB65"/>
      <c r="AC65"/>
      <c r="AD65"/>
    </row>
    <row r="66" spans="1:30" s="965" customFormat="1" ht="28.5" customHeight="1">
      <c r="A66" s="964"/>
      <c r="B66" s="3732"/>
      <c r="C66" s="3732"/>
      <c r="D66" s="3732"/>
      <c r="E66" s="3732"/>
      <c r="F66" s="3732"/>
      <c r="G66" s="3732"/>
      <c r="H66" s="3733"/>
      <c r="I66" s="3733"/>
      <c r="J66" s="3733"/>
      <c r="K66" s="3732"/>
      <c r="L66" s="3732"/>
      <c r="M66" s="3732"/>
      <c r="N66" s="3732"/>
      <c r="O66" s="3732"/>
      <c r="P66" s="3732"/>
      <c r="Q66" s="3732"/>
      <c r="R66" s="1266"/>
      <c r="S66" s="1266"/>
      <c r="T66" s="1266"/>
      <c r="U66" s="1266"/>
      <c r="V66" s="1266"/>
      <c r="W66" s="1266"/>
      <c r="X66" s="1266"/>
      <c r="Y66" s="1266"/>
      <c r="Z66" s="1266"/>
      <c r="AA66" s="1266"/>
      <c r="AB66" s="1266"/>
      <c r="AC66" s="1266"/>
      <c r="AD66" s="1266"/>
    </row>
    <row r="67" spans="1:30" s="965" customFormat="1" ht="28.5" customHeight="1" thickBot="1">
      <c r="A67" s="964"/>
      <c r="B67" s="3732"/>
      <c r="C67" s="3732"/>
      <c r="D67" s="3732"/>
      <c r="E67" s="3732"/>
      <c r="F67" s="3732"/>
      <c r="G67" s="3732"/>
      <c r="H67" s="3733"/>
      <c r="I67" s="3733"/>
      <c r="J67" s="3733"/>
      <c r="K67" s="3732"/>
      <c r="L67" s="3732"/>
      <c r="M67" s="3732"/>
      <c r="N67" s="3732"/>
      <c r="O67" s="3732"/>
      <c r="P67" s="3732"/>
      <c r="Q67" s="3732"/>
      <c r="R67" s="1266"/>
      <c r="S67" s="1266"/>
      <c r="T67" s="1266"/>
      <c r="U67" s="1266"/>
      <c r="V67" s="1266"/>
      <c r="W67" s="1266"/>
      <c r="X67" s="1266"/>
      <c r="Y67" s="1266"/>
      <c r="Z67" s="1266"/>
      <c r="AA67" s="1266"/>
      <c r="AB67" s="1266"/>
      <c r="AC67" s="1266"/>
      <c r="AD67" s="1266"/>
    </row>
    <row r="68" spans="1:30" s="1266" customFormat="1" ht="34.5" customHeight="1" thickBot="1">
      <c r="A68" s="1268"/>
      <c r="B68" s="3546" t="s">
        <v>398</v>
      </c>
      <c r="C68" s="3547"/>
      <c r="D68" s="3547"/>
      <c r="E68" s="3547"/>
      <c r="F68" s="3547"/>
      <c r="G68" s="3547"/>
      <c r="H68" s="3687"/>
      <c r="I68" s="3688"/>
      <c r="J68" s="3688"/>
      <c r="K68" s="3547"/>
      <c r="L68" s="3547"/>
      <c r="M68" s="3547"/>
      <c r="N68" s="3547"/>
      <c r="O68" s="3547"/>
      <c r="P68" s="3547"/>
      <c r="Q68" s="3548"/>
    </row>
    <row r="69" spans="1:30" s="881" customFormat="1" ht="16.5" customHeight="1">
      <c r="A69" s="880"/>
      <c r="B69" s="4778"/>
      <c r="C69" s="4763" t="s">
        <v>36</v>
      </c>
      <c r="D69" s="4764"/>
      <c r="E69" s="4764"/>
      <c r="F69" s="4764"/>
      <c r="G69" s="4764"/>
      <c r="H69" s="4765" t="s">
        <v>37</v>
      </c>
      <c r="I69" s="4766"/>
      <c r="J69" s="4766"/>
      <c r="K69" s="4766"/>
      <c r="L69" s="4766"/>
      <c r="M69" s="4767" t="s">
        <v>75</v>
      </c>
      <c r="N69" s="4767"/>
      <c r="O69" s="4767"/>
      <c r="P69" s="4767"/>
      <c r="Q69" s="4768"/>
      <c r="R69"/>
      <c r="S69"/>
      <c r="T69"/>
      <c r="U69"/>
      <c r="V69"/>
      <c r="W69"/>
      <c r="X69"/>
      <c r="Y69"/>
      <c r="Z69"/>
      <c r="AA69"/>
      <c r="AB69"/>
      <c r="AC69"/>
      <c r="AD69"/>
    </row>
    <row r="70" spans="1:30" s="883" customFormat="1" ht="15" customHeight="1">
      <c r="A70" s="880"/>
      <c r="B70" s="4911"/>
      <c r="C70" s="4913" t="s">
        <v>357</v>
      </c>
      <c r="D70" s="4914"/>
      <c r="E70" s="4914"/>
      <c r="F70" s="4914"/>
      <c r="G70" s="4914"/>
      <c r="H70" s="4914"/>
      <c r="I70" s="4914"/>
      <c r="J70" s="4914"/>
      <c r="K70" s="4914"/>
      <c r="L70" s="4914"/>
      <c r="M70" s="4914"/>
      <c r="N70" s="4914"/>
      <c r="O70" s="4914"/>
      <c r="P70" s="4914"/>
      <c r="Q70" s="4915"/>
      <c r="R70"/>
      <c r="S70"/>
      <c r="T70"/>
      <c r="U70"/>
      <c r="V70"/>
      <c r="W70"/>
      <c r="X70"/>
      <c r="Y70"/>
      <c r="Z70"/>
      <c r="AA70"/>
      <c r="AB70"/>
      <c r="AC70"/>
      <c r="AD70"/>
    </row>
    <row r="71" spans="1:30" s="881" customFormat="1" ht="16.5" customHeight="1">
      <c r="A71" s="880"/>
      <c r="B71" s="4911"/>
      <c r="C71" s="4769" t="s">
        <v>56</v>
      </c>
      <c r="D71" s="4770"/>
      <c r="E71" s="4770"/>
      <c r="F71" s="4770"/>
      <c r="G71" s="4770"/>
      <c r="H71" s="4770"/>
      <c r="I71" s="4770"/>
      <c r="J71" s="4912"/>
      <c r="K71" s="4772" t="s">
        <v>57</v>
      </c>
      <c r="L71" s="4773"/>
      <c r="M71" s="4773"/>
      <c r="N71" s="4773"/>
      <c r="O71" s="4773"/>
      <c r="P71" s="4773"/>
      <c r="Q71" s="4774"/>
      <c r="R71"/>
      <c r="S71"/>
      <c r="T71"/>
      <c r="U71"/>
      <c r="V71"/>
      <c r="W71"/>
      <c r="X71"/>
      <c r="Y71"/>
      <c r="Z71"/>
      <c r="AA71"/>
      <c r="AB71"/>
      <c r="AC71"/>
      <c r="AD71"/>
    </row>
    <row r="72" spans="1:30" s="883" customFormat="1" ht="12.75" customHeight="1" thickBot="1">
      <c r="A72" s="882"/>
      <c r="B72" s="4911"/>
      <c r="C72" s="3659">
        <f t="array" ref="C72:G72">PRCP</f>
        <v>2008</v>
      </c>
      <c r="D72" s="3660">
        <v>2009</v>
      </c>
      <c r="E72" s="3660">
        <v>2010</v>
      </c>
      <c r="F72" s="3660">
        <v>2011</v>
      </c>
      <c r="G72" s="3660">
        <v>2012</v>
      </c>
      <c r="H72" s="3661">
        <f>CRCP_y1</f>
        <v>2013</v>
      </c>
      <c r="I72" s="3661">
        <f>CRCP_y2</f>
        <v>2014</v>
      </c>
      <c r="J72" s="3661">
        <f>CRCP_y3</f>
        <v>2015</v>
      </c>
      <c r="K72" s="3661">
        <f>CRCP_y4</f>
        <v>2016</v>
      </c>
      <c r="L72" s="3661">
        <f>CRCP_y5</f>
        <v>2017</v>
      </c>
      <c r="M72" s="3660" t="str">
        <f t="array" ref="M72:Q72">FRCP</f>
        <v>2018</v>
      </c>
      <c r="N72" s="3660">
        <v>2019</v>
      </c>
      <c r="O72" s="3660">
        <v>2020</v>
      </c>
      <c r="P72" s="3660">
        <v>2021</v>
      </c>
      <c r="Q72" s="3662">
        <v>2022</v>
      </c>
      <c r="R72"/>
      <c r="S72"/>
      <c r="T72"/>
      <c r="U72"/>
      <c r="V72"/>
      <c r="W72"/>
      <c r="X72"/>
      <c r="Y72"/>
      <c r="Z72"/>
      <c r="AA72"/>
      <c r="AB72"/>
      <c r="AC72"/>
      <c r="AD72"/>
    </row>
    <row r="73" spans="1:30">
      <c r="A73" s="726"/>
      <c r="B73" s="3734" t="s">
        <v>18</v>
      </c>
      <c r="C73" s="3735">
        <v>5</v>
      </c>
      <c r="D73" s="3736">
        <v>5</v>
      </c>
      <c r="E73" s="3736">
        <v>5</v>
      </c>
      <c r="F73" s="3736">
        <v>5</v>
      </c>
      <c r="G73" s="3737">
        <v>6</v>
      </c>
      <c r="H73" s="3738">
        <v>6</v>
      </c>
      <c r="I73" s="3736">
        <v>7</v>
      </c>
      <c r="J73" s="3736">
        <v>7</v>
      </c>
      <c r="K73" s="3736">
        <v>7</v>
      </c>
      <c r="L73" s="3739"/>
      <c r="M73" s="3740"/>
      <c r="N73" s="3741"/>
      <c r="O73" s="3741"/>
      <c r="P73" s="3741"/>
      <c r="Q73" s="3742"/>
    </row>
    <row r="74" spans="1:30">
      <c r="A74" s="726"/>
      <c r="B74" s="3743" t="s">
        <v>21</v>
      </c>
      <c r="C74" s="3700">
        <v>124</v>
      </c>
      <c r="D74" s="3701">
        <v>124</v>
      </c>
      <c r="E74" s="3701">
        <v>121</v>
      </c>
      <c r="F74" s="3701">
        <v>120</v>
      </c>
      <c r="G74" s="3702">
        <v>121</v>
      </c>
      <c r="H74" s="3703">
        <v>121</v>
      </c>
      <c r="I74" s="3701">
        <v>121</v>
      </c>
      <c r="J74" s="3701">
        <v>121</v>
      </c>
      <c r="K74" s="3701">
        <v>121</v>
      </c>
      <c r="L74" s="3744"/>
      <c r="M74" s="3705"/>
      <c r="N74" s="3706"/>
      <c r="O74" s="3706"/>
      <c r="P74" s="3706"/>
      <c r="Q74" s="3704"/>
    </row>
    <row r="75" spans="1:30">
      <c r="A75" s="726"/>
      <c r="B75" s="3743" t="s">
        <v>22</v>
      </c>
      <c r="C75" s="3700">
        <v>156</v>
      </c>
      <c r="D75" s="3701">
        <v>153</v>
      </c>
      <c r="E75" s="3701">
        <v>152</v>
      </c>
      <c r="F75" s="3701">
        <v>150</v>
      </c>
      <c r="G75" s="3702">
        <v>148</v>
      </c>
      <c r="H75" s="3703">
        <v>148</v>
      </c>
      <c r="I75" s="3701">
        <v>148</v>
      </c>
      <c r="J75" s="3701">
        <v>139</v>
      </c>
      <c r="K75" s="3701">
        <v>139</v>
      </c>
      <c r="L75" s="3744"/>
      <c r="M75" s="3705"/>
      <c r="N75" s="3706"/>
      <c r="O75" s="3706"/>
      <c r="P75" s="3706"/>
      <c r="Q75" s="3704"/>
    </row>
    <row r="76" spans="1:30" ht="13.5" thickBot="1">
      <c r="A76" s="726"/>
      <c r="B76" s="3745" t="s">
        <v>65</v>
      </c>
      <c r="C76" s="3746">
        <f t="shared" ref="C76:Q76" si="1">C73+C74+C75</f>
        <v>285</v>
      </c>
      <c r="D76" s="3747">
        <f t="shared" si="1"/>
        <v>282</v>
      </c>
      <c r="E76" s="3747">
        <f t="shared" si="1"/>
        <v>278</v>
      </c>
      <c r="F76" s="3747">
        <f t="shared" si="1"/>
        <v>275</v>
      </c>
      <c r="G76" s="3748">
        <f t="shared" si="1"/>
        <v>275</v>
      </c>
      <c r="H76" s="3749">
        <f t="shared" si="1"/>
        <v>275</v>
      </c>
      <c r="I76" s="3747">
        <f t="shared" si="1"/>
        <v>276</v>
      </c>
      <c r="J76" s="3747">
        <f t="shared" si="1"/>
        <v>267</v>
      </c>
      <c r="K76" s="3747">
        <f t="shared" si="1"/>
        <v>267</v>
      </c>
      <c r="L76" s="3750">
        <f t="shared" si="1"/>
        <v>0</v>
      </c>
      <c r="M76" s="3746">
        <f t="shared" si="1"/>
        <v>0</v>
      </c>
      <c r="N76" s="3751">
        <f t="shared" si="1"/>
        <v>0</v>
      </c>
      <c r="O76" s="3751">
        <f t="shared" si="1"/>
        <v>0</v>
      </c>
      <c r="P76" s="3751">
        <f t="shared" si="1"/>
        <v>0</v>
      </c>
      <c r="Q76" s="3750">
        <f t="shared" si="1"/>
        <v>0</v>
      </c>
    </row>
    <row r="77" spans="1:30" s="965" customFormat="1" ht="28.5" customHeight="1" thickBot="1">
      <c r="A77" s="964"/>
      <c r="B77" s="3752" t="s">
        <v>127</v>
      </c>
      <c r="C77" s="3223" t="s">
        <v>1689</v>
      </c>
      <c r="D77" s="3224"/>
      <c r="E77" s="3224"/>
      <c r="F77" s="3224"/>
      <c r="G77" s="3224"/>
      <c r="H77" s="3731"/>
      <c r="I77" s="3731"/>
      <c r="J77" s="3731"/>
      <c r="K77" s="3224"/>
      <c r="L77" s="3224"/>
      <c r="M77" s="3224"/>
      <c r="N77" s="3224"/>
      <c r="O77" s="3224"/>
      <c r="P77" s="3224"/>
      <c r="Q77" s="3552"/>
      <c r="R77"/>
      <c r="S77"/>
      <c r="T77"/>
      <c r="U77"/>
      <c r="V77"/>
      <c r="W77"/>
      <c r="X77"/>
      <c r="Y77"/>
      <c r="Z77"/>
      <c r="AA77"/>
      <c r="AB77"/>
      <c r="AC77"/>
      <c r="AD77"/>
    </row>
    <row r="78" spans="1:30" ht="18.75" customHeight="1" thickBot="1">
      <c r="A78" s="726"/>
    </row>
    <row r="79" spans="1:30" s="1266" customFormat="1" ht="34.5" customHeight="1" thickBot="1">
      <c r="A79" s="1268"/>
      <c r="B79" s="2867" t="s">
        <v>565</v>
      </c>
      <c r="C79" s="1373"/>
      <c r="D79" s="1373"/>
      <c r="E79" s="1373"/>
      <c r="F79" s="1373"/>
      <c r="G79" s="1373"/>
      <c r="H79" s="1373"/>
      <c r="I79" s="1373"/>
      <c r="J79" s="1373"/>
      <c r="K79" s="1373"/>
      <c r="L79" s="1373"/>
      <c r="M79" s="1373"/>
      <c r="N79" s="1373"/>
      <c r="O79" s="1373"/>
      <c r="P79" s="1373"/>
      <c r="Q79" s="1374"/>
    </row>
    <row r="80" spans="1:30" s="881" customFormat="1" ht="16.5" customHeight="1">
      <c r="A80" s="880"/>
      <c r="B80" s="4917"/>
      <c r="C80" s="4746" t="s">
        <v>36</v>
      </c>
      <c r="D80" s="4747"/>
      <c r="E80" s="4747"/>
      <c r="F80" s="4747"/>
      <c r="G80" s="4747"/>
      <c r="H80" s="4751" t="s">
        <v>37</v>
      </c>
      <c r="I80" s="4752"/>
      <c r="J80" s="4752"/>
      <c r="K80" s="4752"/>
      <c r="L80" s="4752"/>
      <c r="M80" s="4732" t="s">
        <v>75</v>
      </c>
      <c r="N80" s="4732"/>
      <c r="O80" s="4732"/>
      <c r="P80" s="4732"/>
      <c r="Q80" s="4919"/>
      <c r="R80"/>
      <c r="S80"/>
      <c r="T80"/>
      <c r="U80"/>
      <c r="V80"/>
      <c r="W80"/>
      <c r="X80"/>
      <c r="Y80"/>
      <c r="Z80"/>
      <c r="AA80"/>
      <c r="AB80"/>
      <c r="AC80"/>
      <c r="AD80"/>
    </row>
    <row r="81" spans="1:30" s="883" customFormat="1" ht="15" customHeight="1">
      <c r="A81" s="880"/>
      <c r="B81" s="4918"/>
      <c r="C81" s="4734" t="s">
        <v>216</v>
      </c>
      <c r="D81" s="4735"/>
      <c r="E81" s="4735"/>
      <c r="F81" s="4735"/>
      <c r="G81" s="4735"/>
      <c r="H81" s="4735"/>
      <c r="I81" s="4735"/>
      <c r="J81" s="4735"/>
      <c r="K81" s="4735"/>
      <c r="L81" s="4735"/>
      <c r="M81" s="4735"/>
      <c r="N81" s="4735"/>
      <c r="O81" s="4735"/>
      <c r="P81" s="4735"/>
      <c r="Q81" s="4920"/>
      <c r="R81"/>
      <c r="S81"/>
      <c r="T81"/>
      <c r="U81"/>
      <c r="V81"/>
      <c r="W81"/>
      <c r="X81"/>
      <c r="Y81"/>
      <c r="Z81"/>
      <c r="AA81"/>
      <c r="AB81"/>
      <c r="AC81"/>
      <c r="AD81"/>
    </row>
    <row r="82" spans="1:30" s="881" customFormat="1" ht="16.5" customHeight="1">
      <c r="A82" s="880"/>
      <c r="B82" s="4918"/>
      <c r="C82" s="4734" t="s">
        <v>56</v>
      </c>
      <c r="D82" s="4735"/>
      <c r="E82" s="4735"/>
      <c r="F82" s="4735"/>
      <c r="G82" s="4735"/>
      <c r="H82" s="4735"/>
      <c r="I82" s="4735"/>
      <c r="J82" s="4800"/>
      <c r="K82" s="4104" t="s">
        <v>57</v>
      </c>
      <c r="L82" s="4737"/>
      <c r="M82" s="4737"/>
      <c r="N82" s="4737"/>
      <c r="O82" s="4737"/>
      <c r="P82" s="4737"/>
      <c r="Q82" s="4738"/>
      <c r="R82"/>
      <c r="S82"/>
      <c r="T82"/>
      <c r="U82"/>
      <c r="V82"/>
      <c r="W82"/>
      <c r="X82"/>
      <c r="Y82"/>
      <c r="Z82"/>
      <c r="AA82"/>
      <c r="AB82"/>
      <c r="AC82"/>
      <c r="AD82"/>
    </row>
    <row r="83" spans="1:30" s="883" customFormat="1" ht="12.75" customHeight="1" thickBot="1">
      <c r="A83" s="882"/>
      <c r="B83" s="4918"/>
      <c r="C83" s="3477">
        <f t="array" ref="C83:G83">PRCP</f>
        <v>2008</v>
      </c>
      <c r="D83" s="891">
        <v>2009</v>
      </c>
      <c r="E83" s="891">
        <v>2010</v>
      </c>
      <c r="F83" s="891">
        <v>2011</v>
      </c>
      <c r="G83" s="891">
        <v>2012</v>
      </c>
      <c r="H83" s="892">
        <f>CRCP_y1</f>
        <v>2013</v>
      </c>
      <c r="I83" s="892">
        <f>CRCP_y2</f>
        <v>2014</v>
      </c>
      <c r="J83" s="892">
        <f>CRCP_y3</f>
        <v>2015</v>
      </c>
      <c r="K83" s="892">
        <f>CRCP_y4</f>
        <v>2016</v>
      </c>
      <c r="L83" s="892">
        <f>CRCP_y5</f>
        <v>2017</v>
      </c>
      <c r="M83" s="891" t="str">
        <f t="array" ref="M83:Q83">FRCP</f>
        <v>2018</v>
      </c>
      <c r="N83" s="891">
        <v>2019</v>
      </c>
      <c r="O83" s="891">
        <v>2020</v>
      </c>
      <c r="P83" s="891">
        <v>2021</v>
      </c>
      <c r="Q83" s="968">
        <v>2022</v>
      </c>
      <c r="R83"/>
      <c r="S83"/>
      <c r="T83"/>
      <c r="U83"/>
      <c r="V83"/>
      <c r="W83"/>
      <c r="X83"/>
      <c r="Y83"/>
      <c r="Z83"/>
      <c r="AA83"/>
      <c r="AB83"/>
      <c r="AC83"/>
      <c r="AD83"/>
    </row>
    <row r="84" spans="1:30" ht="15" customHeight="1">
      <c r="A84" s="726"/>
      <c r="B84" s="966" t="s">
        <v>1685</v>
      </c>
      <c r="C84" s="690">
        <v>13</v>
      </c>
      <c r="D84" s="691">
        <v>14</v>
      </c>
      <c r="E84" s="691">
        <v>13</v>
      </c>
      <c r="F84" s="691">
        <v>12</v>
      </c>
      <c r="G84" s="696">
        <v>11</v>
      </c>
      <c r="H84" s="690">
        <v>12</v>
      </c>
      <c r="I84" s="691">
        <v>12</v>
      </c>
      <c r="J84" s="691">
        <v>11</v>
      </c>
      <c r="K84" s="691">
        <v>12</v>
      </c>
      <c r="L84" s="696">
        <v>12</v>
      </c>
      <c r="M84" s="690">
        <v>12</v>
      </c>
      <c r="N84" s="691">
        <v>12</v>
      </c>
      <c r="O84" s="691">
        <v>12</v>
      </c>
      <c r="P84" s="691">
        <v>12</v>
      </c>
      <c r="Q84" s="696">
        <v>12</v>
      </c>
    </row>
    <row r="85" spans="1:30" ht="15" customHeight="1">
      <c r="A85" s="726"/>
      <c r="B85" s="967" t="s">
        <v>1686</v>
      </c>
      <c r="C85" s="690">
        <v>2211</v>
      </c>
      <c r="D85" s="691">
        <v>2173</v>
      </c>
      <c r="E85" s="691">
        <v>2443</v>
      </c>
      <c r="F85" s="691">
        <v>2116</v>
      </c>
      <c r="G85" s="696">
        <v>2557</v>
      </c>
      <c r="H85" s="690">
        <v>2700</v>
      </c>
      <c r="I85" s="691">
        <v>2524</v>
      </c>
      <c r="J85" s="691">
        <v>3382</v>
      </c>
      <c r="K85" s="691">
        <v>3166</v>
      </c>
      <c r="L85" s="696">
        <v>3162</v>
      </c>
      <c r="M85" s="690">
        <v>3137</v>
      </c>
      <c r="N85" s="691">
        <v>3099</v>
      </c>
      <c r="O85" s="691">
        <v>3063</v>
      </c>
      <c r="P85" s="691">
        <v>3021</v>
      </c>
      <c r="Q85" s="696">
        <v>2983</v>
      </c>
    </row>
    <row r="86" spans="1:30" ht="15" customHeight="1">
      <c r="A86" s="726"/>
      <c r="B86" s="967" t="s">
        <v>1687</v>
      </c>
      <c r="C86" s="690" t="s">
        <v>944</v>
      </c>
      <c r="D86" s="691" t="s">
        <v>944</v>
      </c>
      <c r="E86" s="691" t="s">
        <v>944</v>
      </c>
      <c r="F86" s="691" t="s">
        <v>944</v>
      </c>
      <c r="G86" s="696">
        <v>10</v>
      </c>
      <c r="H86" s="690">
        <v>59</v>
      </c>
      <c r="I86" s="690">
        <v>-20</v>
      </c>
      <c r="J86" s="691">
        <v>17</v>
      </c>
      <c r="K86" s="691">
        <v>16</v>
      </c>
      <c r="L86" s="696">
        <v>17</v>
      </c>
      <c r="M86" s="690">
        <v>18</v>
      </c>
      <c r="N86" s="691">
        <v>18</v>
      </c>
      <c r="O86" s="691">
        <v>19</v>
      </c>
      <c r="P86" s="691">
        <v>19</v>
      </c>
      <c r="Q86" s="696">
        <v>19</v>
      </c>
    </row>
    <row r="87" spans="1:30" ht="13.5" thickBot="1">
      <c r="A87" s="726"/>
      <c r="B87" s="1674" t="s">
        <v>65</v>
      </c>
      <c r="C87" s="3634">
        <f>SUM(C84:C86)</f>
        <v>2224</v>
      </c>
      <c r="D87" s="1311">
        <f t="shared" ref="D87:Q87" si="2">SUM(D84:D86)</f>
        <v>2187</v>
      </c>
      <c r="E87" s="1311">
        <f t="shared" si="2"/>
        <v>2456</v>
      </c>
      <c r="F87" s="1311">
        <f t="shared" si="2"/>
        <v>2128</v>
      </c>
      <c r="G87" s="1312">
        <f t="shared" si="2"/>
        <v>2578</v>
      </c>
      <c r="H87" s="3634">
        <f t="shared" si="2"/>
        <v>2771</v>
      </c>
      <c r="I87" s="1311">
        <f t="shared" si="2"/>
        <v>2516</v>
      </c>
      <c r="J87" s="1311">
        <f t="shared" si="2"/>
        <v>3410</v>
      </c>
      <c r="K87" s="1311">
        <f t="shared" si="2"/>
        <v>3194</v>
      </c>
      <c r="L87" s="1312">
        <f t="shared" si="2"/>
        <v>3191</v>
      </c>
      <c r="M87" s="3634">
        <f t="shared" si="2"/>
        <v>3167</v>
      </c>
      <c r="N87" s="1311">
        <f t="shared" si="2"/>
        <v>3129</v>
      </c>
      <c r="O87" s="1311">
        <f t="shared" si="2"/>
        <v>3094</v>
      </c>
      <c r="P87" s="1311">
        <f t="shared" si="2"/>
        <v>3052</v>
      </c>
      <c r="Q87" s="1312">
        <f t="shared" si="2"/>
        <v>3014</v>
      </c>
    </row>
    <row r="88" spans="1:30" s="965" customFormat="1" ht="28.5" customHeight="1" thickBot="1">
      <c r="A88" s="964"/>
      <c r="B88" s="1471" t="s">
        <v>127</v>
      </c>
      <c r="C88" s="4916" t="s">
        <v>1688</v>
      </c>
      <c r="D88" s="4871"/>
      <c r="E88" s="4871"/>
      <c r="F88" s="4871"/>
      <c r="G88" s="4871"/>
      <c r="H88" s="4871"/>
      <c r="I88" s="4871"/>
      <c r="J88" s="4871"/>
      <c r="K88" s="4871"/>
      <c r="L88" s="4871"/>
      <c r="M88" s="4871"/>
      <c r="N88" s="4871"/>
      <c r="O88" s="4871"/>
      <c r="P88" s="4871"/>
      <c r="Q88" s="4872"/>
      <c r="R88"/>
      <c r="S88"/>
      <c r="T88"/>
      <c r="U88"/>
      <c r="V88"/>
      <c r="W88"/>
      <c r="X88"/>
      <c r="Y88"/>
      <c r="Z88"/>
      <c r="AA88"/>
      <c r="AB88"/>
      <c r="AC88"/>
      <c r="AD88"/>
    </row>
    <row r="90" spans="1:30" ht="13.5" thickBot="1">
      <c r="M90"/>
      <c r="N90"/>
      <c r="O90"/>
      <c r="P90"/>
      <c r="Q90"/>
      <c r="Z90" s="98"/>
      <c r="AA90" s="98"/>
      <c r="AB90" s="98"/>
      <c r="AC90" s="98"/>
      <c r="AD90" s="98"/>
    </row>
    <row r="91" spans="1:30" s="1965" customFormat="1" ht="16.5" thickBot="1">
      <c r="B91" s="1372" t="s">
        <v>730</v>
      </c>
      <c r="C91" s="1373"/>
      <c r="D91" s="1373"/>
      <c r="E91" s="1373"/>
      <c r="F91" s="1373"/>
      <c r="G91" s="1373"/>
      <c r="H91" s="1373"/>
      <c r="I91" s="1373"/>
      <c r="J91" s="1373"/>
      <c r="K91" s="1373"/>
      <c r="L91" s="1373"/>
      <c r="M91" s="1373"/>
      <c r="N91" s="1373"/>
      <c r="O91" s="1373"/>
      <c r="P91" s="1373"/>
      <c r="Q91" s="1374"/>
      <c r="R91" s="1266"/>
      <c r="S91" s="1266"/>
      <c r="T91" s="1266"/>
      <c r="U91" s="1266"/>
      <c r="V91" s="1266"/>
      <c r="W91" s="1266"/>
      <c r="X91" s="1266"/>
      <c r="Y91" s="1266"/>
      <c r="Z91" s="1266"/>
      <c r="AA91" s="1266"/>
      <c r="AB91" s="1266"/>
      <c r="AC91" s="1266"/>
      <c r="AD91" s="1266"/>
    </row>
    <row r="92" spans="1:30" s="1965" customFormat="1">
      <c r="B92" s="4903" t="s">
        <v>732</v>
      </c>
      <c r="C92" s="4905" t="s">
        <v>36</v>
      </c>
      <c r="D92" s="4747"/>
      <c r="E92" s="4747"/>
      <c r="F92" s="4747"/>
      <c r="G92" s="4747"/>
      <c r="H92" s="4751" t="s">
        <v>37</v>
      </c>
      <c r="I92" s="4752"/>
      <c r="J92" s="4752"/>
      <c r="K92" s="4752"/>
      <c r="L92" s="4752"/>
      <c r="M92" s="4732" t="s">
        <v>75</v>
      </c>
      <c r="N92" s="4732"/>
      <c r="O92" s="4732"/>
      <c r="P92" s="4732"/>
      <c r="Q92" s="4733"/>
      <c r="R92" s="1266"/>
      <c r="S92" s="1266"/>
      <c r="T92" s="1266"/>
      <c r="U92" s="1266"/>
      <c r="V92" s="1266"/>
      <c r="W92" s="1266"/>
      <c r="X92" s="1266"/>
      <c r="Y92" s="1266"/>
      <c r="Z92" s="1266"/>
      <c r="AA92" s="1266"/>
      <c r="AB92" s="1266"/>
      <c r="AC92" s="1266"/>
      <c r="AD92" s="1266"/>
    </row>
    <row r="93" spans="1:30" s="1965" customFormat="1">
      <c r="B93" s="4904"/>
      <c r="C93" s="4734" t="s">
        <v>484</v>
      </c>
      <c r="D93" s="4735"/>
      <c r="E93" s="4735"/>
      <c r="F93" s="4735"/>
      <c r="G93" s="4735"/>
      <c r="H93" s="4735"/>
      <c r="I93" s="4735"/>
      <c r="J93" s="4735"/>
      <c r="K93" s="4735"/>
      <c r="L93" s="4735"/>
      <c r="M93" s="4735"/>
      <c r="N93" s="4735"/>
      <c r="O93" s="4735"/>
      <c r="P93" s="4735"/>
      <c r="Q93" s="4736"/>
      <c r="R93" s="1266"/>
      <c r="S93" s="1266"/>
      <c r="T93" s="1266"/>
      <c r="U93" s="1266"/>
      <c r="V93" s="1266"/>
      <c r="W93" s="1266"/>
      <c r="X93" s="1266"/>
      <c r="Y93" s="1266"/>
      <c r="Z93" s="1266"/>
      <c r="AA93" s="1266"/>
      <c r="AB93" s="1266"/>
      <c r="AC93" s="1266"/>
      <c r="AD93" s="1266"/>
    </row>
    <row r="94" spans="1:30" s="1965" customFormat="1">
      <c r="B94" s="4904"/>
      <c r="C94" s="4734" t="s">
        <v>56</v>
      </c>
      <c r="D94" s="4735"/>
      <c r="E94" s="4735"/>
      <c r="F94" s="4735"/>
      <c r="G94" s="4735"/>
      <c r="H94" s="4735"/>
      <c r="I94" s="4735"/>
      <c r="J94" s="4800"/>
      <c r="K94" s="4104" t="s">
        <v>57</v>
      </c>
      <c r="L94" s="4737"/>
      <c r="M94" s="4737"/>
      <c r="N94" s="4737"/>
      <c r="O94" s="4737"/>
      <c r="P94" s="4737"/>
      <c r="Q94" s="4738"/>
      <c r="R94" s="1266"/>
      <c r="S94" s="1266"/>
      <c r="T94" s="1266"/>
      <c r="U94" s="1266"/>
      <c r="V94" s="1266"/>
      <c r="W94" s="1266"/>
      <c r="X94" s="1266"/>
      <c r="Y94" s="1266"/>
      <c r="Z94" s="1266"/>
      <c r="AA94" s="1266"/>
      <c r="AB94" s="1266"/>
      <c r="AC94" s="1266"/>
      <c r="AD94" s="1266"/>
    </row>
    <row r="95" spans="1:30" s="1965" customFormat="1" ht="13.5" thickBot="1">
      <c r="B95" s="4904"/>
      <c r="C95" s="960">
        <f t="array" ref="C95:G95">PRCP</f>
        <v>2008</v>
      </c>
      <c r="D95" s="961">
        <v>2009</v>
      </c>
      <c r="E95" s="961">
        <v>2010</v>
      </c>
      <c r="F95" s="961">
        <v>2011</v>
      </c>
      <c r="G95" s="961">
        <v>2012</v>
      </c>
      <c r="H95" s="962">
        <f>CRCP_y1</f>
        <v>2013</v>
      </c>
      <c r="I95" s="962">
        <f>CRCP_y2</f>
        <v>2014</v>
      </c>
      <c r="J95" s="962">
        <f>CRCP_y3</f>
        <v>2015</v>
      </c>
      <c r="K95" s="962">
        <f>CRCP_y4</f>
        <v>2016</v>
      </c>
      <c r="L95" s="962">
        <f>CRCP_y5</f>
        <v>2017</v>
      </c>
      <c r="M95" s="961" t="str">
        <f t="array" ref="M95:Q95">FRCP</f>
        <v>2018</v>
      </c>
      <c r="N95" s="961">
        <v>2019</v>
      </c>
      <c r="O95" s="961">
        <v>2020</v>
      </c>
      <c r="P95" s="961">
        <v>2021</v>
      </c>
      <c r="Q95" s="963">
        <v>2022</v>
      </c>
      <c r="R95" s="1266"/>
      <c r="S95" s="1266"/>
      <c r="T95" s="1266"/>
      <c r="U95" s="1266"/>
      <c r="V95" s="1266"/>
      <c r="W95" s="1266"/>
      <c r="X95" s="1266"/>
      <c r="Y95" s="1266"/>
      <c r="Z95" s="1266"/>
      <c r="AA95" s="1266"/>
      <c r="AB95" s="1266"/>
      <c r="AC95" s="1266"/>
      <c r="AD95" s="1266"/>
    </row>
    <row r="96" spans="1:30" s="1965" customFormat="1">
      <c r="B96" s="1967" t="s">
        <v>725</v>
      </c>
      <c r="C96" s="1675"/>
      <c r="D96" s="1676"/>
      <c r="E96" s="1676"/>
      <c r="F96" s="1676"/>
      <c r="G96" s="1677"/>
      <c r="H96" s="1675"/>
      <c r="I96" s="1676"/>
      <c r="J96" s="1676"/>
      <c r="K96" s="1676"/>
      <c r="L96" s="1677"/>
      <c r="M96" s="1675"/>
      <c r="N96" s="1676"/>
      <c r="O96" s="1676"/>
      <c r="P96" s="1676"/>
      <c r="Q96" s="1677"/>
      <c r="R96" s="1266"/>
      <c r="S96" s="1266"/>
      <c r="T96" s="1266"/>
      <c r="U96" s="1266"/>
      <c r="V96" s="1266"/>
      <c r="W96" s="1266"/>
      <c r="X96" s="1266"/>
      <c r="Y96" s="1266"/>
      <c r="Z96" s="1266"/>
      <c r="AA96" s="1266"/>
      <c r="AB96" s="1266"/>
      <c r="AC96" s="1266"/>
      <c r="AD96" s="1266"/>
    </row>
    <row r="97" spans="2:30" s="1965" customFormat="1">
      <c r="B97" s="1966"/>
      <c r="C97" s="738"/>
      <c r="D97" s="708"/>
      <c r="E97" s="708"/>
      <c r="F97" s="708"/>
      <c r="G97" s="790"/>
      <c r="H97" s="738"/>
      <c r="I97" s="708"/>
      <c r="J97" s="708"/>
      <c r="K97" s="708"/>
      <c r="L97" s="790"/>
      <c r="M97" s="738"/>
      <c r="N97" s="708"/>
      <c r="O97" s="708"/>
      <c r="P97" s="708"/>
      <c r="Q97" s="790"/>
      <c r="R97" s="1266"/>
      <c r="S97" s="1266"/>
      <c r="T97" s="1266"/>
      <c r="U97" s="1266"/>
      <c r="V97" s="1266"/>
      <c r="W97" s="1266"/>
      <c r="X97" s="1266"/>
      <c r="Y97" s="1266"/>
      <c r="Z97" s="1266"/>
      <c r="AA97" s="1266"/>
      <c r="AB97" s="1266"/>
      <c r="AC97" s="1266"/>
      <c r="AD97" s="1266"/>
    </row>
    <row r="98" spans="2:30" s="1965" customFormat="1">
      <c r="B98" s="1966" t="s">
        <v>66</v>
      </c>
      <c r="C98" s="3473" t="s">
        <v>1610</v>
      </c>
      <c r="D98" s="708"/>
      <c r="E98" s="708"/>
      <c r="F98" s="708"/>
      <c r="G98" s="790"/>
      <c r="H98" s="738"/>
      <c r="I98" s="708"/>
      <c r="J98" s="708"/>
      <c r="K98" s="708"/>
      <c r="L98" s="790"/>
      <c r="M98" s="738"/>
      <c r="N98" s="708"/>
      <c r="O98" s="708"/>
      <c r="P98" s="708"/>
      <c r="Q98" s="790"/>
      <c r="R98" s="1266"/>
      <c r="S98" s="1266"/>
      <c r="T98" s="1266"/>
      <c r="U98" s="1266"/>
      <c r="V98" s="1266"/>
      <c r="W98" s="1266"/>
      <c r="X98" s="1266"/>
      <c r="Y98" s="1266"/>
      <c r="Z98" s="1266"/>
      <c r="AA98" s="1266"/>
      <c r="AB98" s="1266"/>
      <c r="AC98" s="1266"/>
      <c r="AD98" s="1266"/>
    </row>
    <row r="99" spans="2:30" s="1965" customFormat="1">
      <c r="B99" s="1966" t="s">
        <v>67</v>
      </c>
      <c r="C99" s="738"/>
      <c r="D99" s="708"/>
      <c r="E99" s="708"/>
      <c r="F99" s="708"/>
      <c r="G99" s="790"/>
      <c r="H99" s="738"/>
      <c r="I99" s="708"/>
      <c r="J99" s="708"/>
      <c r="K99" s="708"/>
      <c r="L99" s="790"/>
      <c r="M99" s="738"/>
      <c r="N99" s="708"/>
      <c r="O99" s="708"/>
      <c r="P99" s="708"/>
      <c r="Q99" s="790"/>
      <c r="R99" s="1266"/>
      <c r="S99" s="1266"/>
      <c r="T99" s="1266"/>
      <c r="U99" s="1266"/>
      <c r="V99" s="1266"/>
      <c r="W99" s="1266"/>
      <c r="X99" s="1266"/>
      <c r="Y99" s="1266"/>
      <c r="Z99" s="1266"/>
      <c r="AA99" s="1266"/>
      <c r="AB99" s="1266"/>
      <c r="AC99" s="1266"/>
      <c r="AD99" s="1266"/>
    </row>
    <row r="100" spans="2:30" s="1965" customFormat="1">
      <c r="B100" s="1966" t="s">
        <v>85</v>
      </c>
      <c r="C100" s="738"/>
      <c r="D100" s="708"/>
      <c r="E100" s="708"/>
      <c r="F100" s="708"/>
      <c r="G100" s="790"/>
      <c r="H100" s="738"/>
      <c r="I100" s="708"/>
      <c r="J100" s="708"/>
      <c r="K100" s="708"/>
      <c r="L100" s="790"/>
      <c r="M100" s="738"/>
      <c r="N100" s="708"/>
      <c r="O100" s="708"/>
      <c r="P100" s="708"/>
      <c r="Q100" s="790"/>
      <c r="R100" s="1266"/>
      <c r="S100" s="1266"/>
      <c r="T100" s="1266"/>
      <c r="U100" s="1266"/>
      <c r="V100" s="1266"/>
      <c r="W100" s="1266"/>
      <c r="X100" s="1266"/>
      <c r="Y100" s="1266"/>
      <c r="Z100" s="1266"/>
      <c r="AA100" s="1266"/>
      <c r="AB100" s="1266"/>
      <c r="AC100" s="1266"/>
      <c r="AD100" s="1266"/>
    </row>
    <row r="101" spans="2:30" s="1965" customFormat="1">
      <c r="B101" s="1966" t="s">
        <v>712</v>
      </c>
      <c r="C101" s="738"/>
      <c r="D101" s="708"/>
      <c r="E101" s="708"/>
      <c r="F101" s="708"/>
      <c r="G101" s="790"/>
      <c r="H101" s="738"/>
      <c r="I101" s="708"/>
      <c r="J101" s="708"/>
      <c r="K101" s="708"/>
      <c r="L101" s="790"/>
      <c r="M101" s="738"/>
      <c r="N101" s="708"/>
      <c r="O101" s="708"/>
      <c r="P101" s="708"/>
      <c r="Q101" s="790"/>
      <c r="R101" s="1266"/>
      <c r="S101" s="1266"/>
      <c r="T101" s="1266"/>
      <c r="U101" s="1266"/>
      <c r="V101" s="1266"/>
      <c r="W101" s="1266"/>
      <c r="X101" s="1266"/>
      <c r="Y101" s="1266"/>
      <c r="Z101" s="1266"/>
      <c r="AA101" s="1266"/>
      <c r="AB101" s="1266"/>
      <c r="AC101" s="1266"/>
      <c r="AD101" s="1266"/>
    </row>
    <row r="102" spans="2:30" s="1965" customFormat="1">
      <c r="B102" s="1966" t="s">
        <v>713</v>
      </c>
      <c r="C102" s="738"/>
      <c r="D102" s="708"/>
      <c r="E102" s="708"/>
      <c r="F102" s="708"/>
      <c r="G102" s="790"/>
      <c r="H102" s="738"/>
      <c r="I102" s="708"/>
      <c r="J102" s="708"/>
      <c r="K102" s="708"/>
      <c r="L102" s="790"/>
      <c r="M102" s="738"/>
      <c r="N102" s="708"/>
      <c r="O102" s="708"/>
      <c r="P102" s="708"/>
      <c r="Q102" s="790"/>
      <c r="R102" s="1266"/>
      <c r="S102" s="1266"/>
      <c r="T102" s="1266"/>
      <c r="U102" s="1266"/>
      <c r="V102" s="1266"/>
      <c r="W102" s="1266"/>
      <c r="X102" s="1266"/>
      <c r="Y102" s="1266"/>
      <c r="Z102" s="1266"/>
      <c r="AA102" s="1266"/>
      <c r="AB102" s="1266"/>
      <c r="AC102" s="1266"/>
      <c r="AD102" s="1266"/>
    </row>
    <row r="103" spans="2:30" s="1965" customFormat="1">
      <c r="B103" s="1966" t="s">
        <v>714</v>
      </c>
      <c r="C103" s="738"/>
      <c r="D103" s="708"/>
      <c r="E103" s="708"/>
      <c r="F103" s="708"/>
      <c r="G103" s="790"/>
      <c r="H103" s="738"/>
      <c r="I103" s="708"/>
      <c r="J103" s="708"/>
      <c r="K103" s="708"/>
      <c r="L103" s="790"/>
      <c r="M103" s="738"/>
      <c r="N103" s="708"/>
      <c r="O103" s="708"/>
      <c r="P103" s="708"/>
      <c r="Q103" s="790"/>
      <c r="R103" s="1266"/>
      <c r="S103" s="1266"/>
      <c r="T103" s="1266"/>
      <c r="U103" s="1266"/>
      <c r="V103" s="1266"/>
      <c r="W103" s="1266"/>
      <c r="X103" s="1266"/>
      <c r="Y103" s="1266"/>
      <c r="Z103" s="1266"/>
      <c r="AA103" s="1266"/>
      <c r="AB103" s="1266"/>
      <c r="AC103" s="1266"/>
      <c r="AD103" s="1266"/>
    </row>
    <row r="104" spans="2:30" s="1965" customFormat="1">
      <c r="B104" s="1966" t="s">
        <v>68</v>
      </c>
      <c r="C104" s="738"/>
      <c r="D104" s="708"/>
      <c r="E104" s="708"/>
      <c r="F104" s="708"/>
      <c r="G104" s="790"/>
      <c r="H104" s="738"/>
      <c r="I104" s="708"/>
      <c r="J104" s="708"/>
      <c r="K104" s="708"/>
      <c r="L104" s="790"/>
      <c r="M104" s="738"/>
      <c r="N104" s="708"/>
      <c r="O104" s="708"/>
      <c r="P104" s="708"/>
      <c r="Q104" s="790"/>
      <c r="R104" s="1266"/>
      <c r="S104" s="1266"/>
      <c r="T104" s="1266"/>
      <c r="U104" s="1266"/>
      <c r="V104" s="1266"/>
      <c r="W104" s="1266"/>
      <c r="X104" s="1266"/>
      <c r="Y104" s="1266"/>
      <c r="Z104" s="1266"/>
      <c r="AA104" s="1266"/>
      <c r="AB104" s="1266"/>
      <c r="AC104" s="1266"/>
      <c r="AD104" s="1266"/>
    </row>
    <row r="105" spans="2:30" s="1965" customFormat="1">
      <c r="B105" s="1966" t="s">
        <v>69</v>
      </c>
      <c r="C105" s="738"/>
      <c r="D105" s="708"/>
      <c r="E105" s="708"/>
      <c r="F105" s="708"/>
      <c r="G105" s="790"/>
      <c r="H105" s="738"/>
      <c r="I105" s="708"/>
      <c r="J105" s="708"/>
      <c r="K105" s="708"/>
      <c r="L105" s="790"/>
      <c r="M105" s="738"/>
      <c r="N105" s="708"/>
      <c r="O105" s="708"/>
      <c r="P105" s="708"/>
      <c r="Q105" s="790"/>
      <c r="R105" s="1266"/>
      <c r="S105" s="1266"/>
      <c r="T105" s="1266"/>
      <c r="U105" s="1266"/>
      <c r="V105" s="1266"/>
      <c r="W105" s="1266"/>
      <c r="X105" s="1266"/>
      <c r="Y105" s="1266"/>
      <c r="Z105" s="1266"/>
      <c r="AA105" s="1266"/>
      <c r="AB105" s="1266"/>
      <c r="AC105" s="1266"/>
      <c r="AD105" s="1266"/>
    </row>
    <row r="106" spans="2:30" s="1965" customFormat="1">
      <c r="B106" s="1309" t="s">
        <v>84</v>
      </c>
      <c r="C106" s="738"/>
      <c r="D106" s="708"/>
      <c r="E106" s="708"/>
      <c r="F106" s="708"/>
      <c r="G106" s="790"/>
      <c r="H106" s="738"/>
      <c r="I106" s="708"/>
      <c r="J106" s="708"/>
      <c r="K106" s="708"/>
      <c r="L106" s="790"/>
      <c r="M106" s="738"/>
      <c r="N106" s="708"/>
      <c r="O106" s="708"/>
      <c r="P106" s="708"/>
      <c r="Q106" s="790"/>
      <c r="R106" s="1266"/>
      <c r="S106" s="1266"/>
      <c r="T106" s="1266"/>
      <c r="U106" s="1266"/>
      <c r="V106" s="1266"/>
      <c r="W106" s="1266"/>
      <c r="X106" s="1266"/>
      <c r="Y106" s="1266"/>
      <c r="Z106" s="1266"/>
      <c r="AA106" s="1266"/>
      <c r="AB106" s="1266"/>
      <c r="AC106" s="1266"/>
      <c r="AD106" s="1266"/>
    </row>
    <row r="107" spans="2:30" s="1965" customFormat="1" ht="13.5" thickBot="1">
      <c r="B107" s="1310" t="s">
        <v>84</v>
      </c>
      <c r="C107" s="1601"/>
      <c r="D107" s="792"/>
      <c r="E107" s="792"/>
      <c r="F107" s="792"/>
      <c r="G107" s="793"/>
      <c r="H107" s="1601"/>
      <c r="I107" s="792"/>
      <c r="J107" s="792"/>
      <c r="K107" s="792"/>
      <c r="L107" s="793"/>
      <c r="M107" s="1601"/>
      <c r="N107" s="792"/>
      <c r="O107" s="792"/>
      <c r="P107" s="792"/>
      <c r="Q107" s="793"/>
      <c r="R107" s="1266"/>
      <c r="S107" s="1266"/>
      <c r="T107" s="1266"/>
      <c r="U107" s="1266"/>
      <c r="V107" s="1266"/>
      <c r="W107" s="1266"/>
      <c r="X107" s="1266"/>
      <c r="Y107" s="1266"/>
      <c r="Z107" s="1266"/>
      <c r="AA107" s="1266"/>
      <c r="AB107" s="1266"/>
      <c r="AC107" s="1266"/>
      <c r="AD107" s="1266"/>
    </row>
    <row r="108" spans="2:30" s="1965" customFormat="1">
      <c r="R108" s="1266"/>
      <c r="S108" s="1266"/>
      <c r="T108" s="1266"/>
      <c r="U108" s="1266"/>
      <c r="V108" s="1266"/>
      <c r="W108" s="1266"/>
      <c r="X108" s="1266"/>
      <c r="Y108" s="1266"/>
      <c r="Z108" s="1266"/>
      <c r="AA108" s="1266"/>
      <c r="AB108" s="1266"/>
      <c r="AC108" s="1266"/>
      <c r="AD108" s="1266"/>
    </row>
    <row r="110" spans="2:30" ht="13.5" thickBot="1">
      <c r="H110" s="1965"/>
      <c r="I110" s="146"/>
      <c r="J110" s="146"/>
      <c r="K110" s="146"/>
      <c r="L110" s="146"/>
      <c r="M110" s="146"/>
      <c r="N110" s="146"/>
      <c r="O110" s="146"/>
      <c r="P110" s="146"/>
      <c r="Q110" s="146"/>
      <c r="R110" s="146"/>
      <c r="S110" s="146"/>
      <c r="T110" s="146"/>
    </row>
    <row r="111" spans="2:30" s="2925" customFormat="1" ht="16.5" thickBot="1">
      <c r="B111" s="4906" t="s">
        <v>1448</v>
      </c>
      <c r="C111" s="4907"/>
      <c r="D111" s="4907"/>
      <c r="E111" s="4907"/>
      <c r="F111" s="4907"/>
      <c r="G111" s="4907"/>
      <c r="H111" s="4907"/>
      <c r="I111" s="4907"/>
      <c r="J111" s="4907"/>
      <c r="K111" s="146"/>
      <c r="L111" s="146"/>
      <c r="M111" s="146"/>
      <c r="N111" s="146"/>
      <c r="O111" s="146"/>
      <c r="P111" s="146"/>
      <c r="Q111" s="146"/>
      <c r="R111" s="146"/>
      <c r="S111" s="146"/>
      <c r="T111" s="146"/>
      <c r="U111" s="1266"/>
      <c r="V111" s="1266"/>
      <c r="W111" s="1266"/>
      <c r="X111" s="1266"/>
      <c r="Y111" s="1266"/>
      <c r="Z111" s="1266"/>
      <c r="AA111" s="1266"/>
      <c r="AB111" s="1266"/>
      <c r="AC111" s="1266"/>
      <c r="AD111" s="1266"/>
    </row>
    <row r="112" spans="2:30" s="2925" customFormat="1" ht="45.75" thickBot="1">
      <c r="B112" s="2928" t="s">
        <v>1449</v>
      </c>
      <c r="C112" s="2927" t="s">
        <v>1450</v>
      </c>
      <c r="D112" s="2927" t="s">
        <v>1451</v>
      </c>
      <c r="E112" s="2927" t="s">
        <v>1452</v>
      </c>
      <c r="F112" s="2927" t="s">
        <v>1453</v>
      </c>
      <c r="G112" s="2927" t="s">
        <v>1454</v>
      </c>
      <c r="H112" s="2927" t="s">
        <v>1455</v>
      </c>
      <c r="I112" s="2929" t="s">
        <v>1456</v>
      </c>
      <c r="J112" s="2926" t="s">
        <v>1457</v>
      </c>
      <c r="K112" s="146"/>
      <c r="L112" s="146"/>
      <c r="M112" s="146"/>
      <c r="N112" s="146"/>
      <c r="O112" s="146"/>
      <c r="P112" s="146"/>
      <c r="Q112" s="146"/>
      <c r="R112" s="146"/>
      <c r="S112" s="146"/>
      <c r="T112" s="146"/>
      <c r="U112" s="1266"/>
      <c r="V112" s="1266"/>
      <c r="W112" s="1266"/>
      <c r="X112" s="1266"/>
      <c r="Y112" s="1266"/>
      <c r="Z112" s="1266"/>
      <c r="AA112" s="1266"/>
      <c r="AB112" s="1266"/>
      <c r="AC112" s="1266"/>
      <c r="AD112" s="1266"/>
    </row>
    <row r="113" spans="2:30" s="2925" customFormat="1">
      <c r="B113" s="1594"/>
      <c r="C113" s="788"/>
      <c r="D113" s="788"/>
      <c r="E113" s="788"/>
      <c r="F113" s="788"/>
      <c r="G113" s="788"/>
      <c r="H113" s="788"/>
      <c r="I113" s="788"/>
      <c r="J113" s="789"/>
      <c r="K113" s="146"/>
      <c r="L113" s="146"/>
      <c r="M113" s="146"/>
      <c r="N113" s="146"/>
      <c r="O113" s="146"/>
      <c r="P113" s="146"/>
      <c r="Q113" s="146"/>
      <c r="R113" s="146"/>
      <c r="S113" s="146"/>
      <c r="T113" s="146"/>
      <c r="U113" s="1266"/>
      <c r="V113" s="1266"/>
      <c r="W113" s="1266"/>
      <c r="X113" s="1266"/>
      <c r="Y113" s="1266"/>
      <c r="Z113" s="1266"/>
      <c r="AA113" s="1266"/>
      <c r="AB113" s="1266"/>
      <c r="AC113" s="1266"/>
      <c r="AD113" s="1266"/>
    </row>
    <row r="114" spans="2:30" s="2925" customFormat="1">
      <c r="B114" s="3473" t="s">
        <v>1610</v>
      </c>
      <c r="C114" s="708"/>
      <c r="D114" s="708"/>
      <c r="E114" s="708"/>
      <c r="F114" s="708"/>
      <c r="G114" s="708"/>
      <c r="H114" s="708"/>
      <c r="I114" s="708"/>
      <c r="J114" s="790"/>
      <c r="K114" s="146"/>
      <c r="L114" s="146"/>
      <c r="M114" s="146"/>
      <c r="N114" s="146"/>
      <c r="O114" s="146"/>
      <c r="P114" s="146"/>
      <c r="Q114" s="146"/>
      <c r="R114" s="146"/>
      <c r="S114" s="146"/>
      <c r="T114" s="146"/>
      <c r="U114" s="1266"/>
      <c r="V114" s="1266"/>
      <c r="W114" s="1266"/>
      <c r="X114" s="1266"/>
      <c r="Y114" s="1266"/>
      <c r="Z114" s="1266"/>
      <c r="AA114" s="1266"/>
      <c r="AB114" s="1266"/>
      <c r="AC114" s="1266"/>
      <c r="AD114" s="1266"/>
    </row>
    <row r="115" spans="2:30" s="2925" customFormat="1">
      <c r="B115" s="738"/>
      <c r="C115" s="708"/>
      <c r="D115" s="708"/>
      <c r="E115" s="708"/>
      <c r="F115" s="708"/>
      <c r="G115" s="708"/>
      <c r="H115" s="708"/>
      <c r="I115" s="708"/>
      <c r="J115" s="790"/>
      <c r="K115" s="146"/>
      <c r="L115" s="146"/>
      <c r="M115" s="146"/>
      <c r="N115" s="146"/>
      <c r="O115" s="146"/>
      <c r="P115" s="146"/>
      <c r="Q115" s="146"/>
      <c r="R115" s="146"/>
      <c r="S115" s="146"/>
      <c r="T115" s="146"/>
      <c r="U115" s="1266"/>
      <c r="V115" s="1266"/>
      <c r="W115" s="1266"/>
      <c r="X115" s="1266"/>
      <c r="Y115" s="1266"/>
      <c r="Z115" s="1266"/>
      <c r="AA115" s="1266"/>
      <c r="AB115" s="1266"/>
      <c r="AC115" s="1266"/>
      <c r="AD115" s="1266"/>
    </row>
    <row r="116" spans="2:30" s="2925" customFormat="1">
      <c r="B116" s="738"/>
      <c r="C116" s="708"/>
      <c r="D116" s="708"/>
      <c r="E116" s="708"/>
      <c r="F116" s="708"/>
      <c r="G116" s="708"/>
      <c r="H116" s="708"/>
      <c r="I116" s="708"/>
      <c r="J116" s="790"/>
      <c r="K116" s="146"/>
      <c r="L116" s="146"/>
      <c r="M116" s="146"/>
      <c r="N116" s="146"/>
      <c r="O116" s="146"/>
      <c r="P116" s="146"/>
      <c r="Q116" s="146"/>
      <c r="R116" s="146"/>
      <c r="S116" s="146"/>
      <c r="T116" s="146"/>
      <c r="U116" s="1266"/>
      <c r="V116" s="1266"/>
      <c r="W116" s="1266"/>
      <c r="X116" s="1266"/>
      <c r="Y116" s="1266"/>
      <c r="Z116" s="1266"/>
      <c r="AA116" s="1266"/>
      <c r="AB116" s="1266"/>
      <c r="AC116" s="1266"/>
      <c r="AD116" s="1266"/>
    </row>
    <row r="117" spans="2:30" s="2925" customFormat="1">
      <c r="B117" s="738"/>
      <c r="C117" s="708"/>
      <c r="D117" s="708"/>
      <c r="E117" s="708"/>
      <c r="F117" s="708"/>
      <c r="G117" s="708"/>
      <c r="H117" s="708"/>
      <c r="I117" s="708"/>
      <c r="J117" s="790"/>
      <c r="K117" s="146"/>
      <c r="L117" s="146"/>
      <c r="M117" s="146"/>
      <c r="N117" s="146"/>
      <c r="O117" s="146"/>
      <c r="P117" s="146"/>
      <c r="Q117" s="146"/>
      <c r="R117" s="146"/>
      <c r="S117" s="146"/>
      <c r="T117" s="146"/>
      <c r="U117" s="1266"/>
      <c r="V117" s="1266"/>
      <c r="W117" s="1266"/>
      <c r="X117" s="1266"/>
      <c r="Y117" s="1266"/>
      <c r="Z117" s="1266"/>
      <c r="AA117" s="1266"/>
      <c r="AB117" s="1266"/>
      <c r="AC117" s="1266"/>
      <c r="AD117" s="1266"/>
    </row>
    <row r="118" spans="2:30" s="2925" customFormat="1">
      <c r="B118" s="738"/>
      <c r="C118" s="708"/>
      <c r="D118" s="708"/>
      <c r="E118" s="708"/>
      <c r="F118" s="708"/>
      <c r="G118" s="708"/>
      <c r="H118" s="708"/>
      <c r="I118" s="708"/>
      <c r="J118" s="790"/>
      <c r="K118" s="146"/>
      <c r="L118" s="146"/>
      <c r="M118" s="146"/>
      <c r="N118" s="146"/>
      <c r="O118" s="146"/>
      <c r="P118" s="146"/>
      <c r="Q118" s="146"/>
      <c r="R118" s="146"/>
      <c r="S118" s="146"/>
      <c r="T118" s="146"/>
      <c r="U118" s="1266"/>
      <c r="V118" s="1266"/>
      <c r="W118" s="1266"/>
      <c r="X118" s="1266"/>
      <c r="Y118" s="1266"/>
      <c r="Z118" s="1266"/>
      <c r="AA118" s="1266"/>
      <c r="AB118" s="1266"/>
      <c r="AC118" s="1266"/>
      <c r="AD118" s="1266"/>
    </row>
    <row r="119" spans="2:30" s="2925" customFormat="1">
      <c r="B119" s="738"/>
      <c r="C119" s="708"/>
      <c r="D119" s="708"/>
      <c r="E119" s="708"/>
      <c r="F119" s="708"/>
      <c r="G119" s="708"/>
      <c r="H119" s="708"/>
      <c r="I119" s="708"/>
      <c r="J119" s="790"/>
      <c r="K119" s="146"/>
      <c r="L119" s="146"/>
      <c r="M119" s="146"/>
      <c r="N119" s="146"/>
      <c r="O119" s="146"/>
      <c r="P119" s="146"/>
      <c r="Q119" s="146"/>
      <c r="R119" s="146"/>
      <c r="S119" s="146"/>
      <c r="T119" s="146"/>
      <c r="U119" s="1266"/>
      <c r="V119" s="1266"/>
      <c r="W119" s="1266"/>
      <c r="X119" s="1266"/>
      <c r="Y119" s="1266"/>
      <c r="Z119" s="1266"/>
      <c r="AA119" s="1266"/>
      <c r="AB119" s="1266"/>
      <c r="AC119" s="1266"/>
      <c r="AD119" s="1266"/>
    </row>
    <row r="120" spans="2:30" s="2925" customFormat="1">
      <c r="B120" s="738"/>
      <c r="C120" s="708"/>
      <c r="D120" s="708"/>
      <c r="E120" s="708"/>
      <c r="F120" s="708"/>
      <c r="G120" s="708"/>
      <c r="H120" s="708"/>
      <c r="I120" s="708"/>
      <c r="J120" s="790"/>
      <c r="K120" s="146"/>
      <c r="L120" s="146"/>
      <c r="M120" s="146"/>
      <c r="N120" s="146"/>
      <c r="O120" s="146"/>
      <c r="P120" s="146"/>
      <c r="Q120" s="146"/>
      <c r="R120" s="146"/>
      <c r="S120" s="146"/>
      <c r="T120" s="146"/>
      <c r="U120" s="1266"/>
      <c r="V120" s="1266"/>
      <c r="W120" s="1266"/>
      <c r="X120" s="1266"/>
      <c r="Y120" s="1266"/>
      <c r="Z120" s="1266"/>
      <c r="AA120" s="1266"/>
      <c r="AB120" s="1266"/>
      <c r="AC120" s="1266"/>
      <c r="AD120" s="1266"/>
    </row>
    <row r="121" spans="2:30" s="2925" customFormat="1">
      <c r="B121" s="738"/>
      <c r="C121" s="708"/>
      <c r="D121" s="708"/>
      <c r="E121" s="708"/>
      <c r="F121" s="708"/>
      <c r="G121" s="708"/>
      <c r="H121" s="708"/>
      <c r="I121" s="708"/>
      <c r="J121" s="790"/>
      <c r="K121" s="146"/>
      <c r="L121" s="146"/>
      <c r="M121" s="146"/>
      <c r="N121" s="146"/>
      <c r="O121" s="146"/>
      <c r="P121" s="146"/>
      <c r="Q121" s="146"/>
      <c r="R121" s="146"/>
      <c r="S121" s="146"/>
      <c r="T121" s="146"/>
      <c r="U121" s="1266"/>
      <c r="V121" s="1266"/>
      <c r="W121" s="1266"/>
      <c r="X121" s="1266"/>
      <c r="Y121" s="1266"/>
      <c r="Z121" s="1266"/>
      <c r="AA121" s="1266"/>
      <c r="AB121" s="1266"/>
      <c r="AC121" s="1266"/>
      <c r="AD121" s="1266"/>
    </row>
    <row r="122" spans="2:30" s="2925" customFormat="1" ht="13.5" thickBot="1">
      <c r="B122" s="1601" t="s">
        <v>1458</v>
      </c>
      <c r="C122" s="792"/>
      <c r="D122" s="792"/>
      <c r="E122" s="792"/>
      <c r="F122" s="792"/>
      <c r="G122" s="792"/>
      <c r="H122" s="792"/>
      <c r="I122" s="792"/>
      <c r="J122" s="793"/>
      <c r="K122" s="146"/>
      <c r="L122" s="146"/>
      <c r="M122" s="146"/>
      <c r="N122" s="146"/>
      <c r="O122" s="146"/>
      <c r="P122" s="146"/>
      <c r="Q122" s="146"/>
      <c r="R122" s="146"/>
      <c r="S122" s="146"/>
      <c r="T122" s="146"/>
      <c r="U122" s="1266"/>
      <c r="V122" s="1266"/>
      <c r="W122" s="1266"/>
      <c r="X122" s="1266"/>
      <c r="Y122" s="1266"/>
      <c r="Z122" s="1266"/>
      <c r="AA122" s="1266"/>
      <c r="AB122" s="1266"/>
      <c r="AC122" s="1266"/>
      <c r="AD122" s="1266"/>
    </row>
    <row r="123" spans="2:30" s="2925" customFormat="1">
      <c r="I123" s="146"/>
      <c r="J123" s="146"/>
      <c r="K123" s="146"/>
      <c r="L123" s="146"/>
      <c r="M123" s="146"/>
      <c r="N123" s="146"/>
      <c r="O123" s="146"/>
      <c r="P123" s="146"/>
      <c r="Q123" s="146"/>
      <c r="R123" s="146"/>
      <c r="S123" s="146"/>
      <c r="T123" s="146"/>
      <c r="U123" s="1266"/>
      <c r="V123" s="1266"/>
      <c r="W123" s="1266"/>
      <c r="X123" s="1266"/>
      <c r="Y123" s="1266"/>
      <c r="Z123" s="1266"/>
      <c r="AA123" s="1266"/>
      <c r="AB123" s="1266"/>
      <c r="AC123" s="1266"/>
      <c r="AD123" s="1266"/>
    </row>
    <row r="124" spans="2:30" s="2925" customFormat="1">
      <c r="I124" s="146"/>
      <c r="J124" s="146"/>
      <c r="K124" s="146"/>
      <c r="L124" s="146"/>
      <c r="M124" s="146"/>
      <c r="N124" s="146"/>
      <c r="O124" s="146"/>
      <c r="P124" s="146"/>
      <c r="Q124" s="146"/>
      <c r="R124" s="146"/>
      <c r="S124" s="146"/>
      <c r="T124" s="146"/>
      <c r="U124" s="1266"/>
      <c r="V124" s="1266"/>
      <c r="W124" s="1266"/>
      <c r="X124" s="1266"/>
      <c r="Y124" s="1266"/>
      <c r="Z124" s="1266"/>
      <c r="AA124" s="1266"/>
      <c r="AB124" s="1266"/>
      <c r="AC124" s="1266"/>
      <c r="AD124" s="1266"/>
    </row>
    <row r="125" spans="2:30" s="2925" customFormat="1">
      <c r="I125" s="146"/>
      <c r="J125" s="146"/>
      <c r="K125" s="146"/>
      <c r="L125" s="146"/>
      <c r="M125" s="146"/>
      <c r="N125" s="146"/>
      <c r="O125" s="146"/>
      <c r="P125" s="146"/>
      <c r="Q125" s="146"/>
      <c r="R125" s="146"/>
      <c r="S125" s="146"/>
      <c r="T125" s="146"/>
      <c r="U125" s="1266"/>
      <c r="V125" s="1266"/>
      <c r="W125" s="1266"/>
      <c r="X125" s="1266"/>
      <c r="Y125" s="1266"/>
      <c r="Z125" s="1266"/>
      <c r="AA125" s="1266"/>
      <c r="AB125" s="1266"/>
      <c r="AC125" s="1266"/>
      <c r="AD125" s="1266"/>
    </row>
    <row r="126" spans="2:30" s="2925" customFormat="1" ht="13.5" thickBot="1">
      <c r="I126" s="146"/>
      <c r="J126" s="146"/>
      <c r="K126" s="146"/>
      <c r="L126" s="146"/>
      <c r="M126" s="146"/>
      <c r="N126" s="146"/>
      <c r="O126" s="146"/>
      <c r="P126" s="146"/>
      <c r="Q126" s="146"/>
      <c r="R126" s="146"/>
      <c r="S126" s="146"/>
      <c r="T126" s="146"/>
      <c r="U126" s="1266"/>
      <c r="V126" s="1266"/>
      <c r="W126" s="1266"/>
      <c r="X126" s="1266"/>
      <c r="Y126" s="1266"/>
      <c r="Z126" s="1266"/>
      <c r="AA126" s="1266"/>
      <c r="AB126" s="1266"/>
      <c r="AC126" s="1266"/>
      <c r="AD126" s="1266"/>
    </row>
    <row r="127" spans="2:30" ht="39" customHeight="1" thickBot="1">
      <c r="B127" s="4908" t="s">
        <v>1462</v>
      </c>
      <c r="C127" s="4909"/>
      <c r="D127" s="4910"/>
      <c r="E127" s="2930"/>
      <c r="F127" s="2930"/>
      <c r="G127" s="2930"/>
      <c r="H127" s="2930"/>
      <c r="I127" s="2930"/>
      <c r="J127" s="2930"/>
      <c r="K127" s="146"/>
      <c r="L127" s="146"/>
      <c r="M127" s="146"/>
      <c r="N127" s="146"/>
      <c r="O127" s="146"/>
      <c r="P127" s="146"/>
      <c r="Q127" s="146"/>
      <c r="R127" s="146"/>
      <c r="S127" s="146"/>
      <c r="AD127" s="98"/>
    </row>
    <row r="128" spans="2:30" ht="38.25">
      <c r="B128" s="4903" t="s">
        <v>732</v>
      </c>
      <c r="C128" s="1981" t="s">
        <v>718</v>
      </c>
      <c r="D128" s="1982" t="s">
        <v>719</v>
      </c>
      <c r="E128" s="146"/>
      <c r="F128" s="146"/>
      <c r="G128" s="146"/>
      <c r="H128" s="146"/>
      <c r="I128" s="146"/>
      <c r="J128" s="146"/>
      <c r="K128" s="146"/>
      <c r="L128" s="146"/>
      <c r="M128" s="146"/>
      <c r="N128" s="146"/>
      <c r="O128"/>
      <c r="P128"/>
      <c r="Q128"/>
      <c r="Y128" s="98"/>
      <c r="Z128" s="98"/>
      <c r="AA128" s="98"/>
      <c r="AB128" s="98"/>
      <c r="AC128" s="98"/>
      <c r="AD128" s="98"/>
    </row>
    <row r="129" spans="2:30" ht="12.75" customHeight="1">
      <c r="B129" s="4904"/>
      <c r="C129" s="1983"/>
      <c r="D129" s="1984"/>
      <c r="E129" s="146"/>
      <c r="F129" s="83"/>
      <c r="G129" s="146"/>
      <c r="H129" s="146"/>
      <c r="I129" s="146"/>
      <c r="J129" s="146"/>
      <c r="K129" s="146"/>
      <c r="L129" s="146"/>
      <c r="M129" s="146"/>
      <c r="N129" s="146"/>
      <c r="O129"/>
      <c r="P129"/>
      <c r="Q129"/>
      <c r="Y129" s="98"/>
      <c r="Z129" s="98"/>
      <c r="AA129" s="98"/>
      <c r="AB129" s="98"/>
      <c r="AC129" s="98"/>
      <c r="AD129" s="98"/>
    </row>
    <row r="130" spans="2:30" ht="13.5" customHeight="1" thickBot="1">
      <c r="B130" s="4904"/>
      <c r="C130" s="1987" t="s">
        <v>410</v>
      </c>
      <c r="D130" s="1988" t="s">
        <v>410</v>
      </c>
      <c r="E130" s="146"/>
      <c r="F130" s="146"/>
      <c r="G130" s="146"/>
      <c r="H130" s="146"/>
      <c r="I130" s="146"/>
      <c r="J130" s="146"/>
      <c r="K130" s="146"/>
      <c r="L130" s="146"/>
      <c r="M130" s="146"/>
      <c r="N130" s="146"/>
      <c r="O130"/>
      <c r="P130"/>
      <c r="Q130"/>
      <c r="Y130" s="98"/>
      <c r="Z130" s="98"/>
      <c r="AA130" s="98"/>
      <c r="AB130" s="98"/>
      <c r="AC130" s="98"/>
      <c r="AD130" s="98"/>
    </row>
    <row r="131" spans="2:30">
      <c r="B131" s="1967" t="s">
        <v>726</v>
      </c>
      <c r="C131" s="1985"/>
      <c r="D131" s="1986"/>
      <c r="F131" s="146"/>
      <c r="G131" s="146"/>
      <c r="H131" s="146"/>
      <c r="I131" s="146"/>
      <c r="J131" s="146"/>
      <c r="K131" s="146"/>
      <c r="L131" s="146"/>
      <c r="M131" s="146"/>
      <c r="N131" s="146"/>
      <c r="O131"/>
      <c r="P131"/>
      <c r="Q131"/>
      <c r="Y131" s="98"/>
      <c r="Z131" s="98"/>
      <c r="AA131" s="98"/>
      <c r="AB131" s="98"/>
      <c r="AC131" s="98"/>
      <c r="AD131" s="98"/>
    </row>
    <row r="132" spans="2:30">
      <c r="B132" s="1964" t="s">
        <v>66</v>
      </c>
      <c r="C132" s="738"/>
      <c r="D132" s="790"/>
      <c r="N132"/>
      <c r="O132"/>
      <c r="P132"/>
      <c r="Q132"/>
      <c r="Y132" s="98"/>
      <c r="Z132" s="98"/>
      <c r="AA132" s="98"/>
      <c r="AB132" s="98"/>
      <c r="AC132" s="98"/>
      <c r="AD132" s="98"/>
    </row>
    <row r="133" spans="2:30">
      <c r="B133" s="838" t="s">
        <v>707</v>
      </c>
      <c r="C133" s="3473" t="s">
        <v>1611</v>
      </c>
      <c r="D133" s="3474"/>
      <c r="N133"/>
      <c r="O133"/>
      <c r="P133"/>
      <c r="Q133"/>
      <c r="Y133" s="98"/>
      <c r="Z133" s="98"/>
      <c r="AA133" s="98"/>
      <c r="AB133" s="98"/>
      <c r="AC133" s="98"/>
      <c r="AD133" s="98"/>
    </row>
    <row r="134" spans="2:30" ht="12.75" customHeight="1">
      <c r="B134" s="838" t="s">
        <v>708</v>
      </c>
      <c r="C134" s="738"/>
      <c r="D134" s="790"/>
      <c r="N134"/>
      <c r="O134"/>
      <c r="P134"/>
      <c r="Q134"/>
      <c r="Y134" s="98"/>
      <c r="Z134" s="98"/>
      <c r="AA134" s="98"/>
      <c r="AB134" s="98"/>
      <c r="AC134" s="98"/>
      <c r="AD134" s="98"/>
    </row>
    <row r="135" spans="2:30">
      <c r="B135" s="838" t="s">
        <v>709</v>
      </c>
      <c r="C135" s="738"/>
      <c r="D135" s="790"/>
      <c r="N135"/>
      <c r="O135"/>
      <c r="P135"/>
      <c r="Q135"/>
      <c r="Y135" s="98"/>
      <c r="Z135" s="98"/>
      <c r="AA135" s="98"/>
      <c r="AB135" s="98"/>
      <c r="AC135" s="98"/>
      <c r="AD135" s="98"/>
    </row>
    <row r="136" spans="2:30">
      <c r="B136" s="838" t="s">
        <v>710</v>
      </c>
      <c r="C136" s="738"/>
      <c r="D136" s="790"/>
      <c r="N136"/>
      <c r="O136"/>
      <c r="P136"/>
      <c r="Q136"/>
      <c r="Y136" s="98"/>
      <c r="Z136" s="98"/>
      <c r="AA136" s="98"/>
      <c r="AB136" s="98"/>
      <c r="AC136" s="98"/>
      <c r="AD136" s="98"/>
    </row>
    <row r="137" spans="2:30" ht="12.75" customHeight="1">
      <c r="B137" s="838" t="s">
        <v>711</v>
      </c>
      <c r="C137" s="738"/>
      <c r="D137" s="790"/>
      <c r="N137"/>
      <c r="O137"/>
      <c r="P137"/>
      <c r="Q137"/>
      <c r="Y137" s="98"/>
      <c r="Z137" s="98"/>
      <c r="AA137" s="98"/>
      <c r="AB137" s="98"/>
      <c r="AC137" s="98"/>
      <c r="AD137" s="98"/>
    </row>
    <row r="138" spans="2:30" s="2255" customFormat="1" ht="12.75" customHeight="1">
      <c r="B138" s="838" t="s">
        <v>753</v>
      </c>
      <c r="C138" s="738"/>
      <c r="D138" s="790"/>
      <c r="N138" s="1266"/>
      <c r="O138" s="1266"/>
      <c r="P138" s="1266"/>
      <c r="Q138" s="1266"/>
      <c r="R138" s="1266"/>
      <c r="S138" s="1266"/>
      <c r="T138" s="1266"/>
      <c r="U138" s="1266"/>
      <c r="V138" s="1266"/>
      <c r="W138" s="1266"/>
      <c r="X138" s="1266"/>
    </row>
    <row r="139" spans="2:30">
      <c r="B139" s="1964" t="s">
        <v>67</v>
      </c>
      <c r="C139" s="738"/>
      <c r="D139" s="790"/>
      <c r="N139"/>
      <c r="O139"/>
      <c r="P139"/>
      <c r="Q139"/>
      <c r="Y139" s="98"/>
      <c r="Z139" s="98"/>
      <c r="AA139" s="98"/>
      <c r="AB139" s="98"/>
      <c r="AC139" s="98"/>
      <c r="AD139" s="98"/>
    </row>
    <row r="140" spans="2:30" ht="12.75" customHeight="1">
      <c r="B140" s="838" t="s">
        <v>707</v>
      </c>
      <c r="C140" s="738"/>
      <c r="D140" s="790"/>
      <c r="N140"/>
      <c r="O140"/>
      <c r="P140"/>
      <c r="Q140"/>
      <c r="Y140" s="98"/>
      <c r="Z140" s="98"/>
      <c r="AA140" s="98"/>
      <c r="AB140" s="98"/>
      <c r="AC140" s="98"/>
      <c r="AD140" s="98"/>
    </row>
    <row r="141" spans="2:30" ht="12.75" customHeight="1">
      <c r="B141" s="838" t="s">
        <v>708</v>
      </c>
      <c r="C141" s="738"/>
      <c r="D141" s="790"/>
      <c r="N141"/>
      <c r="O141"/>
      <c r="P141"/>
      <c r="Q141"/>
      <c r="Y141" s="98"/>
      <c r="Z141" s="98"/>
      <c r="AA141" s="98"/>
      <c r="AB141" s="98"/>
      <c r="AC141" s="98"/>
      <c r="AD141" s="98"/>
    </row>
    <row r="142" spans="2:30">
      <c r="B142" s="838" t="s">
        <v>709</v>
      </c>
      <c r="C142" s="738"/>
      <c r="D142" s="790"/>
      <c r="N142"/>
      <c r="O142"/>
      <c r="P142"/>
      <c r="Q142"/>
      <c r="Y142" s="98"/>
      <c r="Z142" s="98"/>
      <c r="AA142" s="98"/>
      <c r="AB142" s="98"/>
      <c r="AC142" s="98"/>
      <c r="AD142" s="98"/>
    </row>
    <row r="143" spans="2:30">
      <c r="B143" s="838" t="s">
        <v>710</v>
      </c>
      <c r="C143" s="738"/>
      <c r="D143" s="790"/>
      <c r="N143"/>
      <c r="O143"/>
      <c r="P143"/>
      <c r="Q143"/>
      <c r="Y143" s="98"/>
      <c r="Z143" s="98"/>
      <c r="AA143" s="98"/>
      <c r="AB143" s="98"/>
      <c r="AC143" s="98"/>
      <c r="AD143" s="98"/>
    </row>
    <row r="144" spans="2:30" ht="12.75" customHeight="1">
      <c r="B144" s="838" t="s">
        <v>711</v>
      </c>
      <c r="C144" s="738"/>
      <c r="D144" s="790"/>
      <c r="N144"/>
      <c r="O144"/>
      <c r="P144"/>
      <c r="Q144"/>
      <c r="Y144" s="98"/>
      <c r="Z144" s="98"/>
      <c r="AA144" s="98"/>
      <c r="AB144" s="98"/>
      <c r="AC144" s="98"/>
      <c r="AD144" s="98"/>
    </row>
    <row r="145" spans="2:30" s="2255" customFormat="1" ht="12.75" customHeight="1">
      <c r="B145" s="838" t="s">
        <v>753</v>
      </c>
      <c r="C145" s="738"/>
      <c r="D145" s="790"/>
      <c r="N145" s="1266"/>
      <c r="O145" s="1266"/>
      <c r="P145" s="1266"/>
      <c r="Q145" s="1266"/>
      <c r="R145" s="1266"/>
      <c r="S145" s="1266"/>
      <c r="T145" s="1266"/>
      <c r="U145" s="1266"/>
      <c r="V145" s="1266"/>
      <c r="W145" s="1266"/>
      <c r="X145" s="1266"/>
    </row>
    <row r="146" spans="2:30">
      <c r="B146" s="1964" t="s">
        <v>85</v>
      </c>
      <c r="C146" s="738"/>
      <c r="D146" s="790"/>
      <c r="N146"/>
      <c r="O146"/>
      <c r="P146"/>
      <c r="Q146"/>
      <c r="Y146" s="98"/>
      <c r="Z146" s="98"/>
      <c r="AA146" s="98"/>
      <c r="AB146" s="98"/>
      <c r="AC146" s="98"/>
      <c r="AD146" s="98"/>
    </row>
    <row r="147" spans="2:30" ht="12.75" customHeight="1">
      <c r="B147" s="838" t="s">
        <v>707</v>
      </c>
      <c r="C147" s="738"/>
      <c r="D147" s="790"/>
      <c r="N147"/>
      <c r="O147"/>
      <c r="P147"/>
      <c r="Q147"/>
      <c r="Y147" s="98"/>
      <c r="Z147" s="98"/>
      <c r="AA147" s="98"/>
      <c r="AB147" s="98"/>
      <c r="AC147" s="98"/>
      <c r="AD147" s="98"/>
    </row>
    <row r="148" spans="2:30" ht="12.75" customHeight="1">
      <c r="B148" s="838" t="s">
        <v>708</v>
      </c>
      <c r="C148" s="738"/>
      <c r="D148" s="790"/>
      <c r="N148"/>
      <c r="O148"/>
      <c r="P148"/>
      <c r="Q148"/>
      <c r="Y148" s="98"/>
      <c r="Z148" s="98"/>
      <c r="AA148" s="98"/>
      <c r="AB148" s="98"/>
      <c r="AC148" s="98"/>
      <c r="AD148" s="98"/>
    </row>
    <row r="149" spans="2:30">
      <c r="B149" s="838" t="s">
        <v>709</v>
      </c>
      <c r="C149" s="738"/>
      <c r="D149" s="790"/>
      <c r="N149"/>
      <c r="O149"/>
      <c r="P149"/>
      <c r="Q149"/>
      <c r="Y149" s="98"/>
      <c r="Z149" s="98"/>
      <c r="AA149" s="98"/>
      <c r="AB149" s="98"/>
      <c r="AC149" s="98"/>
      <c r="AD149" s="98"/>
    </row>
    <row r="150" spans="2:30">
      <c r="B150" s="838" t="s">
        <v>710</v>
      </c>
      <c r="C150" s="738"/>
      <c r="D150" s="790"/>
      <c r="N150"/>
      <c r="O150"/>
      <c r="P150"/>
      <c r="Q150"/>
      <c r="Y150" s="98"/>
      <c r="Z150" s="98"/>
      <c r="AA150" s="98"/>
      <c r="AB150" s="98"/>
      <c r="AC150" s="98"/>
      <c r="AD150" s="98"/>
    </row>
    <row r="151" spans="2:30" ht="12.75" customHeight="1">
      <c r="B151" s="838" t="s">
        <v>711</v>
      </c>
      <c r="C151" s="738"/>
      <c r="D151" s="790"/>
      <c r="N151"/>
      <c r="O151"/>
      <c r="P151"/>
      <c r="Q151"/>
      <c r="Y151" s="98"/>
      <c r="Z151" s="98"/>
      <c r="AA151" s="98"/>
      <c r="AB151" s="98"/>
      <c r="AC151" s="98"/>
      <c r="AD151" s="98"/>
    </row>
    <row r="152" spans="2:30" s="2255" customFormat="1" ht="12.75" customHeight="1">
      <c r="B152" s="838" t="s">
        <v>753</v>
      </c>
      <c r="C152" s="738"/>
      <c r="D152" s="790"/>
      <c r="N152" s="1266"/>
      <c r="O152" s="1266"/>
      <c r="P152" s="1266"/>
      <c r="Q152" s="1266"/>
      <c r="R152" s="1266"/>
      <c r="S152" s="1266"/>
      <c r="T152" s="1266"/>
      <c r="U152" s="1266"/>
      <c r="V152" s="1266"/>
      <c r="W152" s="1266"/>
      <c r="X152" s="1266"/>
    </row>
    <row r="153" spans="2:30" ht="12.75" customHeight="1">
      <c r="B153" s="1964" t="s">
        <v>712</v>
      </c>
      <c r="C153" s="738"/>
      <c r="D153" s="790"/>
      <c r="N153"/>
      <c r="O153"/>
      <c r="P153"/>
      <c r="Q153"/>
      <c r="Y153" s="98"/>
      <c r="Z153" s="98"/>
      <c r="AA153" s="98"/>
      <c r="AB153" s="98"/>
      <c r="AC153" s="98"/>
      <c r="AD153" s="98"/>
    </row>
    <row r="154" spans="2:30" ht="12.75" customHeight="1">
      <c r="B154" s="838" t="s">
        <v>707</v>
      </c>
      <c r="C154" s="738"/>
      <c r="D154" s="790"/>
      <c r="N154"/>
      <c r="O154"/>
      <c r="P154"/>
      <c r="Q154"/>
      <c r="Y154" s="98"/>
      <c r="Z154" s="98"/>
      <c r="AA154" s="98"/>
      <c r="AB154" s="98"/>
      <c r="AC154" s="98"/>
      <c r="AD154" s="98"/>
    </row>
    <row r="155" spans="2:30" ht="12.75" customHeight="1">
      <c r="B155" s="838" t="s">
        <v>708</v>
      </c>
      <c r="C155" s="738"/>
      <c r="D155" s="790"/>
      <c r="N155"/>
      <c r="O155"/>
      <c r="P155"/>
      <c r="Q155"/>
      <c r="Y155" s="98"/>
      <c r="Z155" s="98"/>
      <c r="AA155" s="98"/>
      <c r="AB155" s="98"/>
      <c r="AC155" s="98"/>
      <c r="AD155" s="98"/>
    </row>
    <row r="156" spans="2:30">
      <c r="B156" s="838" t="s">
        <v>709</v>
      </c>
      <c r="C156" s="738"/>
      <c r="D156" s="790"/>
      <c r="N156"/>
      <c r="O156"/>
      <c r="P156"/>
      <c r="Q156"/>
      <c r="Y156" s="98"/>
      <c r="Z156" s="98"/>
      <c r="AA156" s="98"/>
      <c r="AB156" s="98"/>
      <c r="AC156" s="98"/>
      <c r="AD156" s="98"/>
    </row>
    <row r="157" spans="2:30">
      <c r="B157" s="838" t="s">
        <v>710</v>
      </c>
      <c r="C157" s="738"/>
      <c r="D157" s="790"/>
      <c r="N157"/>
      <c r="O157"/>
      <c r="P157"/>
      <c r="Q157"/>
      <c r="Y157" s="98"/>
      <c r="Z157" s="98"/>
      <c r="AA157" s="98"/>
      <c r="AB157" s="98"/>
      <c r="AC157" s="98"/>
      <c r="AD157" s="98"/>
    </row>
    <row r="158" spans="2:30" ht="12.75" customHeight="1">
      <c r="B158" s="838" t="s">
        <v>711</v>
      </c>
      <c r="C158" s="738"/>
      <c r="D158" s="790"/>
      <c r="N158"/>
      <c r="O158"/>
      <c r="P158"/>
      <c r="Q158"/>
      <c r="Y158" s="98"/>
      <c r="Z158" s="98"/>
      <c r="AA158" s="98"/>
      <c r="AB158" s="98"/>
      <c r="AC158" s="98"/>
      <c r="AD158" s="98"/>
    </row>
    <row r="159" spans="2:30" s="2255" customFormat="1" ht="12.75" customHeight="1">
      <c r="B159" s="838" t="s">
        <v>753</v>
      </c>
      <c r="C159" s="738"/>
      <c r="D159" s="790"/>
      <c r="N159" s="1266"/>
      <c r="O159" s="1266"/>
      <c r="P159" s="1266"/>
      <c r="Q159" s="1266"/>
      <c r="R159" s="1266"/>
      <c r="S159" s="1266"/>
      <c r="T159" s="1266"/>
      <c r="U159" s="1266"/>
      <c r="V159" s="1266"/>
      <c r="W159" s="1266"/>
      <c r="X159" s="1266"/>
    </row>
    <row r="160" spans="2:30" ht="12.75" customHeight="1">
      <c r="B160" s="1964" t="s">
        <v>713</v>
      </c>
      <c r="C160" s="738"/>
      <c r="D160" s="790"/>
      <c r="N160"/>
      <c r="O160"/>
      <c r="P160"/>
      <c r="Q160"/>
      <c r="Y160" s="98"/>
      <c r="Z160" s="98"/>
      <c r="AA160" s="98"/>
      <c r="AB160" s="98"/>
      <c r="AC160" s="98"/>
      <c r="AD160" s="98"/>
    </row>
    <row r="161" spans="2:30" ht="12.75" customHeight="1">
      <c r="B161" s="838" t="s">
        <v>707</v>
      </c>
      <c r="C161" s="738"/>
      <c r="D161" s="790"/>
      <c r="N161"/>
      <c r="O161"/>
      <c r="P161"/>
      <c r="Q161"/>
      <c r="Y161" s="98"/>
      <c r="Z161" s="98"/>
      <c r="AA161" s="98"/>
      <c r="AB161" s="98"/>
      <c r="AC161" s="98"/>
      <c r="AD161" s="98"/>
    </row>
    <row r="162" spans="2:30" ht="12.75" customHeight="1">
      <c r="B162" s="838" t="s">
        <v>708</v>
      </c>
      <c r="C162" s="738"/>
      <c r="D162" s="790"/>
      <c r="N162"/>
      <c r="O162"/>
      <c r="P162"/>
      <c r="Q162"/>
      <c r="Y162" s="98"/>
      <c r="Z162" s="98"/>
      <c r="AA162" s="98"/>
      <c r="AB162" s="98"/>
      <c r="AC162" s="98"/>
      <c r="AD162" s="98"/>
    </row>
    <row r="163" spans="2:30">
      <c r="B163" s="838" t="s">
        <v>709</v>
      </c>
      <c r="C163" s="738"/>
      <c r="D163" s="790"/>
      <c r="N163"/>
      <c r="O163"/>
      <c r="P163"/>
      <c r="Q163"/>
      <c r="Y163" s="98"/>
      <c r="Z163" s="98"/>
      <c r="AA163" s="98"/>
      <c r="AB163" s="98"/>
      <c r="AC163" s="98"/>
      <c r="AD163" s="98"/>
    </row>
    <row r="164" spans="2:30">
      <c r="B164" s="838" t="s">
        <v>710</v>
      </c>
      <c r="C164" s="738"/>
      <c r="D164" s="790"/>
      <c r="N164"/>
      <c r="O164"/>
      <c r="P164"/>
      <c r="Q164"/>
      <c r="Y164" s="98"/>
      <c r="Z164" s="98"/>
      <c r="AA164" s="98"/>
      <c r="AB164" s="98"/>
      <c r="AC164" s="98"/>
      <c r="AD164" s="98"/>
    </row>
    <row r="165" spans="2:30" ht="12.75" customHeight="1">
      <c r="B165" s="838" t="s">
        <v>711</v>
      </c>
      <c r="C165" s="738"/>
      <c r="D165" s="790"/>
      <c r="N165"/>
      <c r="O165"/>
      <c r="P165"/>
      <c r="Q165"/>
      <c r="Y165" s="98"/>
      <c r="Z165" s="98"/>
      <c r="AA165" s="98"/>
      <c r="AB165" s="98"/>
      <c r="AC165" s="98"/>
      <c r="AD165" s="98"/>
    </row>
    <row r="166" spans="2:30" s="2255" customFormat="1" ht="12.75" customHeight="1">
      <c r="B166" s="838" t="s">
        <v>753</v>
      </c>
      <c r="C166" s="738"/>
      <c r="D166" s="790"/>
      <c r="N166" s="1266"/>
      <c r="O166" s="1266"/>
      <c r="P166" s="1266"/>
      <c r="Q166" s="1266"/>
      <c r="R166" s="1266"/>
      <c r="S166" s="1266"/>
      <c r="T166" s="1266"/>
      <c r="U166" s="1266"/>
      <c r="V166" s="1266"/>
      <c r="W166" s="1266"/>
      <c r="X166" s="1266"/>
    </row>
    <row r="167" spans="2:30" ht="12.75" customHeight="1">
      <c r="B167" s="1964" t="s">
        <v>714</v>
      </c>
      <c r="C167" s="738"/>
      <c r="D167" s="790"/>
      <c r="N167"/>
      <c r="O167"/>
      <c r="P167"/>
      <c r="Q167"/>
      <c r="Y167" s="98"/>
      <c r="Z167" s="98"/>
      <c r="AA167" s="98"/>
      <c r="AB167" s="98"/>
      <c r="AC167" s="98"/>
      <c r="AD167" s="98"/>
    </row>
    <row r="168" spans="2:30" ht="12.75" customHeight="1">
      <c r="B168" s="838" t="s">
        <v>707</v>
      </c>
      <c r="C168" s="738"/>
      <c r="D168" s="790"/>
      <c r="N168"/>
      <c r="O168"/>
      <c r="P168"/>
      <c r="Q168"/>
      <c r="Y168" s="98"/>
      <c r="Z168" s="98"/>
      <c r="AA168" s="98"/>
      <c r="AB168" s="98"/>
      <c r="AC168" s="98"/>
      <c r="AD168" s="98"/>
    </row>
    <row r="169" spans="2:30" ht="12.75" customHeight="1">
      <c r="B169" s="838" t="s">
        <v>708</v>
      </c>
      <c r="C169" s="738"/>
      <c r="D169" s="790"/>
      <c r="N169"/>
      <c r="O169"/>
      <c r="P169"/>
      <c r="Q169"/>
      <c r="Y169" s="98"/>
      <c r="Z169" s="98"/>
      <c r="AA169" s="98"/>
      <c r="AB169" s="98"/>
      <c r="AC169" s="98"/>
      <c r="AD169" s="98"/>
    </row>
    <row r="170" spans="2:30">
      <c r="B170" s="838" t="s">
        <v>709</v>
      </c>
      <c r="C170" s="738"/>
      <c r="D170" s="790"/>
      <c r="N170"/>
      <c r="O170"/>
      <c r="P170"/>
      <c r="Q170"/>
      <c r="Y170" s="98"/>
      <c r="Z170" s="98"/>
      <c r="AA170" s="98"/>
      <c r="AB170" s="98"/>
      <c r="AC170" s="98"/>
      <c r="AD170" s="98"/>
    </row>
    <row r="171" spans="2:30">
      <c r="B171" s="838" t="s">
        <v>710</v>
      </c>
      <c r="C171" s="738"/>
      <c r="D171" s="790"/>
      <c r="N171"/>
      <c r="O171"/>
      <c r="P171"/>
      <c r="Q171"/>
      <c r="Y171" s="98"/>
      <c r="Z171" s="98"/>
      <c r="AA171" s="98"/>
      <c r="AB171" s="98"/>
      <c r="AC171" s="98"/>
      <c r="AD171" s="98"/>
    </row>
    <row r="172" spans="2:30" ht="12.75" customHeight="1">
      <c r="B172" s="838" t="s">
        <v>711</v>
      </c>
      <c r="C172" s="738"/>
      <c r="D172" s="790"/>
      <c r="N172"/>
      <c r="O172"/>
      <c r="P172"/>
      <c r="Q172"/>
      <c r="Y172" s="98"/>
      <c r="Z172" s="98"/>
      <c r="AA172" s="98"/>
      <c r="AB172" s="98"/>
      <c r="AC172" s="98"/>
      <c r="AD172" s="98"/>
    </row>
    <row r="173" spans="2:30" s="2255" customFormat="1" ht="12.75" customHeight="1">
      <c r="B173" s="838" t="s">
        <v>753</v>
      </c>
      <c r="C173" s="738"/>
      <c r="D173" s="790"/>
      <c r="N173" s="1266"/>
      <c r="O173" s="1266"/>
      <c r="P173" s="1266"/>
      <c r="Q173" s="1266"/>
      <c r="R173" s="1266"/>
      <c r="S173" s="1266"/>
      <c r="T173" s="1266"/>
      <c r="U173" s="1266"/>
      <c r="V173" s="1266"/>
      <c r="W173" s="1266"/>
      <c r="X173" s="1266"/>
    </row>
    <row r="174" spans="2:30" ht="12.75" customHeight="1">
      <c r="B174" s="1964" t="s">
        <v>68</v>
      </c>
      <c r="C174" s="738"/>
      <c r="D174" s="790"/>
      <c r="N174"/>
      <c r="O174"/>
      <c r="P174"/>
      <c r="Q174"/>
      <c r="Y174" s="98"/>
      <c r="Z174" s="98"/>
      <c r="AA174" s="98"/>
      <c r="AB174" s="98"/>
      <c r="AC174" s="98"/>
      <c r="AD174" s="98"/>
    </row>
    <row r="175" spans="2:30" ht="12.75" customHeight="1">
      <c r="B175" s="838" t="s">
        <v>707</v>
      </c>
      <c r="C175" s="738"/>
      <c r="D175" s="790"/>
      <c r="N175"/>
      <c r="O175"/>
      <c r="P175"/>
      <c r="Q175"/>
      <c r="Y175" s="98"/>
      <c r="Z175" s="98"/>
      <c r="AA175" s="98"/>
      <c r="AB175" s="98"/>
      <c r="AC175" s="98"/>
      <c r="AD175" s="98"/>
    </row>
    <row r="176" spans="2:30" ht="12.75" customHeight="1">
      <c r="B176" s="838" t="s">
        <v>708</v>
      </c>
      <c r="C176" s="738"/>
      <c r="D176" s="790"/>
      <c r="N176"/>
      <c r="O176"/>
      <c r="P176"/>
      <c r="Q176"/>
      <c r="Y176" s="98"/>
      <c r="Z176" s="98"/>
      <c r="AA176" s="98"/>
      <c r="AB176" s="98"/>
      <c r="AC176" s="98"/>
      <c r="AD176" s="98"/>
    </row>
    <row r="177" spans="2:30">
      <c r="B177" s="838" t="s">
        <v>709</v>
      </c>
      <c r="C177" s="738"/>
      <c r="D177" s="790"/>
      <c r="N177"/>
      <c r="O177"/>
      <c r="P177"/>
      <c r="Q177"/>
      <c r="Y177" s="98"/>
      <c r="Z177" s="98"/>
      <c r="AA177" s="98"/>
      <c r="AB177" s="98"/>
      <c r="AC177" s="98"/>
      <c r="AD177" s="98"/>
    </row>
    <row r="178" spans="2:30">
      <c r="B178" s="838" t="s">
        <v>710</v>
      </c>
      <c r="C178" s="738"/>
      <c r="D178" s="790"/>
      <c r="N178"/>
      <c r="O178"/>
      <c r="P178"/>
      <c r="Q178"/>
      <c r="Y178" s="98"/>
      <c r="Z178" s="98"/>
      <c r="AA178" s="98"/>
      <c r="AB178" s="98"/>
      <c r="AC178" s="98"/>
      <c r="AD178" s="98"/>
    </row>
    <row r="179" spans="2:30" ht="12.75" customHeight="1">
      <c r="B179" s="838" t="s">
        <v>711</v>
      </c>
      <c r="C179" s="738"/>
      <c r="D179" s="790"/>
      <c r="N179"/>
      <c r="O179"/>
      <c r="P179"/>
      <c r="Q179"/>
      <c r="Y179" s="98"/>
      <c r="Z179" s="98"/>
      <c r="AA179" s="98"/>
      <c r="AB179" s="98"/>
      <c r="AC179" s="98"/>
      <c r="AD179" s="98"/>
    </row>
    <row r="180" spans="2:30" s="2255" customFormat="1" ht="12.75" customHeight="1">
      <c r="B180" s="838" t="s">
        <v>753</v>
      </c>
      <c r="C180" s="738"/>
      <c r="D180" s="790"/>
      <c r="N180" s="1266"/>
      <c r="O180" s="1266"/>
      <c r="P180" s="1266"/>
      <c r="Q180" s="1266"/>
      <c r="R180" s="1266"/>
      <c r="S180" s="1266"/>
      <c r="T180" s="1266"/>
      <c r="U180" s="1266"/>
      <c r="V180" s="1266"/>
      <c r="W180" s="1266"/>
      <c r="X180" s="1266"/>
    </row>
    <row r="181" spans="2:30">
      <c r="B181" s="1964" t="s">
        <v>69</v>
      </c>
      <c r="C181" s="738"/>
      <c r="D181" s="790"/>
      <c r="N181"/>
      <c r="O181"/>
      <c r="P181"/>
      <c r="Q181"/>
      <c r="Y181" s="98"/>
      <c r="Z181" s="98"/>
      <c r="AA181" s="98"/>
      <c r="AB181" s="98"/>
      <c r="AC181" s="98"/>
      <c r="AD181" s="98"/>
    </row>
    <row r="182" spans="2:30" ht="12.75" customHeight="1">
      <c r="B182" s="838" t="s">
        <v>707</v>
      </c>
      <c r="C182" s="738"/>
      <c r="D182" s="790"/>
      <c r="N182"/>
      <c r="O182"/>
      <c r="P182"/>
      <c r="Q182"/>
      <c r="Y182" s="98"/>
      <c r="Z182" s="98"/>
      <c r="AA182" s="98"/>
      <c r="AB182" s="98"/>
      <c r="AC182" s="98"/>
      <c r="AD182" s="98"/>
    </row>
    <row r="183" spans="2:30" ht="12.75" customHeight="1">
      <c r="B183" s="838" t="s">
        <v>708</v>
      </c>
      <c r="C183" s="738"/>
      <c r="D183" s="790"/>
      <c r="N183"/>
      <c r="O183"/>
      <c r="P183"/>
      <c r="Q183"/>
      <c r="Y183" s="98"/>
      <c r="Z183" s="98"/>
      <c r="AA183" s="98"/>
      <c r="AB183" s="98"/>
      <c r="AC183" s="98"/>
      <c r="AD183" s="98"/>
    </row>
    <row r="184" spans="2:30">
      <c r="B184" s="838" t="s">
        <v>709</v>
      </c>
      <c r="C184" s="738"/>
      <c r="D184" s="790"/>
      <c r="N184"/>
      <c r="O184"/>
      <c r="P184"/>
      <c r="Q184"/>
      <c r="Y184" s="98"/>
      <c r="Z184" s="98"/>
      <c r="AA184" s="98"/>
      <c r="AB184" s="98"/>
      <c r="AC184" s="98"/>
      <c r="AD184" s="98"/>
    </row>
    <row r="185" spans="2:30">
      <c r="B185" s="838" t="s">
        <v>710</v>
      </c>
      <c r="C185" s="738"/>
      <c r="D185" s="790"/>
      <c r="N185"/>
      <c r="O185"/>
      <c r="P185"/>
      <c r="Q185"/>
      <c r="Y185" s="98"/>
      <c r="Z185" s="98"/>
      <c r="AA185" s="98"/>
      <c r="AB185" s="98"/>
      <c r="AC185" s="98"/>
      <c r="AD185" s="98"/>
    </row>
    <row r="186" spans="2:30" ht="12.75" customHeight="1">
      <c r="B186" s="838" t="s">
        <v>711</v>
      </c>
      <c r="C186" s="738"/>
      <c r="D186" s="790"/>
      <c r="N186"/>
      <c r="O186"/>
      <c r="P186"/>
      <c r="Q186"/>
      <c r="Y186" s="98"/>
      <c r="Z186" s="98"/>
      <c r="AA186" s="98"/>
      <c r="AB186" s="98"/>
      <c r="AC186" s="98"/>
      <c r="AD186" s="98"/>
    </row>
    <row r="187" spans="2:30" s="2255" customFormat="1" ht="12.75" customHeight="1">
      <c r="B187" s="838" t="s">
        <v>753</v>
      </c>
      <c r="C187" s="738"/>
      <c r="D187" s="790"/>
      <c r="N187" s="1266"/>
      <c r="O187" s="1266"/>
      <c r="P187" s="1266"/>
      <c r="Q187" s="1266"/>
      <c r="R187" s="1266"/>
      <c r="S187" s="1266"/>
      <c r="T187" s="1266"/>
      <c r="U187" s="1266"/>
      <c r="V187" s="1266"/>
      <c r="W187" s="1266"/>
      <c r="X187" s="1266"/>
    </row>
    <row r="188" spans="2:30">
      <c r="B188" s="1968" t="s">
        <v>84</v>
      </c>
      <c r="C188" s="738"/>
      <c r="D188" s="790"/>
      <c r="N188"/>
      <c r="O188"/>
      <c r="P188"/>
      <c r="Q188"/>
      <c r="Y188" s="98"/>
      <c r="Z188" s="98"/>
      <c r="AA188" s="98"/>
      <c r="AB188" s="98"/>
      <c r="AC188" s="98"/>
      <c r="AD188" s="98"/>
    </row>
    <row r="189" spans="2:30" ht="13.5" thickBot="1">
      <c r="B189" s="1968" t="s">
        <v>84</v>
      </c>
      <c r="C189" s="738"/>
      <c r="D189" s="790"/>
      <c r="N189"/>
      <c r="O189"/>
      <c r="P189"/>
      <c r="Q189"/>
      <c r="Y189" s="98"/>
      <c r="Z189" s="98"/>
      <c r="AA189" s="98"/>
      <c r="AB189" s="98"/>
      <c r="AC189" s="98"/>
      <c r="AD189" s="98"/>
    </row>
    <row r="190" spans="2:30">
      <c r="B190" s="1967" t="s">
        <v>727</v>
      </c>
      <c r="C190" s="1985"/>
      <c r="D190" s="1986"/>
      <c r="L190"/>
      <c r="M190"/>
      <c r="N190"/>
      <c r="O190"/>
      <c r="P190"/>
      <c r="Q190"/>
      <c r="Y190" s="98"/>
      <c r="Z190" s="98"/>
      <c r="AA190" s="98"/>
      <c r="AB190" s="98"/>
      <c r="AC190" s="98"/>
      <c r="AD190" s="98"/>
    </row>
    <row r="191" spans="2:30">
      <c r="B191" s="1964" t="s">
        <v>66</v>
      </c>
      <c r="C191" s="738"/>
      <c r="D191" s="790"/>
      <c r="L191"/>
      <c r="M191"/>
      <c r="N191"/>
      <c r="O191"/>
      <c r="P191"/>
      <c r="Q191"/>
      <c r="Y191" s="98"/>
      <c r="Z191" s="98"/>
      <c r="AA191" s="98"/>
      <c r="AB191" s="98"/>
      <c r="AC191" s="98"/>
      <c r="AD191" s="98"/>
    </row>
    <row r="192" spans="2:30">
      <c r="B192" s="838" t="s">
        <v>707</v>
      </c>
      <c r="C192" s="738"/>
      <c r="D192" s="790"/>
      <c r="L192"/>
      <c r="M192"/>
      <c r="N192"/>
      <c r="O192"/>
      <c r="P192"/>
      <c r="Q192"/>
      <c r="Y192" s="98"/>
      <c r="Z192" s="98"/>
      <c r="AA192" s="98"/>
      <c r="AB192" s="98"/>
      <c r="AC192" s="98"/>
      <c r="AD192" s="98"/>
    </row>
    <row r="193" spans="2:30" ht="12.75" customHeight="1">
      <c r="B193" s="838" t="s">
        <v>708</v>
      </c>
      <c r="C193" s="738"/>
      <c r="D193" s="790"/>
      <c r="L193"/>
      <c r="M193"/>
      <c r="N193"/>
      <c r="O193"/>
      <c r="P193"/>
      <c r="Q193"/>
      <c r="Y193" s="98"/>
      <c r="Z193" s="98"/>
      <c r="AA193" s="98"/>
      <c r="AB193" s="98"/>
      <c r="AC193" s="98"/>
      <c r="AD193" s="98"/>
    </row>
    <row r="194" spans="2:30">
      <c r="B194" s="838" t="s">
        <v>709</v>
      </c>
      <c r="C194" s="738"/>
      <c r="D194" s="790"/>
      <c r="L194"/>
      <c r="M194"/>
      <c r="N194"/>
      <c r="O194"/>
      <c r="P194"/>
      <c r="Q194"/>
      <c r="Y194" s="98"/>
      <c r="Z194" s="98"/>
      <c r="AA194" s="98"/>
      <c r="AB194" s="98"/>
      <c r="AC194" s="98"/>
      <c r="AD194" s="98"/>
    </row>
    <row r="195" spans="2:30">
      <c r="B195" s="838" t="s">
        <v>710</v>
      </c>
      <c r="C195" s="738"/>
      <c r="D195" s="790"/>
      <c r="L195"/>
      <c r="M195"/>
      <c r="N195"/>
      <c r="O195"/>
      <c r="P195"/>
      <c r="Q195"/>
      <c r="Y195" s="98"/>
      <c r="Z195" s="98"/>
      <c r="AA195" s="98"/>
      <c r="AB195" s="98"/>
      <c r="AC195" s="98"/>
      <c r="AD195" s="98"/>
    </row>
    <row r="196" spans="2:30" ht="12.75" customHeight="1">
      <c r="B196" s="838" t="s">
        <v>711</v>
      </c>
      <c r="C196" s="738"/>
      <c r="D196" s="790"/>
      <c r="L196"/>
      <c r="M196"/>
      <c r="N196"/>
      <c r="O196"/>
      <c r="P196"/>
      <c r="Q196"/>
      <c r="Y196" s="98"/>
      <c r="Z196" s="98"/>
      <c r="AA196" s="98"/>
      <c r="AB196" s="98"/>
      <c r="AC196" s="98"/>
      <c r="AD196" s="98"/>
    </row>
    <row r="197" spans="2:30" s="2255" customFormat="1" ht="12.75" customHeight="1">
      <c r="B197" s="838" t="s">
        <v>753</v>
      </c>
      <c r="C197" s="738"/>
      <c r="D197" s="790"/>
      <c r="L197" s="1266"/>
      <c r="M197" s="1266"/>
      <c r="N197" s="1266"/>
      <c r="O197" s="1266"/>
      <c r="P197" s="1266"/>
      <c r="Q197" s="1266"/>
      <c r="R197" s="1266"/>
      <c r="S197" s="1266"/>
      <c r="T197" s="1266"/>
      <c r="U197" s="1266"/>
      <c r="V197" s="1266"/>
      <c r="W197" s="1266"/>
      <c r="X197" s="1266"/>
    </row>
    <row r="198" spans="2:30">
      <c r="B198" s="1964" t="s">
        <v>67</v>
      </c>
      <c r="C198" s="738"/>
      <c r="D198" s="790"/>
      <c r="L198"/>
      <c r="M198"/>
      <c r="N198"/>
      <c r="O198"/>
      <c r="P198"/>
      <c r="Q198"/>
      <c r="Y198" s="98"/>
      <c r="Z198" s="98"/>
      <c r="AA198" s="98"/>
      <c r="AB198" s="98"/>
      <c r="AC198" s="98"/>
      <c r="AD198" s="98"/>
    </row>
    <row r="199" spans="2:30" ht="12.75" customHeight="1">
      <c r="B199" s="838" t="s">
        <v>707</v>
      </c>
      <c r="C199" s="738"/>
      <c r="D199" s="790"/>
      <c r="L199"/>
      <c r="M199"/>
      <c r="N199"/>
      <c r="O199"/>
      <c r="P199"/>
      <c r="Q199"/>
      <c r="Y199" s="98"/>
      <c r="Z199" s="98"/>
      <c r="AA199" s="98"/>
      <c r="AB199" s="98"/>
      <c r="AC199" s="98"/>
      <c r="AD199" s="98"/>
    </row>
    <row r="200" spans="2:30" ht="12.75" customHeight="1">
      <c r="B200" s="838" t="s">
        <v>708</v>
      </c>
      <c r="C200" s="738"/>
      <c r="D200" s="790"/>
      <c r="L200"/>
      <c r="M200"/>
      <c r="N200"/>
      <c r="O200"/>
      <c r="P200"/>
      <c r="Q200"/>
      <c r="Y200" s="98"/>
      <c r="Z200" s="98"/>
      <c r="AA200" s="98"/>
      <c r="AB200" s="98"/>
      <c r="AC200" s="98"/>
      <c r="AD200" s="98"/>
    </row>
    <row r="201" spans="2:30">
      <c r="B201" s="838" t="s">
        <v>709</v>
      </c>
      <c r="C201" s="738"/>
      <c r="D201" s="790"/>
      <c r="L201"/>
      <c r="M201"/>
      <c r="N201"/>
      <c r="O201"/>
      <c r="P201"/>
      <c r="Q201"/>
      <c r="Y201" s="98"/>
      <c r="Z201" s="98"/>
      <c r="AA201" s="98"/>
      <c r="AB201" s="98"/>
      <c r="AC201" s="98"/>
      <c r="AD201" s="98"/>
    </row>
    <row r="202" spans="2:30">
      <c r="B202" s="838" t="s">
        <v>710</v>
      </c>
      <c r="C202" s="738"/>
      <c r="D202" s="790"/>
      <c r="L202"/>
      <c r="M202"/>
      <c r="N202"/>
      <c r="O202"/>
      <c r="P202"/>
      <c r="Q202"/>
      <c r="Y202" s="98"/>
      <c r="Z202" s="98"/>
      <c r="AA202" s="98"/>
      <c r="AB202" s="98"/>
      <c r="AC202" s="98"/>
      <c r="AD202" s="98"/>
    </row>
    <row r="203" spans="2:30" ht="12.75" customHeight="1">
      <c r="B203" s="838" t="s">
        <v>711</v>
      </c>
      <c r="C203" s="738"/>
      <c r="D203" s="790"/>
      <c r="L203"/>
      <c r="M203"/>
      <c r="N203"/>
      <c r="O203"/>
      <c r="P203"/>
      <c r="Q203"/>
      <c r="Y203" s="98"/>
      <c r="Z203" s="98"/>
      <c r="AA203" s="98"/>
      <c r="AB203" s="98"/>
      <c r="AC203" s="98"/>
      <c r="AD203" s="98"/>
    </row>
    <row r="204" spans="2:30" s="2255" customFormat="1" ht="12.75" customHeight="1">
      <c r="B204" s="838" t="s">
        <v>753</v>
      </c>
      <c r="C204" s="738"/>
      <c r="D204" s="790"/>
      <c r="L204" s="1266"/>
      <c r="M204" s="1266"/>
      <c r="N204" s="1266"/>
      <c r="O204" s="1266"/>
      <c r="P204" s="1266"/>
      <c r="Q204" s="1266"/>
      <c r="R204" s="1266"/>
      <c r="S204" s="1266"/>
      <c r="T204" s="1266"/>
      <c r="U204" s="1266"/>
      <c r="V204" s="1266"/>
      <c r="W204" s="1266"/>
      <c r="X204" s="1266"/>
    </row>
    <row r="205" spans="2:30">
      <c r="B205" s="1964" t="s">
        <v>85</v>
      </c>
      <c r="C205" s="738"/>
      <c r="D205" s="790"/>
      <c r="L205"/>
      <c r="M205"/>
      <c r="N205"/>
      <c r="O205"/>
      <c r="P205"/>
      <c r="Q205"/>
      <c r="Y205" s="98"/>
      <c r="Z205" s="98"/>
      <c r="AA205" s="98"/>
      <c r="AB205" s="98"/>
      <c r="AC205" s="98"/>
      <c r="AD205" s="98"/>
    </row>
    <row r="206" spans="2:30" ht="12.75" customHeight="1">
      <c r="B206" s="838" t="s">
        <v>707</v>
      </c>
      <c r="C206" s="738"/>
      <c r="D206" s="790"/>
      <c r="L206"/>
      <c r="M206"/>
      <c r="N206"/>
      <c r="O206"/>
      <c r="P206"/>
      <c r="Q206"/>
      <c r="Y206" s="98"/>
      <c r="Z206" s="98"/>
      <c r="AA206" s="98"/>
      <c r="AB206" s="98"/>
      <c r="AC206" s="98"/>
      <c r="AD206" s="98"/>
    </row>
    <row r="207" spans="2:30" ht="12.75" customHeight="1">
      <c r="B207" s="838" t="s">
        <v>708</v>
      </c>
      <c r="C207" s="738"/>
      <c r="D207" s="790"/>
      <c r="L207"/>
      <c r="M207"/>
      <c r="N207"/>
      <c r="O207"/>
      <c r="P207"/>
      <c r="Q207"/>
      <c r="Y207" s="98"/>
      <c r="Z207" s="98"/>
      <c r="AA207" s="98"/>
      <c r="AB207" s="98"/>
      <c r="AC207" s="98"/>
      <c r="AD207" s="98"/>
    </row>
    <row r="208" spans="2:30">
      <c r="B208" s="838" t="s">
        <v>709</v>
      </c>
      <c r="C208" s="738"/>
      <c r="D208" s="790"/>
      <c r="L208"/>
      <c r="M208"/>
      <c r="N208"/>
      <c r="O208"/>
      <c r="P208"/>
      <c r="Q208"/>
      <c r="Y208" s="98"/>
      <c r="Z208" s="98"/>
      <c r="AA208" s="98"/>
      <c r="AB208" s="98"/>
      <c r="AC208" s="98"/>
      <c r="AD208" s="98"/>
    </row>
    <row r="209" spans="2:30">
      <c r="B209" s="838" t="s">
        <v>710</v>
      </c>
      <c r="C209" s="738"/>
      <c r="D209" s="790"/>
      <c r="L209"/>
      <c r="M209"/>
      <c r="N209"/>
      <c r="O209"/>
      <c r="P209"/>
      <c r="Q209"/>
      <c r="Y209" s="98"/>
      <c r="Z209" s="98"/>
      <c r="AA209" s="98"/>
      <c r="AB209" s="98"/>
      <c r="AC209" s="98"/>
      <c r="AD209" s="98"/>
    </row>
    <row r="210" spans="2:30" ht="12.75" customHeight="1">
      <c r="B210" s="838" t="s">
        <v>711</v>
      </c>
      <c r="C210" s="738"/>
      <c r="D210" s="790"/>
      <c r="L210"/>
      <c r="M210"/>
      <c r="N210"/>
      <c r="O210"/>
      <c r="P210"/>
      <c r="Q210"/>
      <c r="Y210" s="98"/>
      <c r="Z210" s="98"/>
      <c r="AA210" s="98"/>
      <c r="AB210" s="98"/>
      <c r="AC210" s="98"/>
      <c r="AD210" s="98"/>
    </row>
    <row r="211" spans="2:30" s="2255" customFormat="1" ht="12.75" customHeight="1">
      <c r="B211" s="838" t="s">
        <v>753</v>
      </c>
      <c r="C211" s="738"/>
      <c r="D211" s="790"/>
      <c r="L211" s="1266"/>
      <c r="M211" s="1266"/>
      <c r="N211" s="1266"/>
      <c r="O211" s="1266"/>
      <c r="P211" s="1266"/>
      <c r="Q211" s="1266"/>
      <c r="R211" s="1266"/>
      <c r="S211" s="1266"/>
      <c r="T211" s="1266"/>
      <c r="U211" s="1266"/>
      <c r="V211" s="1266"/>
      <c r="W211" s="1266"/>
      <c r="X211" s="1266"/>
    </row>
    <row r="212" spans="2:30">
      <c r="B212" s="1964" t="s">
        <v>712</v>
      </c>
      <c r="C212" s="738"/>
      <c r="D212" s="790"/>
      <c r="L212"/>
      <c r="M212"/>
      <c r="N212"/>
      <c r="O212"/>
      <c r="P212"/>
      <c r="Q212"/>
      <c r="Y212" s="98"/>
      <c r="Z212" s="98"/>
      <c r="AA212" s="98"/>
      <c r="AB212" s="98"/>
      <c r="AC212" s="98"/>
      <c r="AD212" s="98"/>
    </row>
    <row r="213" spans="2:30" ht="12.75" customHeight="1">
      <c r="B213" s="838" t="s">
        <v>707</v>
      </c>
      <c r="C213" s="738"/>
      <c r="D213" s="790"/>
      <c r="L213"/>
      <c r="M213"/>
      <c r="N213"/>
      <c r="O213"/>
      <c r="P213"/>
      <c r="Q213"/>
      <c r="Y213" s="98"/>
      <c r="Z213" s="98"/>
      <c r="AA213" s="98"/>
      <c r="AB213" s="98"/>
      <c r="AC213" s="98"/>
      <c r="AD213" s="98"/>
    </row>
    <row r="214" spans="2:30" ht="12.75" customHeight="1">
      <c r="B214" s="838" t="s">
        <v>708</v>
      </c>
      <c r="C214" s="738"/>
      <c r="D214" s="790"/>
      <c r="L214"/>
      <c r="M214"/>
      <c r="N214"/>
      <c r="O214"/>
      <c r="P214"/>
      <c r="Q214"/>
      <c r="Y214" s="98"/>
      <c r="Z214" s="98"/>
      <c r="AA214" s="98"/>
      <c r="AB214" s="98"/>
      <c r="AC214" s="98"/>
      <c r="AD214" s="98"/>
    </row>
    <row r="215" spans="2:30">
      <c r="B215" s="838" t="s">
        <v>709</v>
      </c>
      <c r="C215" s="738"/>
      <c r="D215" s="790"/>
      <c r="L215"/>
      <c r="M215"/>
      <c r="N215"/>
      <c r="O215"/>
      <c r="P215"/>
      <c r="Q215"/>
      <c r="Y215" s="98"/>
      <c r="Z215" s="98"/>
      <c r="AA215" s="98"/>
      <c r="AB215" s="98"/>
      <c r="AC215" s="98"/>
      <c r="AD215" s="98"/>
    </row>
    <row r="216" spans="2:30">
      <c r="B216" s="838" t="s">
        <v>710</v>
      </c>
      <c r="C216" s="738"/>
      <c r="D216" s="790"/>
      <c r="L216"/>
      <c r="M216"/>
      <c r="N216"/>
      <c r="O216"/>
      <c r="P216"/>
      <c r="Q216"/>
      <c r="Y216" s="98"/>
      <c r="Z216" s="98"/>
      <c r="AA216" s="98"/>
      <c r="AB216" s="98"/>
      <c r="AC216" s="98"/>
      <c r="AD216" s="98"/>
    </row>
    <row r="217" spans="2:30" ht="12.75" customHeight="1">
      <c r="B217" s="838" t="s">
        <v>711</v>
      </c>
      <c r="C217" s="738"/>
      <c r="D217" s="790"/>
      <c r="L217"/>
      <c r="M217"/>
      <c r="N217"/>
      <c r="O217"/>
      <c r="P217"/>
      <c r="Q217"/>
      <c r="Y217" s="98"/>
      <c r="Z217" s="98"/>
      <c r="AA217" s="98"/>
      <c r="AB217" s="98"/>
      <c r="AC217" s="98"/>
      <c r="AD217" s="98"/>
    </row>
    <row r="218" spans="2:30" s="2255" customFormat="1" ht="12.75" customHeight="1">
      <c r="B218" s="838" t="s">
        <v>753</v>
      </c>
      <c r="C218" s="738"/>
      <c r="D218" s="790"/>
      <c r="L218" s="1266"/>
      <c r="M218" s="1266"/>
      <c r="N218" s="1266"/>
      <c r="O218" s="1266"/>
      <c r="P218" s="1266"/>
      <c r="Q218" s="1266"/>
      <c r="R218" s="1266"/>
      <c r="S218" s="1266"/>
      <c r="T218" s="1266"/>
      <c r="U218" s="1266"/>
      <c r="V218" s="1266"/>
      <c r="W218" s="1266"/>
      <c r="X218" s="1266"/>
    </row>
    <row r="219" spans="2:30" ht="12.75" customHeight="1">
      <c r="B219" s="1964" t="s">
        <v>713</v>
      </c>
      <c r="C219" s="738"/>
      <c r="D219" s="790"/>
      <c r="L219"/>
      <c r="M219"/>
      <c r="N219"/>
      <c r="O219"/>
      <c r="P219"/>
      <c r="Q219"/>
      <c r="Y219" s="98"/>
      <c r="Z219" s="98"/>
      <c r="AA219" s="98"/>
      <c r="AB219" s="98"/>
      <c r="AC219" s="98"/>
      <c r="AD219" s="98"/>
    </row>
    <row r="220" spans="2:30" ht="12.75" customHeight="1">
      <c r="B220" s="838" t="s">
        <v>707</v>
      </c>
      <c r="C220" s="738"/>
      <c r="D220" s="790"/>
      <c r="L220"/>
      <c r="M220"/>
      <c r="N220"/>
      <c r="O220"/>
      <c r="P220"/>
      <c r="Q220"/>
      <c r="Y220" s="98"/>
      <c r="Z220" s="98"/>
      <c r="AA220" s="98"/>
      <c r="AB220" s="98"/>
      <c r="AC220" s="98"/>
      <c r="AD220" s="98"/>
    </row>
    <row r="221" spans="2:30" ht="12.75" customHeight="1">
      <c r="B221" s="838" t="s">
        <v>708</v>
      </c>
      <c r="C221" s="738"/>
      <c r="D221" s="790"/>
      <c r="L221"/>
      <c r="M221"/>
      <c r="N221"/>
      <c r="O221"/>
      <c r="P221"/>
      <c r="Q221"/>
      <c r="Y221" s="98"/>
      <c r="Z221" s="98"/>
      <c r="AA221" s="98"/>
      <c r="AB221" s="98"/>
      <c r="AC221" s="98"/>
      <c r="AD221" s="98"/>
    </row>
    <row r="222" spans="2:30">
      <c r="B222" s="838" t="s">
        <v>709</v>
      </c>
      <c r="C222" s="738"/>
      <c r="D222" s="790"/>
      <c r="L222"/>
      <c r="M222"/>
      <c r="N222"/>
      <c r="O222"/>
      <c r="P222"/>
      <c r="Q222"/>
      <c r="Y222" s="98"/>
      <c r="Z222" s="98"/>
      <c r="AA222" s="98"/>
      <c r="AB222" s="98"/>
      <c r="AC222" s="98"/>
      <c r="AD222" s="98"/>
    </row>
    <row r="223" spans="2:30">
      <c r="B223" s="838" t="s">
        <v>710</v>
      </c>
      <c r="C223" s="738"/>
      <c r="D223" s="790"/>
      <c r="L223"/>
      <c r="M223"/>
      <c r="N223"/>
      <c r="O223"/>
      <c r="P223"/>
      <c r="Q223"/>
      <c r="Y223" s="98"/>
      <c r="Z223" s="98"/>
      <c r="AA223" s="98"/>
      <c r="AB223" s="98"/>
      <c r="AC223" s="98"/>
      <c r="AD223" s="98"/>
    </row>
    <row r="224" spans="2:30" ht="12.75" customHeight="1">
      <c r="B224" s="838" t="s">
        <v>711</v>
      </c>
      <c r="C224" s="738"/>
      <c r="D224" s="790"/>
      <c r="L224"/>
      <c r="M224"/>
      <c r="N224"/>
      <c r="O224"/>
      <c r="P224"/>
      <c r="Q224"/>
      <c r="Y224" s="98"/>
      <c r="Z224" s="98"/>
      <c r="AA224" s="98"/>
      <c r="AB224" s="98"/>
      <c r="AC224" s="98"/>
      <c r="AD224" s="98"/>
    </row>
    <row r="225" spans="2:30" s="2255" customFormat="1" ht="12.75" customHeight="1">
      <c r="B225" s="838" t="s">
        <v>753</v>
      </c>
      <c r="C225" s="738"/>
      <c r="D225" s="790"/>
      <c r="L225" s="1266"/>
      <c r="M225" s="1266"/>
      <c r="N225" s="1266"/>
      <c r="O225" s="1266"/>
      <c r="P225" s="1266"/>
      <c r="Q225" s="1266"/>
      <c r="R225" s="1266"/>
      <c r="S225" s="1266"/>
      <c r="T225" s="1266"/>
      <c r="U225" s="1266"/>
      <c r="V225" s="1266"/>
      <c r="W225" s="1266"/>
      <c r="X225" s="1266"/>
    </row>
    <row r="226" spans="2:30" ht="12.75" customHeight="1">
      <c r="B226" s="1964" t="s">
        <v>714</v>
      </c>
      <c r="C226" s="738"/>
      <c r="D226" s="790"/>
      <c r="L226"/>
      <c r="M226"/>
      <c r="N226"/>
      <c r="O226"/>
      <c r="P226"/>
      <c r="Q226"/>
      <c r="Y226" s="98"/>
      <c r="Z226" s="98"/>
      <c r="AA226" s="98"/>
      <c r="AB226" s="98"/>
      <c r="AC226" s="98"/>
      <c r="AD226" s="98"/>
    </row>
    <row r="227" spans="2:30" ht="12.75" customHeight="1">
      <c r="B227" s="838" t="s">
        <v>707</v>
      </c>
      <c r="C227" s="738"/>
      <c r="D227" s="790"/>
      <c r="L227"/>
      <c r="M227"/>
      <c r="N227"/>
      <c r="O227"/>
      <c r="P227"/>
      <c r="Q227"/>
      <c r="Y227" s="98"/>
      <c r="Z227" s="98"/>
      <c r="AA227" s="98"/>
      <c r="AB227" s="98"/>
      <c r="AC227" s="98"/>
      <c r="AD227" s="98"/>
    </row>
    <row r="228" spans="2:30" ht="12.75" customHeight="1">
      <c r="B228" s="838" t="s">
        <v>708</v>
      </c>
      <c r="C228" s="738"/>
      <c r="D228" s="790"/>
      <c r="L228"/>
      <c r="M228"/>
      <c r="N228"/>
      <c r="O228"/>
      <c r="P228"/>
      <c r="Q228"/>
      <c r="Y228" s="98"/>
      <c r="Z228" s="98"/>
      <c r="AA228" s="98"/>
      <c r="AB228" s="98"/>
      <c r="AC228" s="98"/>
      <c r="AD228" s="98"/>
    </row>
    <row r="229" spans="2:30">
      <c r="B229" s="838" t="s">
        <v>709</v>
      </c>
      <c r="C229" s="738"/>
      <c r="D229" s="790"/>
      <c r="L229"/>
      <c r="M229"/>
      <c r="N229"/>
      <c r="O229"/>
      <c r="P229"/>
      <c r="Q229"/>
      <c r="Y229" s="98"/>
      <c r="Z229" s="98"/>
      <c r="AA229" s="98"/>
      <c r="AB229" s="98"/>
      <c r="AC229" s="98"/>
      <c r="AD229" s="98"/>
    </row>
    <row r="230" spans="2:30">
      <c r="B230" s="838" t="s">
        <v>710</v>
      </c>
      <c r="C230" s="738"/>
      <c r="D230" s="790"/>
      <c r="L230"/>
      <c r="M230"/>
      <c r="N230"/>
      <c r="O230"/>
      <c r="P230"/>
      <c r="Q230"/>
      <c r="Y230" s="98"/>
      <c r="Z230" s="98"/>
      <c r="AA230" s="98"/>
      <c r="AB230" s="98"/>
      <c r="AC230" s="98"/>
      <c r="AD230" s="98"/>
    </row>
    <row r="231" spans="2:30" ht="12.75" customHeight="1">
      <c r="B231" s="838" t="s">
        <v>711</v>
      </c>
      <c r="C231" s="738"/>
      <c r="D231" s="790"/>
      <c r="L231"/>
      <c r="M231"/>
      <c r="N231"/>
      <c r="O231"/>
      <c r="P231"/>
      <c r="Q231"/>
      <c r="Y231" s="98"/>
      <c r="Z231" s="98"/>
      <c r="AA231" s="98"/>
      <c r="AB231" s="98"/>
      <c r="AC231" s="98"/>
      <c r="AD231" s="98"/>
    </row>
    <row r="232" spans="2:30" s="2255" customFormat="1" ht="12.75" customHeight="1">
      <c r="B232" s="838" t="s">
        <v>753</v>
      </c>
      <c r="C232" s="738"/>
      <c r="D232" s="790"/>
      <c r="L232" s="1266"/>
      <c r="M232" s="1266"/>
      <c r="N232" s="1266"/>
      <c r="O232" s="1266"/>
      <c r="P232" s="1266"/>
      <c r="Q232" s="1266"/>
      <c r="R232" s="1266"/>
      <c r="S232" s="1266"/>
      <c r="T232" s="1266"/>
      <c r="U232" s="1266"/>
      <c r="V232" s="1266"/>
      <c r="W232" s="1266"/>
      <c r="X232" s="1266"/>
    </row>
    <row r="233" spans="2:30" ht="12.75" customHeight="1">
      <c r="B233" s="1964" t="s">
        <v>68</v>
      </c>
      <c r="C233" s="738"/>
      <c r="D233" s="790"/>
      <c r="L233"/>
      <c r="M233"/>
      <c r="N233"/>
      <c r="O233"/>
      <c r="P233"/>
      <c r="Q233"/>
      <c r="Y233" s="98"/>
      <c r="Z233" s="98"/>
      <c r="AA233" s="98"/>
      <c r="AB233" s="98"/>
      <c r="AC233" s="98"/>
      <c r="AD233" s="98"/>
    </row>
    <row r="234" spans="2:30" ht="12.75" customHeight="1">
      <c r="B234" s="838" t="s">
        <v>707</v>
      </c>
      <c r="C234" s="738"/>
      <c r="D234" s="790"/>
      <c r="L234"/>
      <c r="M234"/>
      <c r="N234"/>
      <c r="O234"/>
      <c r="P234"/>
      <c r="Q234"/>
      <c r="Y234" s="98"/>
      <c r="Z234" s="98"/>
      <c r="AA234" s="98"/>
      <c r="AB234" s="98"/>
      <c r="AC234" s="98"/>
      <c r="AD234" s="98"/>
    </row>
    <row r="235" spans="2:30" ht="12.75" customHeight="1">
      <c r="B235" s="838" t="s">
        <v>708</v>
      </c>
      <c r="C235" s="738"/>
      <c r="D235" s="790"/>
      <c r="L235"/>
      <c r="M235"/>
      <c r="N235"/>
      <c r="O235"/>
      <c r="P235"/>
      <c r="Q235"/>
      <c r="Y235" s="98"/>
      <c r="Z235" s="98"/>
      <c r="AA235" s="98"/>
      <c r="AB235" s="98"/>
      <c r="AC235" s="98"/>
      <c r="AD235" s="98"/>
    </row>
    <row r="236" spans="2:30">
      <c r="B236" s="838" t="s">
        <v>709</v>
      </c>
      <c r="C236" s="738"/>
      <c r="D236" s="790"/>
      <c r="L236"/>
      <c r="M236"/>
      <c r="N236"/>
      <c r="O236"/>
      <c r="P236"/>
      <c r="Q236"/>
      <c r="Y236" s="98"/>
      <c r="Z236" s="98"/>
      <c r="AA236" s="98"/>
      <c r="AB236" s="98"/>
      <c r="AC236" s="98"/>
      <c r="AD236" s="98"/>
    </row>
    <row r="237" spans="2:30">
      <c r="B237" s="838" t="s">
        <v>710</v>
      </c>
      <c r="C237" s="738"/>
      <c r="D237" s="790"/>
      <c r="L237"/>
      <c r="M237"/>
      <c r="N237"/>
      <c r="O237"/>
      <c r="P237"/>
      <c r="Q237"/>
      <c r="Y237" s="98"/>
      <c r="Z237" s="98"/>
      <c r="AA237" s="98"/>
      <c r="AB237" s="98"/>
      <c r="AC237" s="98"/>
      <c r="AD237" s="98"/>
    </row>
    <row r="238" spans="2:30" ht="12.75" customHeight="1">
      <c r="B238" s="838" t="s">
        <v>711</v>
      </c>
      <c r="C238" s="738"/>
      <c r="D238" s="790"/>
      <c r="L238"/>
      <c r="M238"/>
      <c r="N238"/>
      <c r="O238"/>
      <c r="P238"/>
      <c r="Q238"/>
      <c r="Y238" s="98"/>
      <c r="Z238" s="98"/>
      <c r="AA238" s="98"/>
      <c r="AB238" s="98"/>
      <c r="AC238" s="98"/>
      <c r="AD238" s="98"/>
    </row>
    <row r="239" spans="2:30" s="2255" customFormat="1" ht="12.75" customHeight="1">
      <c r="B239" s="838" t="s">
        <v>753</v>
      </c>
      <c r="C239" s="738"/>
      <c r="D239" s="790"/>
      <c r="L239" s="1266"/>
      <c r="M239" s="1266"/>
      <c r="N239" s="1266"/>
      <c r="O239" s="1266"/>
      <c r="P239" s="1266"/>
      <c r="Q239" s="1266"/>
      <c r="R239" s="1266"/>
      <c r="S239" s="1266"/>
      <c r="T239" s="1266"/>
      <c r="U239" s="1266"/>
      <c r="V239" s="1266"/>
      <c r="W239" s="1266"/>
      <c r="X239" s="1266"/>
    </row>
    <row r="240" spans="2:30">
      <c r="B240" s="1964" t="s">
        <v>69</v>
      </c>
      <c r="C240" s="738"/>
      <c r="D240" s="790"/>
      <c r="L240"/>
      <c r="M240"/>
      <c r="N240"/>
      <c r="O240"/>
      <c r="P240"/>
      <c r="Q240"/>
      <c r="Y240" s="98"/>
      <c r="Z240" s="98"/>
      <c r="AA240" s="98"/>
      <c r="AB240" s="98"/>
      <c r="AC240" s="98"/>
      <c r="AD240" s="98"/>
    </row>
    <row r="241" spans="2:30" ht="12.75" customHeight="1">
      <c r="B241" s="838" t="s">
        <v>707</v>
      </c>
      <c r="C241" s="738"/>
      <c r="D241" s="790"/>
      <c r="L241"/>
      <c r="M241"/>
      <c r="N241"/>
      <c r="O241"/>
      <c r="P241"/>
      <c r="Q241"/>
      <c r="Y241" s="98"/>
      <c r="Z241" s="98"/>
      <c r="AA241" s="98"/>
      <c r="AB241" s="98"/>
      <c r="AC241" s="98"/>
      <c r="AD241" s="98"/>
    </row>
    <row r="242" spans="2:30" ht="12.75" customHeight="1">
      <c r="B242" s="838" t="s">
        <v>708</v>
      </c>
      <c r="C242" s="738"/>
      <c r="D242" s="790"/>
      <c r="L242"/>
      <c r="M242"/>
      <c r="N242"/>
      <c r="O242"/>
      <c r="P242"/>
      <c r="Q242"/>
      <c r="Y242" s="98"/>
      <c r="Z242" s="98"/>
      <c r="AA242" s="98"/>
      <c r="AB242" s="98"/>
      <c r="AC242" s="98"/>
      <c r="AD242" s="98"/>
    </row>
    <row r="243" spans="2:30">
      <c r="B243" s="838" t="s">
        <v>709</v>
      </c>
      <c r="C243" s="738"/>
      <c r="D243" s="790"/>
      <c r="L243"/>
      <c r="M243"/>
      <c r="N243"/>
      <c r="O243"/>
      <c r="P243"/>
      <c r="Q243"/>
      <c r="Y243" s="98"/>
      <c r="Z243" s="98"/>
      <c r="AA243" s="98"/>
      <c r="AB243" s="98"/>
      <c r="AC243" s="98"/>
      <c r="AD243" s="98"/>
    </row>
    <row r="244" spans="2:30">
      <c r="B244" s="838" t="s">
        <v>710</v>
      </c>
      <c r="C244" s="738"/>
      <c r="D244" s="790"/>
      <c r="L244"/>
      <c r="M244"/>
      <c r="N244"/>
      <c r="O244"/>
      <c r="P244"/>
      <c r="Q244"/>
      <c r="Y244" s="98"/>
      <c r="Z244" s="98"/>
      <c r="AA244" s="98"/>
      <c r="AB244" s="98"/>
      <c r="AC244" s="98"/>
      <c r="AD244" s="98"/>
    </row>
    <row r="245" spans="2:30" ht="12.75" customHeight="1">
      <c r="B245" s="838" t="s">
        <v>711</v>
      </c>
      <c r="C245" s="738"/>
      <c r="D245" s="790"/>
      <c r="L245"/>
      <c r="M245"/>
      <c r="N245"/>
      <c r="O245"/>
      <c r="P245"/>
      <c r="Q245"/>
      <c r="Y245" s="98"/>
      <c r="Z245" s="98"/>
      <c r="AA245" s="98"/>
      <c r="AB245" s="98"/>
      <c r="AC245" s="98"/>
      <c r="AD245" s="98"/>
    </row>
    <row r="246" spans="2:30">
      <c r="B246" s="1968" t="s">
        <v>84</v>
      </c>
      <c r="C246" s="738"/>
      <c r="D246" s="790"/>
      <c r="L246"/>
      <c r="M246"/>
      <c r="N246"/>
      <c r="O246"/>
      <c r="P246"/>
      <c r="Q246"/>
      <c r="Y246" s="98"/>
      <c r="Z246" s="98"/>
      <c r="AA246" s="98"/>
      <c r="AB246" s="98"/>
      <c r="AC246" s="98"/>
      <c r="AD246" s="98"/>
    </row>
    <row r="247" spans="2:30" ht="13.5" thickBot="1">
      <c r="B247" s="1968" t="s">
        <v>84</v>
      </c>
      <c r="C247" s="738"/>
      <c r="D247" s="790"/>
      <c r="L247"/>
      <c r="M247"/>
      <c r="N247"/>
      <c r="O247"/>
      <c r="P247"/>
      <c r="Q247"/>
      <c r="Y247" s="98"/>
      <c r="Z247" s="98"/>
      <c r="AA247" s="98"/>
      <c r="AB247" s="98"/>
      <c r="AC247" s="98"/>
      <c r="AD247" s="98"/>
    </row>
    <row r="248" spans="2:30">
      <c r="B248" s="1967" t="s">
        <v>728</v>
      </c>
      <c r="C248" s="1985"/>
      <c r="D248" s="1986"/>
      <c r="L248"/>
      <c r="M248"/>
      <c r="N248"/>
      <c r="O248"/>
      <c r="P248"/>
      <c r="Q248"/>
      <c r="Y248" s="98"/>
      <c r="Z248" s="98"/>
      <c r="AA248" s="98"/>
      <c r="AB248" s="98"/>
      <c r="AC248" s="98"/>
      <c r="AD248" s="98"/>
    </row>
    <row r="249" spans="2:30">
      <c r="B249" s="1964" t="s">
        <v>66</v>
      </c>
      <c r="C249" s="738"/>
      <c r="D249" s="790"/>
      <c r="L249"/>
      <c r="M249"/>
      <c r="N249"/>
      <c r="O249"/>
      <c r="P249"/>
      <c r="Q249"/>
      <c r="Y249" s="98"/>
      <c r="Z249" s="98"/>
      <c r="AA249" s="98"/>
      <c r="AB249" s="98"/>
      <c r="AC249" s="98"/>
      <c r="AD249" s="98"/>
    </row>
    <row r="250" spans="2:30" ht="12.75" customHeight="1">
      <c r="B250" s="838" t="s">
        <v>707</v>
      </c>
      <c r="C250" s="738"/>
      <c r="D250" s="790"/>
      <c r="L250"/>
      <c r="M250"/>
      <c r="N250"/>
      <c r="O250"/>
      <c r="P250"/>
      <c r="Q250"/>
      <c r="Y250" s="98"/>
      <c r="Z250" s="98"/>
      <c r="AA250" s="98"/>
      <c r="AB250" s="98"/>
      <c r="AC250" s="98"/>
      <c r="AD250" s="98"/>
    </row>
    <row r="251" spans="2:30">
      <c r="B251" s="838" t="s">
        <v>708</v>
      </c>
      <c r="C251" s="738"/>
      <c r="D251" s="790"/>
      <c r="L251"/>
      <c r="M251"/>
      <c r="N251"/>
      <c r="O251"/>
      <c r="P251"/>
      <c r="Q251"/>
      <c r="Y251" s="98"/>
      <c r="Z251" s="98"/>
      <c r="AA251" s="98"/>
      <c r="AB251" s="98"/>
      <c r="AC251" s="98"/>
      <c r="AD251" s="98"/>
    </row>
    <row r="252" spans="2:30">
      <c r="B252" s="838" t="s">
        <v>709</v>
      </c>
      <c r="C252" s="738"/>
      <c r="D252" s="790"/>
      <c r="L252"/>
      <c r="M252"/>
      <c r="N252"/>
      <c r="O252"/>
      <c r="P252"/>
      <c r="Q252"/>
      <c r="Y252" s="98"/>
      <c r="Z252" s="98"/>
      <c r="AA252" s="98"/>
      <c r="AB252" s="98"/>
      <c r="AC252" s="98"/>
      <c r="AD252" s="98"/>
    </row>
    <row r="253" spans="2:30" ht="12.75" customHeight="1">
      <c r="B253" s="838" t="s">
        <v>710</v>
      </c>
      <c r="C253" s="738"/>
      <c r="D253" s="790"/>
      <c r="L253"/>
      <c r="M253"/>
      <c r="N253"/>
      <c r="O253"/>
      <c r="P253"/>
      <c r="Q253"/>
      <c r="Y253" s="98"/>
      <c r="Z253" s="98"/>
      <c r="AA253" s="98"/>
      <c r="AB253" s="98"/>
      <c r="AC253" s="98"/>
      <c r="AD253" s="98"/>
    </row>
    <row r="254" spans="2:30">
      <c r="B254" s="838" t="s">
        <v>711</v>
      </c>
      <c r="C254" s="738"/>
      <c r="D254" s="790"/>
      <c r="L254"/>
      <c r="M254"/>
      <c r="N254"/>
      <c r="O254"/>
      <c r="P254"/>
      <c r="Q254"/>
      <c r="Y254" s="98"/>
      <c r="Z254" s="98"/>
      <c r="AA254" s="98"/>
      <c r="AB254" s="98"/>
      <c r="AC254" s="98"/>
      <c r="AD254" s="98"/>
    </row>
    <row r="255" spans="2:30" s="2255" customFormat="1">
      <c r="B255" s="838" t="s">
        <v>753</v>
      </c>
      <c r="C255" s="738"/>
      <c r="D255" s="790"/>
      <c r="L255" s="1266"/>
      <c r="M255" s="1266"/>
      <c r="N255" s="1266"/>
      <c r="O255" s="1266"/>
      <c r="P255" s="1266"/>
      <c r="Q255" s="1266"/>
      <c r="R255" s="1266"/>
      <c r="S255" s="1266"/>
      <c r="T255" s="1266"/>
      <c r="U255" s="1266"/>
      <c r="V255" s="1266"/>
      <c r="W255" s="1266"/>
      <c r="X255" s="1266"/>
    </row>
    <row r="256" spans="2:30" ht="12.75" customHeight="1">
      <c r="B256" s="1964" t="s">
        <v>67</v>
      </c>
      <c r="C256" s="738"/>
      <c r="D256" s="790"/>
      <c r="L256"/>
      <c r="M256"/>
      <c r="N256"/>
      <c r="O256"/>
      <c r="P256"/>
      <c r="Q256"/>
      <c r="Y256" s="98"/>
      <c r="Z256" s="98"/>
      <c r="AA256" s="98"/>
      <c r="AB256" s="98"/>
      <c r="AC256" s="98"/>
      <c r="AD256" s="98"/>
    </row>
    <row r="257" spans="2:30" ht="12.75" customHeight="1">
      <c r="B257" s="838" t="s">
        <v>707</v>
      </c>
      <c r="C257" s="738"/>
      <c r="D257" s="790"/>
      <c r="L257"/>
      <c r="M257"/>
      <c r="N257"/>
      <c r="O257"/>
      <c r="P257"/>
      <c r="Q257"/>
      <c r="Y257" s="98"/>
      <c r="Z257" s="98"/>
      <c r="AA257" s="98"/>
      <c r="AB257" s="98"/>
      <c r="AC257" s="98"/>
      <c r="AD257" s="98"/>
    </row>
    <row r="258" spans="2:30">
      <c r="B258" s="838" t="s">
        <v>708</v>
      </c>
      <c r="C258" s="738"/>
      <c r="D258" s="790"/>
      <c r="L258"/>
      <c r="M258"/>
      <c r="N258"/>
      <c r="O258"/>
      <c r="P258"/>
      <c r="Q258"/>
      <c r="Y258" s="98"/>
      <c r="Z258" s="98"/>
      <c r="AA258" s="98"/>
      <c r="AB258" s="98"/>
      <c r="AC258" s="98"/>
      <c r="AD258" s="98"/>
    </row>
    <row r="259" spans="2:30">
      <c r="B259" s="838" t="s">
        <v>709</v>
      </c>
      <c r="C259" s="738"/>
      <c r="D259" s="790"/>
      <c r="L259"/>
      <c r="M259"/>
      <c r="N259"/>
      <c r="O259"/>
      <c r="P259"/>
      <c r="Q259"/>
      <c r="Y259" s="98"/>
      <c r="Z259" s="98"/>
      <c r="AA259" s="98"/>
      <c r="AB259" s="98"/>
      <c r="AC259" s="98"/>
      <c r="AD259" s="98"/>
    </row>
    <row r="260" spans="2:30" ht="12.75" customHeight="1">
      <c r="B260" s="838" t="s">
        <v>710</v>
      </c>
      <c r="C260" s="738"/>
      <c r="D260" s="790"/>
      <c r="L260"/>
      <c r="M260"/>
      <c r="N260"/>
      <c r="O260"/>
      <c r="P260"/>
      <c r="Q260"/>
      <c r="Y260" s="98"/>
      <c r="Z260" s="98"/>
      <c r="AA260" s="98"/>
      <c r="AB260" s="98"/>
      <c r="AC260" s="98"/>
      <c r="AD260" s="98"/>
    </row>
    <row r="261" spans="2:30">
      <c r="B261" s="838" t="s">
        <v>711</v>
      </c>
      <c r="C261" s="738"/>
      <c r="D261" s="790"/>
      <c r="L261"/>
      <c r="M261"/>
      <c r="N261"/>
      <c r="O261"/>
      <c r="P261"/>
      <c r="Q261"/>
      <c r="Y261" s="98"/>
      <c r="Z261" s="98"/>
      <c r="AA261" s="98"/>
      <c r="AB261" s="98"/>
      <c r="AC261" s="98"/>
      <c r="AD261" s="98"/>
    </row>
    <row r="262" spans="2:30" s="2255" customFormat="1">
      <c r="B262" s="838" t="s">
        <v>753</v>
      </c>
      <c r="C262" s="738"/>
      <c r="D262" s="790"/>
      <c r="L262" s="1266"/>
      <c r="M262" s="1266"/>
      <c r="N262" s="1266"/>
      <c r="O262" s="1266"/>
      <c r="P262" s="1266"/>
      <c r="Q262" s="1266"/>
      <c r="R262" s="1266"/>
      <c r="S262" s="1266"/>
      <c r="T262" s="1266"/>
      <c r="U262" s="1266"/>
      <c r="V262" s="1266"/>
      <c r="W262" s="1266"/>
      <c r="X262" s="1266"/>
    </row>
    <row r="263" spans="2:30" ht="12.75" customHeight="1">
      <c r="B263" s="1964" t="s">
        <v>85</v>
      </c>
      <c r="C263" s="738"/>
      <c r="D263" s="790"/>
      <c r="L263"/>
      <c r="M263"/>
      <c r="N263"/>
      <c r="O263"/>
      <c r="P263"/>
      <c r="Q263"/>
      <c r="Y263" s="98"/>
      <c r="Z263" s="98"/>
      <c r="AA263" s="98"/>
      <c r="AB263" s="98"/>
      <c r="AC263" s="98"/>
      <c r="AD263" s="98"/>
    </row>
    <row r="264" spans="2:30" ht="12.75" customHeight="1">
      <c r="B264" s="838" t="s">
        <v>707</v>
      </c>
      <c r="C264" s="738"/>
      <c r="D264" s="790"/>
      <c r="L264"/>
      <c r="M264"/>
      <c r="N264"/>
      <c r="O264"/>
      <c r="P264"/>
      <c r="Q264"/>
      <c r="Y264" s="98"/>
      <c r="Z264" s="98"/>
      <c r="AA264" s="98"/>
      <c r="AB264" s="98"/>
      <c r="AC264" s="98"/>
      <c r="AD264" s="98"/>
    </row>
    <row r="265" spans="2:30">
      <c r="B265" s="838" t="s">
        <v>708</v>
      </c>
      <c r="C265" s="738"/>
      <c r="D265" s="790"/>
      <c r="L265"/>
      <c r="M265"/>
      <c r="N265"/>
      <c r="O265"/>
      <c r="P265"/>
      <c r="Q265"/>
      <c r="Y265" s="98"/>
      <c r="Z265" s="98"/>
      <c r="AA265" s="98"/>
      <c r="AB265" s="98"/>
      <c r="AC265" s="98"/>
      <c r="AD265" s="98"/>
    </row>
    <row r="266" spans="2:30">
      <c r="B266" s="838" t="s">
        <v>709</v>
      </c>
      <c r="C266" s="738"/>
      <c r="D266" s="790"/>
      <c r="L266"/>
      <c r="M266"/>
      <c r="N266"/>
      <c r="O266"/>
      <c r="P266"/>
      <c r="Q266"/>
      <c r="Y266" s="98"/>
      <c r="Z266" s="98"/>
      <c r="AA266" s="98"/>
      <c r="AB266" s="98"/>
      <c r="AC266" s="98"/>
      <c r="AD266" s="98"/>
    </row>
    <row r="267" spans="2:30" ht="12.75" customHeight="1">
      <c r="B267" s="838" t="s">
        <v>710</v>
      </c>
      <c r="C267" s="738"/>
      <c r="D267" s="790"/>
      <c r="L267"/>
      <c r="M267"/>
      <c r="N267"/>
      <c r="O267"/>
      <c r="P267"/>
      <c r="Q267"/>
      <c r="Y267" s="98"/>
      <c r="Z267" s="98"/>
      <c r="AA267" s="98"/>
      <c r="AB267" s="98"/>
      <c r="AC267" s="98"/>
      <c r="AD267" s="98"/>
    </row>
    <row r="268" spans="2:30" ht="12.75" customHeight="1">
      <c r="B268" s="838" t="s">
        <v>711</v>
      </c>
      <c r="C268" s="738"/>
      <c r="D268" s="790"/>
      <c r="L268"/>
      <c r="M268"/>
      <c r="N268"/>
      <c r="O268"/>
      <c r="P268"/>
      <c r="Q268"/>
      <c r="Y268" s="98"/>
      <c r="Z268" s="98"/>
      <c r="AA268" s="98"/>
      <c r="AB268" s="98"/>
      <c r="AC268" s="98"/>
      <c r="AD268" s="98"/>
    </row>
    <row r="269" spans="2:30" s="2255" customFormat="1" ht="12.75" customHeight="1">
      <c r="B269" s="838" t="s">
        <v>753</v>
      </c>
      <c r="C269" s="738"/>
      <c r="D269" s="790"/>
      <c r="L269" s="1266"/>
      <c r="M269" s="1266"/>
      <c r="N269" s="1266"/>
      <c r="O269" s="1266"/>
      <c r="P269" s="1266"/>
      <c r="Q269" s="1266"/>
      <c r="R269" s="1266"/>
      <c r="S269" s="1266"/>
      <c r="T269" s="1266"/>
      <c r="U269" s="1266"/>
      <c r="V269" s="1266"/>
      <c r="W269" s="1266"/>
      <c r="X269" s="1266"/>
    </row>
    <row r="270" spans="2:30" ht="12.75" customHeight="1">
      <c r="B270" s="1964" t="s">
        <v>712</v>
      </c>
      <c r="C270" s="738"/>
      <c r="D270" s="790"/>
      <c r="L270"/>
      <c r="M270"/>
      <c r="N270"/>
      <c r="O270"/>
      <c r="P270"/>
      <c r="Q270"/>
      <c r="Y270" s="98"/>
      <c r="Z270" s="98"/>
      <c r="AA270" s="98"/>
      <c r="AB270" s="98"/>
      <c r="AC270" s="98"/>
      <c r="AD270" s="98"/>
    </row>
    <row r="271" spans="2:30" ht="12.75" customHeight="1">
      <c r="B271" s="838" t="s">
        <v>707</v>
      </c>
      <c r="C271" s="738"/>
      <c r="D271" s="790"/>
      <c r="L271"/>
      <c r="M271"/>
      <c r="N271"/>
      <c r="O271"/>
      <c r="P271"/>
      <c r="Q271"/>
      <c r="Y271" s="98"/>
      <c r="Z271" s="98"/>
      <c r="AA271" s="98"/>
      <c r="AB271" s="98"/>
      <c r="AC271" s="98"/>
      <c r="AD271" s="98"/>
    </row>
    <row r="272" spans="2:30">
      <c r="B272" s="838" t="s">
        <v>708</v>
      </c>
      <c r="C272" s="738"/>
      <c r="D272" s="790"/>
      <c r="L272"/>
      <c r="M272"/>
      <c r="N272"/>
      <c r="O272"/>
      <c r="P272"/>
      <c r="Q272"/>
      <c r="Y272" s="98"/>
      <c r="Z272" s="98"/>
      <c r="AA272" s="98"/>
      <c r="AB272" s="98"/>
      <c r="AC272" s="98"/>
      <c r="AD272" s="98"/>
    </row>
    <row r="273" spans="2:30">
      <c r="B273" s="838" t="s">
        <v>709</v>
      </c>
      <c r="C273" s="738"/>
      <c r="D273" s="790"/>
      <c r="L273"/>
      <c r="M273"/>
      <c r="N273"/>
      <c r="O273"/>
      <c r="P273"/>
      <c r="Q273"/>
      <c r="Y273" s="98"/>
      <c r="Z273" s="98"/>
      <c r="AA273" s="98"/>
      <c r="AB273" s="98"/>
      <c r="AC273" s="98"/>
      <c r="AD273" s="98"/>
    </row>
    <row r="274" spans="2:30" ht="12.75" customHeight="1">
      <c r="B274" s="838" t="s">
        <v>710</v>
      </c>
      <c r="C274" s="738"/>
      <c r="D274" s="790"/>
      <c r="L274"/>
      <c r="M274"/>
      <c r="N274"/>
      <c r="O274"/>
      <c r="P274"/>
      <c r="Q274"/>
      <c r="Y274" s="98"/>
      <c r="Z274" s="98"/>
      <c r="AA274" s="98"/>
      <c r="AB274" s="98"/>
      <c r="AC274" s="98"/>
      <c r="AD274" s="98"/>
    </row>
    <row r="275" spans="2:30" ht="12.75" customHeight="1">
      <c r="B275" s="838" t="s">
        <v>711</v>
      </c>
      <c r="C275" s="738"/>
      <c r="D275" s="790"/>
      <c r="L275"/>
      <c r="M275"/>
      <c r="N275"/>
      <c r="O275"/>
      <c r="P275"/>
      <c r="Q275"/>
      <c r="Y275" s="98"/>
      <c r="Z275" s="98"/>
      <c r="AA275" s="98"/>
      <c r="AB275" s="98"/>
      <c r="AC275" s="98"/>
      <c r="AD275" s="98"/>
    </row>
    <row r="276" spans="2:30" s="2255" customFormat="1" ht="12.75" customHeight="1">
      <c r="B276" s="838" t="s">
        <v>753</v>
      </c>
      <c r="C276" s="738"/>
      <c r="D276" s="790"/>
      <c r="L276" s="1266"/>
      <c r="M276" s="1266"/>
      <c r="N276" s="1266"/>
      <c r="O276" s="1266"/>
      <c r="P276" s="1266"/>
      <c r="Q276" s="1266"/>
      <c r="R276" s="1266"/>
      <c r="S276" s="1266"/>
      <c r="T276" s="1266"/>
      <c r="U276" s="1266"/>
      <c r="V276" s="1266"/>
      <c r="W276" s="1266"/>
      <c r="X276" s="1266"/>
    </row>
    <row r="277" spans="2:30" ht="12.75" customHeight="1">
      <c r="B277" s="1964" t="s">
        <v>713</v>
      </c>
      <c r="C277" s="738"/>
      <c r="D277" s="790"/>
      <c r="L277"/>
      <c r="M277"/>
      <c r="N277"/>
      <c r="O277"/>
      <c r="P277"/>
      <c r="Q277"/>
      <c r="Y277" s="98"/>
      <c r="Z277" s="98"/>
      <c r="AA277" s="98"/>
      <c r="AB277" s="98"/>
      <c r="AC277" s="98"/>
      <c r="AD277" s="98"/>
    </row>
    <row r="278" spans="2:30" ht="12.75" customHeight="1">
      <c r="B278" s="838" t="s">
        <v>707</v>
      </c>
      <c r="C278" s="738"/>
      <c r="D278" s="790"/>
      <c r="L278"/>
      <c r="M278"/>
      <c r="N278"/>
      <c r="O278"/>
      <c r="P278"/>
      <c r="Q278"/>
      <c r="Y278" s="98"/>
      <c r="Z278" s="98"/>
      <c r="AA278" s="98"/>
      <c r="AB278" s="98"/>
      <c r="AC278" s="98"/>
      <c r="AD278" s="98"/>
    </row>
    <row r="279" spans="2:30">
      <c r="B279" s="838" t="s">
        <v>708</v>
      </c>
      <c r="C279" s="738"/>
      <c r="D279" s="790"/>
      <c r="L279"/>
      <c r="M279"/>
      <c r="N279"/>
      <c r="O279"/>
      <c r="P279"/>
      <c r="Q279"/>
      <c r="Y279" s="98"/>
      <c r="Z279" s="98"/>
      <c r="AA279" s="98"/>
      <c r="AB279" s="98"/>
      <c r="AC279" s="98"/>
      <c r="AD279" s="98"/>
    </row>
    <row r="280" spans="2:30">
      <c r="B280" s="838" t="s">
        <v>709</v>
      </c>
      <c r="C280" s="738"/>
      <c r="D280" s="790"/>
      <c r="L280"/>
      <c r="M280"/>
      <c r="N280"/>
      <c r="O280"/>
      <c r="P280"/>
      <c r="Q280"/>
      <c r="Y280" s="98"/>
      <c r="Z280" s="98"/>
      <c r="AA280" s="98"/>
      <c r="AB280" s="98"/>
      <c r="AC280" s="98"/>
      <c r="AD280" s="98"/>
    </row>
    <row r="281" spans="2:30" ht="12.75" customHeight="1">
      <c r="B281" s="838" t="s">
        <v>710</v>
      </c>
      <c r="C281" s="738"/>
      <c r="D281" s="790"/>
      <c r="L281"/>
      <c r="M281"/>
      <c r="N281"/>
      <c r="O281"/>
      <c r="P281"/>
      <c r="Q281"/>
      <c r="Y281" s="98"/>
      <c r="Z281" s="98"/>
      <c r="AA281" s="98"/>
      <c r="AB281" s="98"/>
      <c r="AC281" s="98"/>
      <c r="AD281" s="98"/>
    </row>
    <row r="282" spans="2:30" ht="12.75" customHeight="1">
      <c r="B282" s="838" t="s">
        <v>711</v>
      </c>
      <c r="C282" s="738"/>
      <c r="D282" s="790"/>
      <c r="L282"/>
      <c r="M282"/>
      <c r="N282"/>
      <c r="O282"/>
      <c r="P282"/>
      <c r="Q282"/>
      <c r="Y282" s="98"/>
      <c r="Z282" s="98"/>
      <c r="AA282" s="98"/>
      <c r="AB282" s="98"/>
      <c r="AC282" s="98"/>
      <c r="AD282" s="98"/>
    </row>
    <row r="283" spans="2:30" s="2255" customFormat="1" ht="12.75" customHeight="1">
      <c r="B283" s="838" t="s">
        <v>753</v>
      </c>
      <c r="C283" s="738"/>
      <c r="D283" s="790"/>
      <c r="L283" s="1266"/>
      <c r="M283" s="1266"/>
      <c r="N283" s="1266"/>
      <c r="O283" s="1266"/>
      <c r="P283" s="1266"/>
      <c r="Q283" s="1266"/>
      <c r="R283" s="1266"/>
      <c r="S283" s="1266"/>
      <c r="T283" s="1266"/>
      <c r="U283" s="1266"/>
      <c r="V283" s="1266"/>
      <c r="W283" s="1266"/>
      <c r="X283" s="1266"/>
    </row>
    <row r="284" spans="2:30" ht="12.75" customHeight="1">
      <c r="B284" s="1964" t="s">
        <v>714</v>
      </c>
      <c r="C284" s="738"/>
      <c r="D284" s="790"/>
      <c r="L284"/>
      <c r="M284"/>
      <c r="N284"/>
      <c r="O284"/>
      <c r="P284"/>
      <c r="Q284"/>
      <c r="Y284" s="98"/>
      <c r="Z284" s="98"/>
      <c r="AA284" s="98"/>
      <c r="AB284" s="98"/>
      <c r="AC284" s="98"/>
      <c r="AD284" s="98"/>
    </row>
    <row r="285" spans="2:30" ht="12.75" customHeight="1">
      <c r="B285" s="838" t="s">
        <v>707</v>
      </c>
      <c r="C285" s="738"/>
      <c r="D285" s="790"/>
      <c r="L285"/>
      <c r="M285"/>
      <c r="N285"/>
      <c r="O285"/>
      <c r="P285"/>
      <c r="Q285"/>
      <c r="Y285" s="98"/>
      <c r="Z285" s="98"/>
      <c r="AA285" s="98"/>
      <c r="AB285" s="98"/>
      <c r="AC285" s="98"/>
      <c r="AD285" s="98"/>
    </row>
    <row r="286" spans="2:30">
      <c r="B286" s="838" t="s">
        <v>708</v>
      </c>
      <c r="C286" s="738"/>
      <c r="D286" s="790"/>
      <c r="L286"/>
      <c r="M286"/>
      <c r="N286"/>
      <c r="O286"/>
      <c r="P286"/>
      <c r="Q286"/>
      <c r="Y286" s="98"/>
      <c r="Z286" s="98"/>
      <c r="AA286" s="98"/>
      <c r="AB286" s="98"/>
      <c r="AC286" s="98"/>
      <c r="AD286" s="98"/>
    </row>
    <row r="287" spans="2:30">
      <c r="B287" s="838" t="s">
        <v>709</v>
      </c>
      <c r="C287" s="738"/>
      <c r="D287" s="790"/>
      <c r="L287"/>
      <c r="M287"/>
      <c r="N287"/>
      <c r="O287"/>
      <c r="P287"/>
      <c r="Q287"/>
      <c r="Y287" s="98"/>
      <c r="Z287" s="98"/>
      <c r="AA287" s="98"/>
      <c r="AB287" s="98"/>
      <c r="AC287" s="98"/>
      <c r="AD287" s="98"/>
    </row>
    <row r="288" spans="2:30" ht="12.75" customHeight="1">
      <c r="B288" s="838" t="s">
        <v>710</v>
      </c>
      <c r="C288" s="738"/>
      <c r="D288" s="790"/>
      <c r="L288"/>
      <c r="M288"/>
      <c r="N288"/>
      <c r="O288"/>
      <c r="P288"/>
      <c r="Q288"/>
      <c r="Y288" s="98"/>
      <c r="Z288" s="98"/>
      <c r="AA288" s="98"/>
      <c r="AB288" s="98"/>
      <c r="AC288" s="98"/>
      <c r="AD288" s="98"/>
    </row>
    <row r="289" spans="2:30" ht="12.75" customHeight="1">
      <c r="B289" s="838" t="s">
        <v>711</v>
      </c>
      <c r="C289" s="738"/>
      <c r="D289" s="790"/>
      <c r="L289"/>
      <c r="M289"/>
      <c r="N289"/>
      <c r="O289"/>
      <c r="P289"/>
      <c r="Q289"/>
      <c r="Y289" s="98"/>
      <c r="Z289" s="98"/>
      <c r="AA289" s="98"/>
      <c r="AB289" s="98"/>
      <c r="AC289" s="98"/>
      <c r="AD289" s="98"/>
    </row>
    <row r="290" spans="2:30" s="2255" customFormat="1" ht="12.75" customHeight="1">
      <c r="B290" s="838" t="s">
        <v>753</v>
      </c>
      <c r="C290" s="738"/>
      <c r="D290" s="790"/>
      <c r="L290" s="1266"/>
      <c r="M290" s="1266"/>
      <c r="N290" s="1266"/>
      <c r="O290" s="1266"/>
      <c r="P290" s="1266"/>
      <c r="Q290" s="1266"/>
      <c r="R290" s="1266"/>
      <c r="S290" s="1266"/>
      <c r="T290" s="1266"/>
      <c r="U290" s="1266"/>
      <c r="V290" s="1266"/>
      <c r="W290" s="1266"/>
      <c r="X290" s="1266"/>
    </row>
    <row r="291" spans="2:30" ht="12.75" customHeight="1">
      <c r="B291" s="1964" t="s">
        <v>68</v>
      </c>
      <c r="C291" s="738"/>
      <c r="D291" s="790"/>
      <c r="L291"/>
      <c r="M291"/>
      <c r="N291"/>
      <c r="O291"/>
      <c r="P291"/>
      <c r="Q291"/>
      <c r="Y291" s="98"/>
      <c r="Z291" s="98"/>
      <c r="AA291" s="98"/>
      <c r="AB291" s="98"/>
      <c r="AC291" s="98"/>
      <c r="AD291" s="98"/>
    </row>
    <row r="292" spans="2:30" ht="12.75" customHeight="1">
      <c r="B292" s="838" t="s">
        <v>707</v>
      </c>
      <c r="C292" s="738"/>
      <c r="D292" s="790"/>
      <c r="L292"/>
      <c r="M292"/>
      <c r="N292"/>
      <c r="O292"/>
      <c r="P292"/>
      <c r="Q292"/>
      <c r="Y292" s="98"/>
      <c r="Z292" s="98"/>
      <c r="AA292" s="98"/>
      <c r="AB292" s="98"/>
      <c r="AC292" s="98"/>
      <c r="AD292" s="98"/>
    </row>
    <row r="293" spans="2:30">
      <c r="B293" s="838" t="s">
        <v>708</v>
      </c>
      <c r="C293" s="738"/>
      <c r="D293" s="790"/>
      <c r="L293"/>
      <c r="M293"/>
      <c r="N293"/>
      <c r="O293"/>
      <c r="P293"/>
      <c r="Q293"/>
      <c r="Y293" s="98"/>
      <c r="Z293" s="98"/>
      <c r="AA293" s="98"/>
      <c r="AB293" s="98"/>
      <c r="AC293" s="98"/>
      <c r="AD293" s="98"/>
    </row>
    <row r="294" spans="2:30">
      <c r="B294" s="838" t="s">
        <v>709</v>
      </c>
      <c r="C294" s="738"/>
      <c r="D294" s="790"/>
      <c r="L294"/>
      <c r="M294"/>
      <c r="N294"/>
      <c r="O294"/>
      <c r="P294"/>
      <c r="Q294"/>
      <c r="Y294" s="98"/>
      <c r="Z294" s="98"/>
      <c r="AA294" s="98"/>
      <c r="AB294" s="98"/>
      <c r="AC294" s="98"/>
      <c r="AD294" s="98"/>
    </row>
    <row r="295" spans="2:30" ht="12.75" customHeight="1">
      <c r="B295" s="838" t="s">
        <v>710</v>
      </c>
      <c r="C295" s="738"/>
      <c r="D295" s="790"/>
      <c r="L295"/>
      <c r="M295"/>
      <c r="N295"/>
      <c r="O295"/>
      <c r="P295"/>
      <c r="Q295"/>
      <c r="Y295" s="98"/>
      <c r="Z295" s="98"/>
      <c r="AA295" s="98"/>
      <c r="AB295" s="98"/>
      <c r="AC295" s="98"/>
      <c r="AD295" s="98"/>
    </row>
    <row r="296" spans="2:30" ht="12.75" customHeight="1">
      <c r="B296" s="838" t="s">
        <v>711</v>
      </c>
      <c r="C296" s="738"/>
      <c r="D296" s="790"/>
      <c r="L296"/>
      <c r="M296"/>
      <c r="N296"/>
      <c r="O296"/>
      <c r="P296"/>
      <c r="Q296"/>
      <c r="Y296" s="98"/>
      <c r="Z296" s="98"/>
      <c r="AA296" s="98"/>
      <c r="AB296" s="98"/>
      <c r="AC296" s="98"/>
      <c r="AD296" s="98"/>
    </row>
    <row r="297" spans="2:30" s="2255" customFormat="1" ht="12.75" customHeight="1">
      <c r="B297" s="838" t="s">
        <v>753</v>
      </c>
      <c r="C297" s="738"/>
      <c r="D297" s="790"/>
      <c r="L297" s="1266"/>
      <c r="M297" s="1266"/>
      <c r="N297" s="1266"/>
      <c r="O297" s="1266"/>
      <c r="P297" s="1266"/>
      <c r="Q297" s="1266"/>
      <c r="R297" s="1266"/>
      <c r="S297" s="1266"/>
      <c r="T297" s="1266"/>
      <c r="U297" s="1266"/>
      <c r="V297" s="1266"/>
      <c r="W297" s="1266"/>
      <c r="X297" s="1266"/>
    </row>
    <row r="298" spans="2:30" ht="12.75" customHeight="1">
      <c r="B298" s="1964" t="s">
        <v>69</v>
      </c>
      <c r="C298" s="738"/>
      <c r="D298" s="790"/>
      <c r="L298"/>
      <c r="M298"/>
      <c r="N298"/>
      <c r="O298"/>
      <c r="P298"/>
      <c r="Q298"/>
      <c r="Y298" s="98"/>
      <c r="Z298" s="98"/>
      <c r="AA298" s="98"/>
      <c r="AB298" s="98"/>
      <c r="AC298" s="98"/>
      <c r="AD298" s="98"/>
    </row>
    <row r="299" spans="2:30" ht="12.75" customHeight="1">
      <c r="B299" s="838" t="s">
        <v>707</v>
      </c>
      <c r="C299" s="738"/>
      <c r="D299" s="790"/>
      <c r="L299"/>
      <c r="M299"/>
      <c r="N299"/>
      <c r="O299"/>
      <c r="P299"/>
      <c r="Q299"/>
      <c r="Y299" s="98"/>
      <c r="Z299" s="98"/>
      <c r="AA299" s="98"/>
      <c r="AB299" s="98"/>
      <c r="AC299" s="98"/>
      <c r="AD299" s="98"/>
    </row>
    <row r="300" spans="2:30">
      <c r="B300" s="838" t="s">
        <v>708</v>
      </c>
      <c r="C300" s="738"/>
      <c r="D300" s="790"/>
      <c r="L300"/>
      <c r="M300"/>
      <c r="N300"/>
      <c r="O300"/>
      <c r="P300"/>
      <c r="Q300"/>
      <c r="Y300" s="98"/>
      <c r="Z300" s="98"/>
      <c r="AA300" s="98"/>
      <c r="AB300" s="98"/>
      <c r="AC300" s="98"/>
      <c r="AD300" s="98"/>
    </row>
    <row r="301" spans="2:30">
      <c r="B301" s="838" t="s">
        <v>709</v>
      </c>
      <c r="C301" s="738"/>
      <c r="D301" s="790"/>
      <c r="L301"/>
      <c r="M301"/>
      <c r="N301"/>
      <c r="O301"/>
      <c r="P301"/>
      <c r="Q301"/>
      <c r="Y301" s="98"/>
      <c r="Z301" s="98"/>
      <c r="AA301" s="98"/>
      <c r="AB301" s="98"/>
      <c r="AC301" s="98"/>
      <c r="AD301" s="98"/>
    </row>
    <row r="302" spans="2:30" ht="12.75" customHeight="1">
      <c r="B302" s="838" t="s">
        <v>710</v>
      </c>
      <c r="C302" s="738"/>
      <c r="D302" s="790"/>
      <c r="L302"/>
      <c r="M302"/>
      <c r="N302"/>
      <c r="O302"/>
      <c r="P302"/>
      <c r="Q302"/>
      <c r="Y302" s="98"/>
      <c r="Z302" s="98"/>
      <c r="AA302" s="98"/>
      <c r="AB302" s="98"/>
      <c r="AC302" s="98"/>
      <c r="AD302" s="98"/>
    </row>
    <row r="303" spans="2:30">
      <c r="B303" s="838" t="s">
        <v>711</v>
      </c>
      <c r="C303" s="738"/>
      <c r="D303" s="790"/>
      <c r="L303"/>
      <c r="M303"/>
      <c r="N303"/>
      <c r="O303"/>
      <c r="P303"/>
      <c r="Q303"/>
      <c r="Y303" s="98"/>
      <c r="Z303" s="98"/>
      <c r="AA303" s="98"/>
      <c r="AB303" s="98"/>
      <c r="AC303" s="98"/>
      <c r="AD303" s="98"/>
    </row>
    <row r="304" spans="2:30">
      <c r="B304" s="1968" t="s">
        <v>84</v>
      </c>
      <c r="C304" s="738"/>
      <c r="D304" s="790"/>
      <c r="L304"/>
      <c r="M304"/>
      <c r="N304"/>
      <c r="O304"/>
      <c r="P304"/>
      <c r="Q304"/>
      <c r="Y304" s="98"/>
      <c r="Z304" s="98"/>
      <c r="AA304" s="98"/>
      <c r="AB304" s="98"/>
      <c r="AC304" s="98"/>
      <c r="AD304" s="98"/>
    </row>
    <row r="305" spans="2:30" ht="13.5" thickBot="1">
      <c r="B305" s="1980" t="s">
        <v>84</v>
      </c>
      <c r="C305" s="1601"/>
      <c r="D305" s="793"/>
      <c r="L305"/>
      <c r="M305"/>
      <c r="N305"/>
      <c r="O305"/>
      <c r="P305"/>
      <c r="Q305"/>
      <c r="Y305" s="98"/>
      <c r="Z305" s="98"/>
      <c r="AA305" s="98"/>
      <c r="AB305" s="98"/>
      <c r="AC305" s="98"/>
      <c r="AD305" s="98"/>
    </row>
    <row r="306" spans="2:30">
      <c r="H306" s="1965"/>
      <c r="I306" s="1965"/>
    </row>
  </sheetData>
  <mergeCells count="40">
    <mergeCell ref="B7:E7"/>
    <mergeCell ref="B20:B23"/>
    <mergeCell ref="C20:G20"/>
    <mergeCell ref="C22:J22"/>
    <mergeCell ref="H20:L20"/>
    <mergeCell ref="C21:Q21"/>
    <mergeCell ref="B14:E14"/>
    <mergeCell ref="B8:E8"/>
    <mergeCell ref="B9:E9"/>
    <mergeCell ref="B10:E10"/>
    <mergeCell ref="B13:E13"/>
    <mergeCell ref="B11:E11"/>
    <mergeCell ref="M20:Q20"/>
    <mergeCell ref="K22:Q22"/>
    <mergeCell ref="B12:E12"/>
    <mergeCell ref="B69:B72"/>
    <mergeCell ref="C69:G69"/>
    <mergeCell ref="M92:Q92"/>
    <mergeCell ref="C93:Q93"/>
    <mergeCell ref="H69:L69"/>
    <mergeCell ref="M69:Q69"/>
    <mergeCell ref="C71:J71"/>
    <mergeCell ref="K71:Q71"/>
    <mergeCell ref="C70:Q70"/>
    <mergeCell ref="C88:Q88"/>
    <mergeCell ref="B80:B83"/>
    <mergeCell ref="C80:G80"/>
    <mergeCell ref="H80:L80"/>
    <mergeCell ref="M80:Q80"/>
    <mergeCell ref="C81:Q81"/>
    <mergeCell ref="C82:J82"/>
    <mergeCell ref="K82:Q82"/>
    <mergeCell ref="B128:B130"/>
    <mergeCell ref="B92:B95"/>
    <mergeCell ref="C92:G92"/>
    <mergeCell ref="H92:L92"/>
    <mergeCell ref="C94:J94"/>
    <mergeCell ref="K94:Q94"/>
    <mergeCell ref="B111:J111"/>
    <mergeCell ref="B127:D127"/>
  </mergeCells>
  <pageMargins left="0.75" right="0.75" top="1" bottom="1" header="0.5" footer="0.5"/>
  <pageSetup paperSize="9" orientation="portrait" r:id="rId1"/>
  <headerFooter alignWithMargins="0"/>
  <customProperties>
    <customPr name="layoutContexts" r:id="rId2"/>
    <customPr name="SaveUndoMode" r:id="rId3"/>
  </customProperties>
  <drawing r:id="rId4"/>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theme="6" tint="0.59999389629810485"/>
    <pageSetUpPr autoPageBreaks="0"/>
  </sheetPr>
  <dimension ref="A1:AD48"/>
  <sheetViews>
    <sheetView showGridLines="0" topLeftCell="A10" zoomScale="70" zoomScaleNormal="70" workbookViewId="0">
      <selection activeCell="G22" sqref="G22"/>
    </sheetView>
  </sheetViews>
  <sheetFormatPr defaultColWidth="9.140625" defaultRowHeight="12.75"/>
  <cols>
    <col min="1" max="1" width="16.28515625" style="94" bestFit="1" customWidth="1"/>
    <col min="2" max="2" width="40" style="94" bestFit="1" customWidth="1"/>
    <col min="3" max="11" width="15.7109375" style="94" customWidth="1"/>
    <col min="12" max="12" width="23.42578125" style="94" customWidth="1"/>
    <col min="13" max="15" width="8.7109375"/>
    <col min="16" max="23" width="15.7109375" style="1266" customWidth="1"/>
    <col min="24" max="30" width="8.7109375" customWidth="1"/>
    <col min="31" max="16384" width="9.140625" style="94"/>
  </cols>
  <sheetData>
    <row r="1" spans="1:30" s="217" customFormat="1" ht="24.95" customHeight="1">
      <c r="B1" s="2272" t="str">
        <f>IF(dms_DataQuality="backcast",INDEX(dms_Worksheet_List,MATCH(dms_Model,dms_Model_List))&amp;" BACKCAST",INDEX(dms_Worksheet_List,MATCH(dms_Model,dms_Model_List)))</f>
        <v>REGULATORY REPORTING STATEMENT</v>
      </c>
      <c r="C1" s="518"/>
      <c r="D1" s="518"/>
      <c r="E1" s="518"/>
      <c r="F1" s="518"/>
      <c r="G1" s="518"/>
      <c r="H1" s="518"/>
      <c r="I1" s="518"/>
      <c r="J1" s="518"/>
      <c r="K1" s="518"/>
      <c r="L1" s="518"/>
      <c r="M1" s="518"/>
      <c r="N1" s="518"/>
      <c r="O1" s="518"/>
      <c r="P1" s="518"/>
      <c r="Q1" s="518"/>
      <c r="R1" s="518"/>
      <c r="S1" s="518"/>
      <c r="T1" s="518"/>
      <c r="U1" s="518"/>
      <c r="V1" s="518"/>
      <c r="W1" s="518"/>
      <c r="X1"/>
      <c r="Y1"/>
      <c r="Z1"/>
      <c r="AA1"/>
      <c r="AB1"/>
      <c r="AC1"/>
      <c r="AD1"/>
    </row>
    <row r="2" spans="1:30" s="217" customFormat="1" ht="24.95" customHeight="1">
      <c r="B2" s="2277" t="str">
        <f>INDEX(dms_TradingNameFull_List,MATCH(dms_TradingName,dms_TradingName_List))</f>
        <v>Multinet Gas (DB No.1) Pty Ltd (ACN 086 026 986), Multinet Gas (DB No.2) Pty Ltd (ACN 086 230 122)</v>
      </c>
      <c r="C2" s="220"/>
      <c r="D2" s="220"/>
      <c r="E2" s="220"/>
      <c r="F2" s="220"/>
      <c r="G2" s="220"/>
      <c r="H2" s="220"/>
      <c r="I2" s="220"/>
      <c r="J2" s="220"/>
      <c r="K2" s="220"/>
      <c r="L2" s="220"/>
      <c r="M2" s="1267"/>
      <c r="N2" s="1267"/>
      <c r="O2" s="1267"/>
      <c r="P2" s="1267"/>
      <c r="Q2" s="1267"/>
      <c r="R2" s="1267"/>
      <c r="S2" s="1267"/>
      <c r="T2" s="1267"/>
      <c r="U2" s="1267"/>
      <c r="V2" s="1267"/>
      <c r="W2" s="1267"/>
      <c r="X2"/>
      <c r="Y2"/>
      <c r="Z2"/>
      <c r="AA2"/>
      <c r="AB2"/>
      <c r="AC2"/>
      <c r="AD2"/>
    </row>
    <row r="3" spans="1:30" s="217" customFormat="1" ht="24.95" customHeight="1">
      <c r="B3" s="2277" t="str">
        <f ca="1">IF(SUM(dms_SingleYear_Model)&gt;0,CRY,CONCATENATE(FRCP_y1," to ",dms_MultiYear_FinalYear_Result))</f>
        <v>2018 to 2022</v>
      </c>
      <c r="C3" s="221"/>
      <c r="D3" s="221"/>
      <c r="E3" s="221"/>
      <c r="F3" s="221"/>
      <c r="G3" s="221"/>
      <c r="H3" s="221"/>
      <c r="I3" s="221"/>
      <c r="J3" s="221"/>
      <c r="K3" s="221"/>
      <c r="L3" s="221"/>
      <c r="M3" s="1265"/>
      <c r="N3" s="1265"/>
      <c r="O3" s="1265"/>
      <c r="P3" s="1265"/>
      <c r="Q3" s="1265"/>
      <c r="R3" s="1265"/>
      <c r="S3" s="1265"/>
      <c r="T3" s="1265"/>
      <c r="U3" s="1265"/>
      <c r="V3" s="1265"/>
      <c r="W3" s="1265"/>
      <c r="X3"/>
      <c r="Y3"/>
      <c r="Z3"/>
      <c r="AA3"/>
      <c r="AB3"/>
      <c r="AC3"/>
      <c r="AD3"/>
    </row>
    <row r="4" spans="1:30" s="159" customFormat="1" ht="24" customHeight="1">
      <c r="B4" s="10" t="s">
        <v>389</v>
      </c>
      <c r="C4" s="12"/>
      <c r="D4" s="12"/>
      <c r="E4" s="12"/>
      <c r="F4" s="12"/>
      <c r="G4" s="12"/>
      <c r="H4" s="12"/>
      <c r="I4" s="12"/>
      <c r="J4" s="12"/>
      <c r="K4" s="12"/>
      <c r="L4" s="12"/>
      <c r="M4" s="12"/>
      <c r="N4" s="12"/>
      <c r="O4" s="12"/>
      <c r="P4" s="12"/>
      <c r="Q4" s="12"/>
      <c r="R4" s="12"/>
      <c r="S4" s="12"/>
      <c r="T4" s="12"/>
      <c r="U4" s="12"/>
      <c r="V4" s="12"/>
      <c r="W4" s="12"/>
      <c r="X4"/>
      <c r="Y4"/>
      <c r="Z4"/>
      <c r="AA4"/>
      <c r="AB4"/>
      <c r="AC4"/>
      <c r="AD4"/>
    </row>
    <row r="5" spans="1:30" customFormat="1" ht="26.25" customHeight="1">
      <c r="A5" s="282"/>
      <c r="B5" s="1261"/>
      <c r="C5" s="1261"/>
      <c r="D5" s="1261"/>
      <c r="E5" s="1261"/>
      <c r="F5" s="1261"/>
      <c r="G5" s="1261"/>
      <c r="H5" s="1261"/>
      <c r="I5" s="1261"/>
      <c r="J5" s="1261"/>
      <c r="K5" s="1261"/>
      <c r="L5" s="1261"/>
      <c r="W5" s="1261"/>
    </row>
    <row r="6" spans="1:30">
      <c r="A6" s="725"/>
      <c r="B6" s="1021"/>
      <c r="C6" s="1021"/>
      <c r="D6" s="1262"/>
      <c r="E6" s="1262"/>
      <c r="F6" s="1263"/>
      <c r="G6" s="1263"/>
      <c r="H6" s="1264"/>
      <c r="I6" s="1262"/>
      <c r="J6" s="1262"/>
      <c r="K6" s="1262"/>
      <c r="L6" s="1262"/>
      <c r="P6"/>
      <c r="Q6"/>
      <c r="R6"/>
      <c r="S6"/>
      <c r="T6"/>
      <c r="U6"/>
      <c r="V6"/>
      <c r="W6" s="1262"/>
    </row>
    <row r="7" spans="1:30" s="197" customFormat="1">
      <c r="A7" s="287"/>
      <c r="B7" s="1437" t="s">
        <v>61</v>
      </c>
      <c r="C7" s="1437"/>
      <c r="D7" s="1437"/>
      <c r="E7" s="1437"/>
      <c r="F7" s="1437"/>
      <c r="G7" s="1437"/>
      <c r="H7" s="1437"/>
      <c r="I7" s="1260"/>
      <c r="J7" s="1260"/>
      <c r="K7" s="1260"/>
      <c r="L7" s="1260"/>
      <c r="P7"/>
      <c r="Q7"/>
      <c r="R7"/>
      <c r="S7"/>
      <c r="T7"/>
      <c r="U7"/>
      <c r="V7"/>
      <c r="W7" s="1260"/>
    </row>
    <row r="8" spans="1:30" s="197" customFormat="1">
      <c r="A8" s="287"/>
      <c r="B8" s="1438" t="s">
        <v>129</v>
      </c>
      <c r="C8" s="1438"/>
      <c r="D8" s="1438"/>
      <c r="E8" s="1438"/>
      <c r="F8" s="1438"/>
      <c r="G8" s="1438"/>
      <c r="H8" s="1437"/>
      <c r="I8" s="1260"/>
      <c r="J8" s="1260"/>
      <c r="K8" s="1260"/>
      <c r="L8" s="1260"/>
      <c r="P8"/>
      <c r="Q8"/>
      <c r="R8"/>
      <c r="S8"/>
      <c r="T8"/>
      <c r="U8"/>
      <c r="V8"/>
      <c r="W8" s="1260"/>
    </row>
    <row r="9" spans="1:30" s="197" customFormat="1" ht="34.5" customHeight="1">
      <c r="A9" s="287"/>
      <c r="B9" s="4220" t="str">
        <f>CONCATENATE("Reported expenditure is to be entered INCLUSIVE of any profit margins or management fees paid pursuant to arrangements or contracts between ",dms_TradingName, " and any related parties.")</f>
        <v>Reported expenditure is to be entered INCLUSIVE of any profit margins or management fees paid pursuant to arrangements or contracts between Multinet Gas and any related parties.</v>
      </c>
      <c r="C9" s="4220"/>
      <c r="D9" s="4220"/>
      <c r="E9" s="4220"/>
      <c r="F9" s="4220"/>
      <c r="G9" s="4220"/>
      <c r="H9" s="4220"/>
      <c r="I9" s="1260"/>
      <c r="J9" s="1260"/>
      <c r="K9" s="1260"/>
      <c r="L9" s="1260"/>
      <c r="P9"/>
      <c r="Q9"/>
      <c r="R9"/>
      <c r="S9"/>
      <c r="T9"/>
      <c r="U9"/>
      <c r="V9"/>
      <c r="W9" s="1260"/>
    </row>
    <row r="10" spans="1:30" s="197" customFormat="1" ht="34.5" customHeight="1">
      <c r="A10" s="287"/>
      <c r="B10" s="4924" t="s">
        <v>238</v>
      </c>
      <c r="C10" s="4222"/>
      <c r="D10" s="4222"/>
      <c r="E10" s="4222"/>
      <c r="F10" s="4222"/>
      <c r="G10" s="4222"/>
      <c r="H10" s="4222"/>
      <c r="I10" s="1260"/>
      <c r="J10" s="1260"/>
      <c r="K10" s="1260"/>
      <c r="L10" s="1260"/>
      <c r="P10"/>
      <c r="Q10"/>
      <c r="R10"/>
      <c r="S10"/>
      <c r="T10"/>
      <c r="U10"/>
      <c r="V10"/>
      <c r="W10" s="1260"/>
    </row>
    <row r="11" spans="1:30" s="197" customFormat="1" ht="18" customHeight="1">
      <c r="A11" s="287"/>
      <c r="B11" s="1438" t="s">
        <v>236</v>
      </c>
      <c r="C11" s="1439"/>
      <c r="D11" s="1439"/>
      <c r="E11" s="1439"/>
      <c r="F11" s="1439"/>
      <c r="G11" s="1439"/>
      <c r="H11" s="1437"/>
      <c r="I11" s="1260"/>
      <c r="J11" s="1260"/>
      <c r="K11" s="1260"/>
      <c r="L11" s="1260"/>
      <c r="P11"/>
      <c r="Q11"/>
      <c r="R11"/>
      <c r="S11"/>
      <c r="T11"/>
      <c r="U11"/>
      <c r="V11"/>
      <c r="W11" s="1260"/>
    </row>
    <row r="12" spans="1:30" s="197" customFormat="1" ht="18" customHeight="1">
      <c r="A12" s="287"/>
      <c r="B12" s="1438" t="s">
        <v>237</v>
      </c>
      <c r="C12" s="1439"/>
      <c r="D12" s="1439"/>
      <c r="E12" s="1439"/>
      <c r="F12" s="1439"/>
      <c r="G12" s="1439"/>
      <c r="H12" s="1437"/>
      <c r="I12" s="1260"/>
      <c r="J12" s="1260"/>
      <c r="K12" s="1260"/>
      <c r="L12" s="1260"/>
      <c r="P12"/>
      <c r="Q12"/>
      <c r="R12"/>
      <c r="S12"/>
      <c r="T12"/>
      <c r="U12"/>
      <c r="V12"/>
      <c r="W12" s="1260"/>
    </row>
    <row r="13" spans="1:30">
      <c r="A13" s="725"/>
      <c r="C13" s="725"/>
      <c r="D13" s="299"/>
      <c r="E13" s="299"/>
      <c r="F13" s="867"/>
      <c r="G13" s="867"/>
      <c r="H13" s="349"/>
      <c r="I13" s="299"/>
      <c r="J13" s="299"/>
      <c r="K13" s="299"/>
      <c r="L13" s="299"/>
      <c r="P13"/>
      <c r="Q13"/>
      <c r="R13"/>
      <c r="S13"/>
      <c r="T13"/>
      <c r="U13"/>
      <c r="V13"/>
      <c r="W13" s="299"/>
    </row>
    <row r="14" spans="1:30" ht="43.5" customHeight="1" thickBot="1">
      <c r="A14" s="725"/>
      <c r="C14" s="725"/>
      <c r="D14" s="299"/>
      <c r="E14" s="867"/>
      <c r="F14" s="867"/>
      <c r="G14" s="349"/>
      <c r="H14" s="299"/>
      <c r="I14" s="299"/>
      <c r="J14" s="299"/>
      <c r="K14" s="299"/>
      <c r="L14" s="725"/>
      <c r="P14" s="1268"/>
      <c r="Q14" s="299"/>
      <c r="R14" s="867"/>
      <c r="S14" s="867"/>
      <c r="T14" s="349"/>
      <c r="U14" s="299"/>
      <c r="V14" s="299"/>
      <c r="W14" s="299"/>
    </row>
    <row r="15" spans="1:30" s="223" customFormat="1" ht="26.25" customHeight="1" thickBot="1">
      <c r="A15" s="299"/>
      <c r="B15" s="3319" t="s">
        <v>566</v>
      </c>
      <c r="C15" s="3320"/>
      <c r="D15" s="3320"/>
      <c r="E15" s="3320"/>
      <c r="F15" s="3320"/>
      <c r="G15" s="3320"/>
      <c r="H15" s="3320"/>
      <c r="I15" s="3320"/>
      <c r="J15" s="3320"/>
      <c r="K15" s="3320"/>
      <c r="L15" s="3321"/>
      <c r="M15" s="299"/>
      <c r="P15" s="769" t="s">
        <v>674</v>
      </c>
      <c r="Q15" s="863"/>
      <c r="R15" s="863"/>
      <c r="S15" s="863"/>
      <c r="T15" s="863"/>
      <c r="U15" s="863"/>
      <c r="V15" s="863"/>
      <c r="W15" s="864"/>
    </row>
    <row r="16" spans="1:30" s="223" customFormat="1" ht="26.25" customHeight="1" thickBot="1">
      <c r="A16" s="299"/>
      <c r="B16" s="3322" t="s">
        <v>567</v>
      </c>
      <c r="C16" s="3323"/>
      <c r="D16" s="3323"/>
      <c r="E16" s="3323"/>
      <c r="F16" s="3323"/>
      <c r="G16" s="3323"/>
      <c r="H16" s="3323"/>
      <c r="I16" s="3323"/>
      <c r="J16" s="3323"/>
      <c r="K16" s="3323"/>
      <c r="L16" s="3324"/>
      <c r="M16" s="299"/>
      <c r="P16" s="1372"/>
      <c r="Q16" s="1373"/>
      <c r="R16" s="1373"/>
      <c r="S16" s="1373"/>
      <c r="T16" s="1373"/>
      <c r="U16" s="1373"/>
      <c r="V16" s="1373"/>
      <c r="W16" s="1374"/>
      <c r="X16"/>
      <c r="Y16"/>
      <c r="Z16"/>
    </row>
    <row r="17" spans="1:30" s="77" customFormat="1" ht="15" customHeight="1">
      <c r="A17" s="299"/>
      <c r="B17" s="4945"/>
      <c r="C17" s="4947" t="s">
        <v>36</v>
      </c>
      <c r="D17" s="4948"/>
      <c r="E17" s="4948"/>
      <c r="F17" s="4948"/>
      <c r="G17" s="4949"/>
      <c r="H17" s="4950" t="s">
        <v>37</v>
      </c>
      <c r="I17" s="4948"/>
      <c r="J17" s="4948"/>
      <c r="K17" s="4948"/>
      <c r="L17" s="4951"/>
      <c r="M17"/>
      <c r="N17"/>
      <c r="O17"/>
      <c r="P17" s="4952" t="s">
        <v>36</v>
      </c>
      <c r="Q17" s="4953"/>
      <c r="R17" s="4953"/>
      <c r="S17" s="4953"/>
      <c r="T17" s="4954"/>
      <c r="U17" s="4958" t="s">
        <v>37</v>
      </c>
      <c r="V17" s="4959"/>
      <c r="W17" s="4960"/>
      <c r="X17"/>
      <c r="Y17"/>
      <c r="Z17"/>
      <c r="AA17"/>
      <c r="AB17"/>
      <c r="AC17"/>
      <c r="AD17"/>
    </row>
    <row r="18" spans="1:30" s="77" customFormat="1" ht="15" customHeight="1">
      <c r="A18" s="299"/>
      <c r="B18" s="4946"/>
      <c r="C18" s="4936" t="s">
        <v>378</v>
      </c>
      <c r="D18" s="4937"/>
      <c r="E18" s="4937"/>
      <c r="F18" s="4937"/>
      <c r="G18" s="4937"/>
      <c r="H18" s="4937"/>
      <c r="I18" s="4937"/>
      <c r="J18" s="4938"/>
      <c r="K18" s="4932" t="str">
        <f>CONCATENATE("$0's, real ",dms_DollarReal)</f>
        <v>$0's, real December 2017</v>
      </c>
      <c r="L18" s="4933"/>
      <c r="M18"/>
      <c r="N18"/>
      <c r="O18"/>
      <c r="P18" s="4585" t="str">
        <f>CONCATENATE("$0's, real ",dms_DollarReal)</f>
        <v>$0's, real December 2017</v>
      </c>
      <c r="Q18" s="4586"/>
      <c r="R18" s="4586"/>
      <c r="S18" s="4586"/>
      <c r="T18" s="4586"/>
      <c r="U18" s="4586"/>
      <c r="V18" s="4586"/>
      <c r="W18" s="4587"/>
      <c r="X18"/>
      <c r="Y18"/>
      <c r="Z18"/>
      <c r="AA18"/>
      <c r="AB18"/>
      <c r="AC18"/>
      <c r="AD18"/>
    </row>
    <row r="19" spans="1:30" s="77" customFormat="1" ht="15" customHeight="1">
      <c r="A19" s="299"/>
      <c r="B19" s="4946"/>
      <c r="C19" s="4939" t="s">
        <v>56</v>
      </c>
      <c r="D19" s="4940"/>
      <c r="E19" s="4940"/>
      <c r="F19" s="4940"/>
      <c r="G19" s="4940"/>
      <c r="H19" s="4940"/>
      <c r="I19" s="4940"/>
      <c r="J19" s="4941"/>
      <c r="K19" s="4934" t="s">
        <v>57</v>
      </c>
      <c r="L19" s="4935"/>
      <c r="M19"/>
      <c r="N19"/>
      <c r="O19"/>
      <c r="P19" s="4955" t="s">
        <v>56</v>
      </c>
      <c r="Q19" s="4956"/>
      <c r="R19" s="4956"/>
      <c r="S19" s="4956"/>
      <c r="T19" s="4956"/>
      <c r="U19" s="4956"/>
      <c r="V19" s="4956"/>
      <c r="W19" s="4957"/>
      <c r="X19"/>
      <c r="Y19"/>
      <c r="Z19"/>
      <c r="AA19"/>
      <c r="AB19"/>
      <c r="AC19"/>
      <c r="AD19"/>
    </row>
    <row r="20" spans="1:30" s="77" customFormat="1" ht="15" customHeight="1" thickBot="1">
      <c r="A20" s="299"/>
      <c r="B20" s="4946"/>
      <c r="C20" s="3325">
        <f t="array" ref="C20:G20">PRCP</f>
        <v>2008</v>
      </c>
      <c r="D20" s="3326">
        <v>2009</v>
      </c>
      <c r="E20" s="3326">
        <v>2010</v>
      </c>
      <c r="F20" s="3326">
        <v>2011</v>
      </c>
      <c r="G20" s="3326">
        <v>2012</v>
      </c>
      <c r="H20" s="3326">
        <f>CRCP_y1</f>
        <v>2013</v>
      </c>
      <c r="I20" s="3326">
        <f>CRCP_y2</f>
        <v>2014</v>
      </c>
      <c r="J20" s="3326">
        <f>CRCP_y3</f>
        <v>2015</v>
      </c>
      <c r="K20" s="3326">
        <f>CRCP_y4</f>
        <v>2016</v>
      </c>
      <c r="L20" s="3327">
        <f>CRCP_y5</f>
        <v>2017</v>
      </c>
      <c r="M20"/>
      <c r="N20"/>
      <c r="O20"/>
      <c r="P20" s="1921">
        <f t="array" ref="P20:T20">PRCP</f>
        <v>2008</v>
      </c>
      <c r="Q20" s="860">
        <v>2009</v>
      </c>
      <c r="R20" s="860">
        <v>2010</v>
      </c>
      <c r="S20" s="860">
        <v>2011</v>
      </c>
      <c r="T20" s="860">
        <v>2012</v>
      </c>
      <c r="U20" s="859">
        <f>CRCP_y1</f>
        <v>2013</v>
      </c>
      <c r="V20" s="859">
        <f>CRCP_y2</f>
        <v>2014</v>
      </c>
      <c r="W20" s="1938">
        <f>CRCP_y3</f>
        <v>2015</v>
      </c>
      <c r="X20"/>
      <c r="Y20"/>
      <c r="Z20"/>
      <c r="AA20"/>
      <c r="AB20"/>
      <c r="AC20"/>
      <c r="AD20"/>
    </row>
    <row r="21" spans="1:30">
      <c r="A21" s="725"/>
      <c r="B21" s="3821" t="s">
        <v>1695</v>
      </c>
      <c r="C21" s="3328">
        <v>0</v>
      </c>
      <c r="D21" s="3329">
        <v>0</v>
      </c>
      <c r="E21" s="3329">
        <v>0</v>
      </c>
      <c r="F21" s="3329">
        <v>0</v>
      </c>
      <c r="G21" s="3330">
        <v>0</v>
      </c>
      <c r="H21" s="3853">
        <f>H37</f>
        <v>-767200.00000000012</v>
      </c>
      <c r="I21" s="3854">
        <f t="shared" ref="I21:L21" si="0">I37</f>
        <v>21043200</v>
      </c>
      <c r="J21" s="3854">
        <f t="shared" si="0"/>
        <v>22029600</v>
      </c>
      <c r="K21" s="3854">
        <f t="shared" si="0"/>
        <v>-1863200.0000000002</v>
      </c>
      <c r="L21" s="3855">
        <f t="shared" si="0"/>
        <v>18522400</v>
      </c>
      <c r="P21" s="1883"/>
      <c r="Q21" s="1879"/>
      <c r="R21" s="1879"/>
      <c r="S21" s="1879"/>
      <c r="T21" s="1884"/>
      <c r="U21" s="1883"/>
      <c r="V21" s="1879"/>
      <c r="W21" s="1884"/>
    </row>
    <row r="22" spans="1:30">
      <c r="A22" s="725"/>
      <c r="B22" s="3331"/>
      <c r="C22" s="3332"/>
      <c r="D22" s="3333"/>
      <c r="E22" s="3333"/>
      <c r="F22" s="3333"/>
      <c r="G22" s="3334"/>
      <c r="H22" s="3856"/>
      <c r="I22" s="3857"/>
      <c r="J22" s="3857"/>
      <c r="K22" s="3857"/>
      <c r="L22" s="3858"/>
      <c r="P22" s="1880"/>
      <c r="Q22" s="1881"/>
      <c r="R22" s="1881"/>
      <c r="S22" s="1881"/>
      <c r="T22" s="1885"/>
      <c r="U22" s="1880"/>
      <c r="V22" s="1881"/>
      <c r="W22" s="1885"/>
    </row>
    <row r="23" spans="1:30">
      <c r="A23" s="725"/>
      <c r="B23" s="3331"/>
      <c r="C23" s="3332"/>
      <c r="D23" s="3333"/>
      <c r="E23" s="3333"/>
      <c r="F23" s="3333"/>
      <c r="G23" s="3334"/>
      <c r="H23" s="3856"/>
      <c r="I23" s="3857"/>
      <c r="J23" s="3857"/>
      <c r="K23" s="3857"/>
      <c r="L23" s="3858"/>
      <c r="P23" s="1880"/>
      <c r="Q23" s="1881"/>
      <c r="R23" s="1881"/>
      <c r="S23" s="1881"/>
      <c r="T23" s="1885"/>
      <c r="U23" s="1880"/>
      <c r="V23" s="1881"/>
      <c r="W23" s="1885"/>
    </row>
    <row r="24" spans="1:30">
      <c r="A24" s="725"/>
      <c r="B24" s="3331"/>
      <c r="C24" s="3332"/>
      <c r="D24" s="3333"/>
      <c r="E24" s="3333"/>
      <c r="F24" s="3333"/>
      <c r="G24" s="3334"/>
      <c r="H24" s="3856"/>
      <c r="I24" s="3857"/>
      <c r="J24" s="3857"/>
      <c r="K24" s="3857"/>
      <c r="L24" s="3858"/>
      <c r="P24" s="1880"/>
      <c r="Q24" s="1881"/>
      <c r="R24" s="1881"/>
      <c r="S24" s="1881"/>
      <c r="T24" s="1885"/>
      <c r="U24" s="1880"/>
      <c r="V24" s="1881"/>
      <c r="W24" s="1885"/>
    </row>
    <row r="25" spans="1:30">
      <c r="A25" s="725"/>
      <c r="B25" s="3331"/>
      <c r="C25" s="3332"/>
      <c r="D25" s="3333"/>
      <c r="E25" s="3333"/>
      <c r="F25" s="3333"/>
      <c r="G25" s="3334"/>
      <c r="H25" s="3856"/>
      <c r="I25" s="3857"/>
      <c r="J25" s="3857"/>
      <c r="K25" s="3857"/>
      <c r="L25" s="3858"/>
      <c r="P25" s="1880"/>
      <c r="Q25" s="1881"/>
      <c r="R25" s="1881"/>
      <c r="S25" s="1881"/>
      <c r="T25" s="1885"/>
      <c r="U25" s="1880"/>
      <c r="V25" s="1881"/>
      <c r="W25" s="1885"/>
    </row>
    <row r="26" spans="1:30">
      <c r="A26" s="725"/>
      <c r="B26" s="3331"/>
      <c r="C26" s="3332"/>
      <c r="D26" s="3333"/>
      <c r="E26" s="3333"/>
      <c r="F26" s="3333"/>
      <c r="G26" s="3334"/>
      <c r="H26" s="3856"/>
      <c r="I26" s="3857"/>
      <c r="J26" s="3857"/>
      <c r="K26" s="3857"/>
      <c r="L26" s="3858"/>
      <c r="P26" s="1880"/>
      <c r="Q26" s="1881"/>
      <c r="R26" s="1881"/>
      <c r="S26" s="1881"/>
      <c r="T26" s="1885"/>
      <c r="U26" s="1880"/>
      <c r="V26" s="1881"/>
      <c r="W26" s="1885"/>
    </row>
    <row r="27" spans="1:30">
      <c r="A27" s="725"/>
      <c r="B27" s="3331"/>
      <c r="C27" s="3332"/>
      <c r="D27" s="3333"/>
      <c r="E27" s="3333"/>
      <c r="F27" s="3333"/>
      <c r="G27" s="3334"/>
      <c r="H27" s="3856"/>
      <c r="I27" s="3857"/>
      <c r="J27" s="3857"/>
      <c r="K27" s="3857"/>
      <c r="L27" s="3858"/>
      <c r="P27" s="1880"/>
      <c r="Q27" s="1881"/>
      <c r="R27" s="1881"/>
      <c r="S27" s="1881"/>
      <c r="T27" s="1885"/>
      <c r="U27" s="1880"/>
      <c r="V27" s="1881"/>
      <c r="W27" s="1885"/>
    </row>
    <row r="28" spans="1:30" ht="15" customHeight="1" thickBot="1">
      <c r="A28" s="725"/>
      <c r="B28" s="3335"/>
      <c r="C28" s="3336"/>
      <c r="D28" s="3337"/>
      <c r="E28" s="3337"/>
      <c r="F28" s="3337"/>
      <c r="G28" s="3338"/>
      <c r="H28" s="3859"/>
      <c r="I28" s="3860"/>
      <c r="J28" s="3860"/>
      <c r="K28" s="3860"/>
      <c r="L28" s="3861"/>
      <c r="P28" s="1939"/>
      <c r="Q28" s="1940"/>
      <c r="R28" s="1940"/>
      <c r="S28" s="1940"/>
      <c r="T28" s="1941"/>
      <c r="U28" s="1886"/>
      <c r="V28" s="1882"/>
      <c r="W28" s="1887"/>
    </row>
    <row r="29" spans="1:30" ht="13.5" thickBot="1">
      <c r="A29" s="725"/>
      <c r="B29" s="3339" t="s">
        <v>65</v>
      </c>
      <c r="C29" s="3340">
        <f t="shared" ref="C29:L29" si="1">SUM(C21:C24)</f>
        <v>0</v>
      </c>
      <c r="D29" s="3341">
        <f t="shared" si="1"/>
        <v>0</v>
      </c>
      <c r="E29" s="3341">
        <f t="shared" si="1"/>
        <v>0</v>
      </c>
      <c r="F29" s="3341">
        <f t="shared" si="1"/>
        <v>0</v>
      </c>
      <c r="G29" s="3342">
        <f t="shared" si="1"/>
        <v>0</v>
      </c>
      <c r="H29" s="3862">
        <f t="shared" si="1"/>
        <v>-767200.00000000012</v>
      </c>
      <c r="I29" s="3863">
        <f t="shared" si="1"/>
        <v>21043200</v>
      </c>
      <c r="J29" s="3863">
        <f t="shared" ref="J29" si="2">SUM(J21:J24)</f>
        <v>22029600</v>
      </c>
      <c r="K29" s="3863">
        <f t="shared" si="1"/>
        <v>-1863200.0000000002</v>
      </c>
      <c r="L29" s="3864">
        <f t="shared" si="1"/>
        <v>18522400</v>
      </c>
      <c r="P29" s="1025">
        <f t="shared" ref="P29:V29" si="3">SUM(P21:P24)</f>
        <v>0</v>
      </c>
      <c r="Q29" s="1026">
        <f t="shared" si="3"/>
        <v>0</v>
      </c>
      <c r="R29" s="1026">
        <f t="shared" si="3"/>
        <v>0</v>
      </c>
      <c r="S29" s="1026">
        <f t="shared" si="3"/>
        <v>0</v>
      </c>
      <c r="T29" s="1027">
        <f t="shared" si="3"/>
        <v>0</v>
      </c>
      <c r="U29" s="1028">
        <f t="shared" si="3"/>
        <v>0</v>
      </c>
      <c r="V29" s="1026">
        <f t="shared" si="3"/>
        <v>0</v>
      </c>
      <c r="W29" s="1027">
        <f t="shared" ref="W29" si="4">SUM(W21:W24)</f>
        <v>0</v>
      </c>
    </row>
    <row r="30" spans="1:30" s="69" customFormat="1" ht="29.25" customHeight="1" thickBot="1">
      <c r="A30" s="348"/>
      <c r="B30" s="3343" t="s">
        <v>127</v>
      </c>
      <c r="C30" s="3344"/>
      <c r="D30" s="3345"/>
      <c r="E30" s="3345"/>
      <c r="F30" s="3345"/>
      <c r="G30" s="3345"/>
      <c r="H30" s="3345"/>
      <c r="I30" s="3345"/>
      <c r="J30" s="3345"/>
      <c r="K30" s="3345"/>
      <c r="L30" s="3346"/>
      <c r="M30"/>
      <c r="N30"/>
      <c r="O30"/>
      <c r="P30" s="1790"/>
      <c r="Q30" s="1771"/>
      <c r="R30" s="1771"/>
      <c r="S30" s="1771"/>
      <c r="T30" s="1771"/>
      <c r="U30" s="1771"/>
      <c r="V30" s="1771"/>
      <c r="W30" s="1774"/>
      <c r="X30"/>
      <c r="Y30"/>
      <c r="Z30"/>
      <c r="AA30"/>
      <c r="AB30"/>
      <c r="AC30"/>
      <c r="AD30"/>
    </row>
    <row r="31" spans="1:30" s="95" customFormat="1" ht="30" customHeight="1" thickBot="1">
      <c r="A31" s="725"/>
      <c r="B31" s="969"/>
      <c r="C31" s="970"/>
      <c r="D31" s="970"/>
      <c r="E31" s="970"/>
      <c r="F31" s="970"/>
      <c r="G31" s="970"/>
      <c r="H31" s="970"/>
      <c r="I31" s="970"/>
      <c r="J31" s="970"/>
      <c r="K31" s="970"/>
      <c r="L31" s="970"/>
      <c r="M31"/>
      <c r="N31"/>
      <c r="O31"/>
      <c r="P31" s="970"/>
      <c r="Q31" s="970"/>
      <c r="R31" s="970"/>
      <c r="S31" s="970"/>
      <c r="T31" s="970"/>
      <c r="U31" s="970"/>
      <c r="V31" s="970"/>
      <c r="W31" s="970"/>
      <c r="X31"/>
      <c r="Y31"/>
      <c r="Z31"/>
      <c r="AA31"/>
      <c r="AB31"/>
      <c r="AC31"/>
      <c r="AD31"/>
    </row>
    <row r="32" spans="1:30" s="223" customFormat="1" ht="26.25" customHeight="1" thickBot="1">
      <c r="A32" s="299"/>
      <c r="B32" s="3815" t="s">
        <v>399</v>
      </c>
      <c r="C32" s="3816"/>
      <c r="D32" s="3816"/>
      <c r="E32" s="3816"/>
      <c r="F32" s="3816"/>
      <c r="G32" s="3816"/>
      <c r="H32" s="3816"/>
      <c r="I32" s="3816"/>
      <c r="J32" s="3816"/>
      <c r="K32" s="3816"/>
      <c r="L32" s="3817"/>
      <c r="M32" s="299"/>
      <c r="O32"/>
      <c r="P32"/>
      <c r="Q32"/>
      <c r="R32"/>
      <c r="S32"/>
      <c r="T32"/>
      <c r="U32"/>
      <c r="V32"/>
      <c r="W32"/>
      <c r="X32"/>
      <c r="Y32"/>
      <c r="Z32"/>
    </row>
    <row r="33" spans="1:30" s="501" customFormat="1" ht="15" customHeight="1">
      <c r="A33" s="299"/>
      <c r="B33" s="4925"/>
      <c r="C33" s="4927" t="s">
        <v>36</v>
      </c>
      <c r="D33" s="4928"/>
      <c r="E33" s="4928"/>
      <c r="F33" s="4928"/>
      <c r="G33" s="4929"/>
      <c r="H33" s="4930" t="s">
        <v>37</v>
      </c>
      <c r="I33" s="4928"/>
      <c r="J33" s="4928"/>
      <c r="K33" s="4928"/>
      <c r="L33" s="4931"/>
      <c r="M33"/>
      <c r="N33"/>
      <c r="O33"/>
      <c r="P33"/>
      <c r="Q33"/>
      <c r="R33"/>
      <c r="S33"/>
      <c r="T33"/>
      <c r="U33"/>
      <c r="V33"/>
      <c r="W33"/>
      <c r="X33"/>
      <c r="Y33"/>
      <c r="Z33"/>
      <c r="AA33"/>
      <c r="AB33"/>
      <c r="AC33"/>
      <c r="AD33"/>
    </row>
    <row r="34" spans="1:30" s="501" customFormat="1" ht="15" customHeight="1">
      <c r="A34" s="299"/>
      <c r="B34" s="4926"/>
      <c r="C34" s="4942" t="str">
        <f>CONCATENATE("$0's, real ",dms_DollarReal)</f>
        <v>$0's, real December 2017</v>
      </c>
      <c r="D34" s="4943"/>
      <c r="E34" s="4943"/>
      <c r="F34" s="4943"/>
      <c r="G34" s="4943"/>
      <c r="H34" s="4943"/>
      <c r="I34" s="4943"/>
      <c r="J34" s="4943"/>
      <c r="K34" s="4943"/>
      <c r="L34" s="4944"/>
      <c r="M34"/>
      <c r="N34"/>
      <c r="O34"/>
      <c r="P34"/>
      <c r="Q34"/>
      <c r="R34"/>
      <c r="S34"/>
      <c r="T34"/>
      <c r="U34"/>
      <c r="V34"/>
      <c r="W34"/>
      <c r="X34"/>
      <c r="Y34"/>
      <c r="Z34"/>
      <c r="AA34"/>
      <c r="AB34"/>
      <c r="AC34"/>
      <c r="AD34"/>
    </row>
    <row r="35" spans="1:30" s="501" customFormat="1" ht="15" customHeight="1">
      <c r="A35" s="299"/>
      <c r="B35" s="4926"/>
      <c r="C35" s="4942" t="s">
        <v>76</v>
      </c>
      <c r="D35" s="4943"/>
      <c r="E35" s="4943"/>
      <c r="F35" s="4943"/>
      <c r="G35" s="4943"/>
      <c r="H35" s="4943"/>
      <c r="I35" s="4943"/>
      <c r="J35" s="4943"/>
      <c r="K35" s="4943"/>
      <c r="L35" s="4944"/>
      <c r="M35"/>
      <c r="N35"/>
      <c r="O35"/>
      <c r="P35"/>
      <c r="Q35"/>
      <c r="R35"/>
      <c r="S35"/>
      <c r="T35"/>
      <c r="U35"/>
      <c r="V35"/>
      <c r="W35"/>
      <c r="X35"/>
      <c r="Y35"/>
      <c r="Z35"/>
      <c r="AA35"/>
      <c r="AB35"/>
      <c r="AC35"/>
      <c r="AD35"/>
    </row>
    <row r="36" spans="1:30" s="501" customFormat="1" ht="15" customHeight="1" thickBot="1">
      <c r="A36" s="299"/>
      <c r="B36" s="4926"/>
      <c r="C36" s="3818">
        <f t="array" ref="C36:G36">PRCP</f>
        <v>2008</v>
      </c>
      <c r="D36" s="3819">
        <v>2009</v>
      </c>
      <c r="E36" s="3819">
        <v>2010</v>
      </c>
      <c r="F36" s="3819">
        <v>2011</v>
      </c>
      <c r="G36" s="3819">
        <v>2012</v>
      </c>
      <c r="H36" s="3819">
        <f>CRCP_y1</f>
        <v>2013</v>
      </c>
      <c r="I36" s="3819">
        <f>CRCP_y2</f>
        <v>2014</v>
      </c>
      <c r="J36" s="3819">
        <f>CRCP_y3</f>
        <v>2015</v>
      </c>
      <c r="K36" s="3819">
        <f>CRCP_y4</f>
        <v>2016</v>
      </c>
      <c r="L36" s="3820">
        <f>CRCP_y5</f>
        <v>2017</v>
      </c>
      <c r="M36"/>
      <c r="N36"/>
      <c r="O36"/>
      <c r="P36"/>
      <c r="Q36"/>
      <c r="R36"/>
      <c r="S36"/>
      <c r="T36"/>
      <c r="U36"/>
      <c r="V36"/>
      <c r="W36"/>
      <c r="X36"/>
      <c r="Y36"/>
      <c r="Z36"/>
      <c r="AA36"/>
      <c r="AB36"/>
      <c r="AC36"/>
      <c r="AD36"/>
    </row>
    <row r="37" spans="1:30">
      <c r="A37" s="725"/>
      <c r="B37" s="3821" t="s">
        <v>1695</v>
      </c>
      <c r="C37" s="3822">
        <v>0</v>
      </c>
      <c r="D37" s="3823">
        <v>0</v>
      </c>
      <c r="E37" s="3823">
        <v>0</v>
      </c>
      <c r="F37" s="3823">
        <v>0</v>
      </c>
      <c r="G37" s="3824">
        <v>0</v>
      </c>
      <c r="H37" s="3841">
        <f>-700000*1.096</f>
        <v>-767200.00000000012</v>
      </c>
      <c r="I37" s="3842">
        <f>19200000*1.096</f>
        <v>21043200</v>
      </c>
      <c r="J37" s="3842">
        <f>20100000*1.096</f>
        <v>22029600</v>
      </c>
      <c r="K37" s="3842">
        <f>-1700000*1.096</f>
        <v>-1863200.0000000002</v>
      </c>
      <c r="L37" s="3843">
        <f>16900000*1.096</f>
        <v>18522400</v>
      </c>
      <c r="P37"/>
      <c r="Q37"/>
      <c r="R37"/>
      <c r="S37"/>
      <c r="T37"/>
      <c r="U37"/>
      <c r="V37"/>
      <c r="W37"/>
    </row>
    <row r="38" spans="1:30">
      <c r="A38" s="725"/>
      <c r="B38" s="3825" t="s">
        <v>128</v>
      </c>
      <c r="C38" s="3826">
        <v>0</v>
      </c>
      <c r="D38" s="3827">
        <v>0</v>
      </c>
      <c r="E38" s="3827">
        <v>0</v>
      </c>
      <c r="F38" s="3827">
        <v>0</v>
      </c>
      <c r="G38" s="3828">
        <v>0</v>
      </c>
      <c r="H38" s="3844">
        <v>0</v>
      </c>
      <c r="I38" s="3845">
        <v>0</v>
      </c>
      <c r="J38" s="3845">
        <v>0</v>
      </c>
      <c r="K38" s="3845">
        <v>0</v>
      </c>
      <c r="L38" s="3846">
        <v>0</v>
      </c>
      <c r="P38"/>
      <c r="Q38"/>
      <c r="R38"/>
      <c r="S38"/>
      <c r="T38"/>
      <c r="U38"/>
      <c r="V38"/>
      <c r="W38"/>
    </row>
    <row r="39" spans="1:30">
      <c r="A39" s="725"/>
      <c r="B39" s="3825" t="s">
        <v>128</v>
      </c>
      <c r="C39" s="3826">
        <v>0</v>
      </c>
      <c r="D39" s="3827">
        <v>0</v>
      </c>
      <c r="E39" s="3827">
        <v>0</v>
      </c>
      <c r="F39" s="3827">
        <v>0</v>
      </c>
      <c r="G39" s="3828">
        <v>0</v>
      </c>
      <c r="H39" s="3844">
        <v>0</v>
      </c>
      <c r="I39" s="3845">
        <v>0</v>
      </c>
      <c r="J39" s="3845">
        <v>0</v>
      </c>
      <c r="K39" s="3845">
        <v>0</v>
      </c>
      <c r="L39" s="3846">
        <v>0</v>
      </c>
      <c r="P39"/>
      <c r="Q39"/>
      <c r="R39"/>
      <c r="S39"/>
      <c r="T39"/>
      <c r="U39"/>
      <c r="V39"/>
      <c r="W39"/>
    </row>
    <row r="40" spans="1:30">
      <c r="A40" s="725"/>
      <c r="B40" s="3825" t="s">
        <v>128</v>
      </c>
      <c r="C40" s="3826">
        <v>0</v>
      </c>
      <c r="D40" s="3827">
        <v>0</v>
      </c>
      <c r="E40" s="3827">
        <v>0</v>
      </c>
      <c r="F40" s="3827">
        <v>0</v>
      </c>
      <c r="G40" s="3828">
        <v>0</v>
      </c>
      <c r="H40" s="3844">
        <v>0</v>
      </c>
      <c r="I40" s="3845">
        <v>0</v>
      </c>
      <c r="J40" s="3845">
        <v>0</v>
      </c>
      <c r="K40" s="3845">
        <v>0</v>
      </c>
      <c r="L40" s="3846">
        <v>0</v>
      </c>
      <c r="P40"/>
      <c r="Q40"/>
      <c r="R40"/>
      <c r="S40"/>
      <c r="T40"/>
      <c r="U40"/>
      <c r="V40"/>
      <c r="W40"/>
    </row>
    <row r="41" spans="1:30">
      <c r="A41" s="725"/>
      <c r="B41" s="3825" t="s">
        <v>128</v>
      </c>
      <c r="C41" s="3826">
        <v>0</v>
      </c>
      <c r="D41" s="3827">
        <v>0</v>
      </c>
      <c r="E41" s="3827">
        <v>0</v>
      </c>
      <c r="F41" s="3827">
        <v>0</v>
      </c>
      <c r="G41" s="3828">
        <v>0</v>
      </c>
      <c r="H41" s="3844">
        <v>0</v>
      </c>
      <c r="I41" s="3845">
        <v>0</v>
      </c>
      <c r="J41" s="3845">
        <v>0</v>
      </c>
      <c r="K41" s="3845">
        <v>0</v>
      </c>
      <c r="L41" s="3846">
        <v>0</v>
      </c>
      <c r="P41"/>
      <c r="Q41"/>
      <c r="R41"/>
      <c r="S41"/>
      <c r="T41"/>
      <c r="U41"/>
      <c r="V41"/>
      <c r="W41"/>
    </row>
    <row r="42" spans="1:30">
      <c r="A42" s="725"/>
      <c r="B42" s="3825" t="s">
        <v>128</v>
      </c>
      <c r="C42" s="3826">
        <v>0</v>
      </c>
      <c r="D42" s="3827">
        <v>0</v>
      </c>
      <c r="E42" s="3827">
        <v>0</v>
      </c>
      <c r="F42" s="3827">
        <v>0</v>
      </c>
      <c r="G42" s="3828">
        <v>0</v>
      </c>
      <c r="H42" s="3844">
        <v>0</v>
      </c>
      <c r="I42" s="3845">
        <v>0</v>
      </c>
      <c r="J42" s="3845">
        <v>0</v>
      </c>
      <c r="K42" s="3845">
        <v>0</v>
      </c>
      <c r="L42" s="3846">
        <v>0</v>
      </c>
      <c r="P42"/>
      <c r="Q42"/>
      <c r="R42"/>
      <c r="S42"/>
      <c r="T42"/>
      <c r="U42"/>
      <c r="V42"/>
      <c r="W42"/>
    </row>
    <row r="43" spans="1:30">
      <c r="A43" s="725"/>
      <c r="B43" s="3825" t="s">
        <v>128</v>
      </c>
      <c r="C43" s="3826">
        <v>0</v>
      </c>
      <c r="D43" s="3827">
        <v>0</v>
      </c>
      <c r="E43" s="3827">
        <v>0</v>
      </c>
      <c r="F43" s="3827">
        <v>0</v>
      </c>
      <c r="G43" s="3828">
        <v>0</v>
      </c>
      <c r="H43" s="3844">
        <v>0</v>
      </c>
      <c r="I43" s="3845">
        <v>0</v>
      </c>
      <c r="J43" s="3845">
        <v>0</v>
      </c>
      <c r="K43" s="3845">
        <v>0</v>
      </c>
      <c r="L43" s="3846">
        <v>0</v>
      </c>
      <c r="P43"/>
      <c r="Q43"/>
      <c r="R43"/>
      <c r="S43"/>
      <c r="T43"/>
      <c r="U43"/>
      <c r="V43"/>
      <c r="W43"/>
    </row>
    <row r="44" spans="1:30" ht="13.5" thickBot="1">
      <c r="A44" s="725"/>
      <c r="B44" s="3829" t="s">
        <v>128</v>
      </c>
      <c r="C44" s="3830">
        <v>0</v>
      </c>
      <c r="D44" s="3831">
        <v>0</v>
      </c>
      <c r="E44" s="3831">
        <v>0</v>
      </c>
      <c r="F44" s="3831">
        <v>0</v>
      </c>
      <c r="G44" s="3832">
        <v>0</v>
      </c>
      <c r="H44" s="3847">
        <v>0</v>
      </c>
      <c r="I44" s="3848">
        <v>0</v>
      </c>
      <c r="J44" s="3848">
        <v>0</v>
      </c>
      <c r="K44" s="3848">
        <v>0</v>
      </c>
      <c r="L44" s="3849">
        <v>0</v>
      </c>
      <c r="P44"/>
      <c r="Q44"/>
      <c r="R44"/>
      <c r="S44"/>
      <c r="T44"/>
      <c r="U44"/>
      <c r="V44"/>
      <c r="W44"/>
    </row>
    <row r="45" spans="1:30" ht="13.5" thickBot="1">
      <c r="A45" s="725"/>
      <c r="B45" s="3833" t="s">
        <v>65</v>
      </c>
      <c r="C45" s="3834">
        <f t="shared" ref="C45:L45" si="5">SUM(C37:C44)</f>
        <v>0</v>
      </c>
      <c r="D45" s="3835">
        <f t="shared" si="5"/>
        <v>0</v>
      </c>
      <c r="E45" s="3835">
        <f t="shared" si="5"/>
        <v>0</v>
      </c>
      <c r="F45" s="3835">
        <f t="shared" si="5"/>
        <v>0</v>
      </c>
      <c r="G45" s="3836">
        <f t="shared" si="5"/>
        <v>0</v>
      </c>
      <c r="H45" s="3850">
        <f t="shared" si="5"/>
        <v>-767200.00000000012</v>
      </c>
      <c r="I45" s="3851">
        <f t="shared" si="5"/>
        <v>21043200</v>
      </c>
      <c r="J45" s="3851">
        <f t="shared" ref="J45" si="6">SUM(J37:J44)</f>
        <v>22029600</v>
      </c>
      <c r="K45" s="3851">
        <f t="shared" si="5"/>
        <v>-1863200.0000000002</v>
      </c>
      <c r="L45" s="3852">
        <f t="shared" si="5"/>
        <v>18522400</v>
      </c>
      <c r="P45"/>
      <c r="Q45"/>
      <c r="R45"/>
      <c r="S45"/>
      <c r="T45"/>
      <c r="U45"/>
      <c r="V45"/>
      <c r="W45"/>
    </row>
    <row r="46" spans="1:30" s="69" customFormat="1" ht="29.25" customHeight="1" thickBot="1">
      <c r="A46" s="348"/>
      <c r="B46" s="3837" t="s">
        <v>127</v>
      </c>
      <c r="C46" s="3840" t="s">
        <v>1696</v>
      </c>
      <c r="D46" s="3838"/>
      <c r="E46" s="3838"/>
      <c r="F46" s="3838"/>
      <c r="G46" s="3838"/>
      <c r="H46" s="3838"/>
      <c r="I46" s="3838"/>
      <c r="J46" s="3838"/>
      <c r="K46" s="3838"/>
      <c r="L46" s="3839"/>
      <c r="M46"/>
      <c r="N46"/>
      <c r="O46"/>
      <c r="P46"/>
      <c r="Q46"/>
      <c r="R46"/>
      <c r="S46"/>
      <c r="T46"/>
      <c r="U46"/>
      <c r="V46"/>
      <c r="W46"/>
      <c r="X46"/>
      <c r="Y46"/>
      <c r="Z46"/>
      <c r="AA46"/>
      <c r="AB46"/>
      <c r="AC46"/>
      <c r="AD46"/>
    </row>
    <row r="47" spans="1:30" s="95" customFormat="1">
      <c r="B47" s="122"/>
      <c r="C47" s="123"/>
      <c r="D47" s="123"/>
      <c r="E47" s="123"/>
      <c r="F47" s="123"/>
      <c r="G47" s="123"/>
      <c r="M47"/>
      <c r="N47"/>
      <c r="O47"/>
      <c r="P47"/>
      <c r="Q47"/>
      <c r="R47"/>
      <c r="S47"/>
      <c r="T47"/>
      <c r="U47"/>
      <c r="V47"/>
      <c r="W47"/>
      <c r="X47"/>
      <c r="Y47"/>
      <c r="Z47"/>
      <c r="AA47"/>
      <c r="AB47"/>
      <c r="AC47"/>
      <c r="AD47"/>
    </row>
    <row r="48" spans="1:30">
      <c r="P48"/>
      <c r="Q48"/>
      <c r="R48"/>
      <c r="S48"/>
      <c r="T48"/>
      <c r="U48"/>
      <c r="V48"/>
      <c r="W48"/>
    </row>
  </sheetData>
  <mergeCells count="18">
    <mergeCell ref="P17:T17"/>
    <mergeCell ref="P18:W18"/>
    <mergeCell ref="P19:W19"/>
    <mergeCell ref="U17:W17"/>
    <mergeCell ref="C35:L35"/>
    <mergeCell ref="B9:H9"/>
    <mergeCell ref="B17:B20"/>
    <mergeCell ref="C17:G17"/>
    <mergeCell ref="H17:L17"/>
    <mergeCell ref="B10:H10"/>
    <mergeCell ref="B33:B36"/>
    <mergeCell ref="C33:G33"/>
    <mergeCell ref="H33:L33"/>
    <mergeCell ref="K18:L18"/>
    <mergeCell ref="K19:L19"/>
    <mergeCell ref="C18:J18"/>
    <mergeCell ref="C19:J19"/>
    <mergeCell ref="C34:L34"/>
  </mergeCells>
  <pageMargins left="0.7" right="0.7" top="0.75" bottom="0.75" header="0.3" footer="0.3"/>
  <pageSetup paperSize="9" orientation="portrait" r:id="rId1"/>
  <customProperties>
    <customPr name="layoutContexts" r:id="rId2"/>
    <customPr name="SaveUndoMode" r:id="rId3"/>
  </customProperties>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4" tint="0.59999389629810485"/>
  </sheetPr>
  <dimension ref="B1:Y55"/>
  <sheetViews>
    <sheetView showGridLines="0" topLeftCell="A10" zoomScale="70" zoomScaleNormal="70" workbookViewId="0"/>
  </sheetViews>
  <sheetFormatPr defaultColWidth="9.140625" defaultRowHeight="12.75"/>
  <cols>
    <col min="1" max="1" width="9.140625" style="94"/>
    <col min="2" max="2" width="17.85546875" style="94" customWidth="1"/>
    <col min="3" max="3" width="19.85546875" style="94" customWidth="1"/>
    <col min="4" max="4" width="17.140625" style="94" customWidth="1"/>
    <col min="5" max="21" width="10.7109375" style="94" customWidth="1"/>
    <col min="22" max="16384" width="9.140625" style="94"/>
  </cols>
  <sheetData>
    <row r="1" spans="3:20" s="159" customFormat="1" ht="24" customHeight="1">
      <c r="C1" s="2272" t="str">
        <f>IF(dms_DataQuality="backcast",INDEX(dms_Worksheet_List,MATCH(dms_Model,dms_Model_List))&amp;" BACKCAST",INDEX(dms_Worksheet_List,MATCH(dms_Model,dms_Model_List)))</f>
        <v>REGULATORY REPORTING STATEMENT</v>
      </c>
      <c r="D1" s="157"/>
      <c r="E1" s="157"/>
      <c r="F1" s="157"/>
      <c r="G1" s="157"/>
      <c r="H1" s="157"/>
      <c r="I1" s="157"/>
      <c r="J1" s="157"/>
      <c r="K1" s="157"/>
      <c r="L1" s="157"/>
      <c r="M1" s="157"/>
      <c r="N1" s="157"/>
      <c r="O1" s="157"/>
      <c r="P1" s="157"/>
      <c r="Q1" s="157"/>
      <c r="R1" s="157"/>
      <c r="S1" s="157"/>
      <c r="T1" s="158"/>
    </row>
    <row r="2" spans="3:20" s="159" customFormat="1" ht="24" customHeight="1">
      <c r="C2" s="2277" t="str">
        <f>INDEX(dms_TradingNameFull_List,MATCH(dms_TradingName,dms_TradingName_List))</f>
        <v>Multinet Gas (DB No.1) Pty Ltd (ACN 086 026 986), Multinet Gas (DB No.2) Pty Ltd (ACN 086 230 122)</v>
      </c>
      <c r="D2" s="157"/>
      <c r="E2" s="157"/>
      <c r="F2" s="157"/>
      <c r="G2" s="157"/>
      <c r="H2" s="157"/>
      <c r="I2" s="157"/>
      <c r="J2" s="157"/>
      <c r="K2" s="157"/>
      <c r="L2" s="157"/>
      <c r="M2" s="157"/>
      <c r="N2" s="157"/>
      <c r="O2" s="157"/>
      <c r="P2" s="157"/>
      <c r="Q2" s="157"/>
      <c r="R2" s="157"/>
      <c r="S2" s="157"/>
      <c r="T2" s="158"/>
    </row>
    <row r="3" spans="3:20" s="159" customFormat="1" ht="24" customHeight="1">
      <c r="C3" s="2277" t="str">
        <f ca="1">IF(SUM(dms_SingleYear_Model)&gt;0,CRY,CONCATENATE(FRCP_y1," to ",dms_MultiYear_FinalYear_Result))</f>
        <v>2018 to 2022</v>
      </c>
      <c r="D3" s="972"/>
      <c r="E3" s="972"/>
      <c r="F3" s="972"/>
      <c r="G3" s="972"/>
      <c r="H3" s="972"/>
      <c r="I3" s="972"/>
      <c r="J3" s="972"/>
      <c r="K3" s="972"/>
      <c r="L3" s="972"/>
      <c r="M3" s="972"/>
      <c r="N3" s="972"/>
      <c r="O3" s="972"/>
      <c r="P3" s="972"/>
      <c r="Q3" s="972"/>
      <c r="R3" s="972"/>
      <c r="S3" s="972"/>
      <c r="T3" s="972"/>
    </row>
    <row r="4" spans="3:20" s="159" customFormat="1" ht="24" customHeight="1">
      <c r="C4" s="500" t="s">
        <v>364</v>
      </c>
      <c r="D4" s="500"/>
      <c r="E4" s="500"/>
      <c r="F4" s="500"/>
      <c r="G4" s="500"/>
      <c r="H4" s="500"/>
      <c r="I4" s="500"/>
      <c r="J4" s="500"/>
      <c r="K4" s="500"/>
      <c r="L4" s="500"/>
      <c r="M4" s="500"/>
      <c r="N4" s="500"/>
      <c r="O4" s="500"/>
      <c r="P4" s="500"/>
      <c r="Q4" s="500"/>
      <c r="R4" s="500"/>
      <c r="S4" s="500"/>
      <c r="T4" s="500"/>
    </row>
    <row r="5" spans="3:20">
      <c r="C5" s="71"/>
      <c r="D5" s="71"/>
    </row>
    <row r="7" spans="3:20">
      <c r="C7" s="103" t="s">
        <v>61</v>
      </c>
      <c r="D7" s="111"/>
      <c r="E7" s="111"/>
      <c r="F7" s="111"/>
      <c r="G7" s="111"/>
      <c r="H7" s="111"/>
      <c r="I7" s="111"/>
      <c r="J7" s="111"/>
    </row>
    <row r="8" spans="3:20">
      <c r="C8" s="111" t="s">
        <v>262</v>
      </c>
      <c r="D8" s="111"/>
      <c r="E8" s="111"/>
      <c r="F8" s="111"/>
      <c r="G8" s="111"/>
      <c r="H8" s="111"/>
      <c r="I8" s="111"/>
      <c r="J8" s="111"/>
    </row>
    <row r="9" spans="3:20">
      <c r="C9" s="111"/>
      <c r="D9" s="111"/>
      <c r="E9" s="111"/>
      <c r="F9" s="111"/>
      <c r="G9" s="111"/>
      <c r="H9" s="111"/>
      <c r="I9" s="111"/>
      <c r="J9" s="111"/>
    </row>
    <row r="10" spans="3:20">
      <c r="C10" s="111" t="s">
        <v>263</v>
      </c>
      <c r="D10" s="111"/>
      <c r="E10" s="111"/>
      <c r="F10" s="111"/>
      <c r="G10" s="111"/>
      <c r="H10" s="111"/>
      <c r="I10" s="111"/>
      <c r="J10" s="111"/>
    </row>
    <row r="11" spans="3:20">
      <c r="C11" s="103"/>
      <c r="D11" s="111"/>
      <c r="E11" s="111"/>
      <c r="F11" s="111"/>
      <c r="G11" s="111"/>
      <c r="H11" s="111"/>
      <c r="I11" s="111"/>
      <c r="J11" s="111"/>
    </row>
    <row r="12" spans="3:20">
      <c r="C12" s="104" t="s">
        <v>240</v>
      </c>
      <c r="D12" s="111"/>
      <c r="E12" s="111"/>
      <c r="F12" s="111"/>
      <c r="G12" s="111"/>
      <c r="H12" s="111"/>
      <c r="I12" s="111"/>
      <c r="J12" s="111"/>
    </row>
    <row r="13" spans="3:20">
      <c r="C13" s="109"/>
      <c r="D13" s="111"/>
      <c r="E13" s="111"/>
      <c r="F13" s="111"/>
      <c r="G13" s="111"/>
      <c r="H13" s="111"/>
      <c r="I13" s="111"/>
      <c r="J13" s="111"/>
    </row>
    <row r="14" spans="3:20">
      <c r="C14" s="104" t="s">
        <v>264</v>
      </c>
      <c r="D14" s="111"/>
      <c r="E14" s="111"/>
      <c r="F14" s="111"/>
      <c r="G14" s="111"/>
      <c r="H14" s="111"/>
      <c r="I14" s="111"/>
      <c r="J14" s="111"/>
    </row>
    <row r="15" spans="3:20">
      <c r="C15" s="109"/>
      <c r="D15" s="111"/>
      <c r="E15" s="111"/>
      <c r="F15" s="111"/>
      <c r="G15" s="111"/>
      <c r="H15" s="111"/>
      <c r="I15" s="111"/>
      <c r="J15" s="111"/>
    </row>
    <row r="16" spans="3:20" ht="13.5" thickBot="1"/>
    <row r="17" spans="2:21" s="227" customFormat="1" ht="16.5" thickBot="1">
      <c r="B17" s="1266"/>
      <c r="C17" s="769" t="s">
        <v>502</v>
      </c>
      <c r="D17" s="769"/>
      <c r="E17" s="769"/>
      <c r="F17" s="769"/>
      <c r="G17" s="769"/>
      <c r="H17" s="1266"/>
      <c r="I17" s="1266"/>
      <c r="J17" s="1266"/>
      <c r="K17" s="1266"/>
      <c r="L17" s="1266"/>
      <c r="M17" s="1266"/>
      <c r="N17" s="1266"/>
      <c r="O17" s="1266"/>
      <c r="P17" s="1266"/>
      <c r="Q17" s="1266"/>
      <c r="S17" s="1266"/>
      <c r="T17" s="1266"/>
      <c r="U17" s="1266"/>
    </row>
    <row r="18" spans="2:21" s="227" customFormat="1" ht="16.5" thickBot="1">
      <c r="B18" s="1266"/>
      <c r="C18" s="1367" t="s">
        <v>446</v>
      </c>
      <c r="D18" s="1368"/>
      <c r="E18" s="1368"/>
      <c r="F18" s="1368"/>
      <c r="G18" s="1369"/>
      <c r="H18" s="1266"/>
      <c r="I18" s="1266"/>
      <c r="J18" s="1266"/>
      <c r="K18" s="1266"/>
      <c r="L18" s="1266"/>
      <c r="M18" s="1266"/>
      <c r="N18" s="1266"/>
      <c r="O18" s="1266"/>
      <c r="P18" s="1266"/>
      <c r="Q18" s="1266"/>
      <c r="S18" s="1266"/>
      <c r="T18" s="1266"/>
      <c r="U18" s="1266"/>
    </row>
    <row r="19" spans="2:21" ht="20.25">
      <c r="C19" s="754"/>
      <c r="D19" s="755"/>
      <c r="E19" s="755"/>
      <c r="F19" s="603"/>
      <c r="G19" s="604"/>
      <c r="H19"/>
    </row>
    <row r="20" spans="2:21">
      <c r="C20" s="605"/>
      <c r="D20" s="606"/>
      <c r="E20" s="606"/>
      <c r="F20" s="606"/>
      <c r="G20" s="607"/>
      <c r="H20"/>
    </row>
    <row r="21" spans="2:21" ht="76.5">
      <c r="C21" s="608"/>
      <c r="D21" s="609" t="s">
        <v>14</v>
      </c>
      <c r="E21" s="610" t="s">
        <v>258</v>
      </c>
      <c r="F21" s="610" t="s">
        <v>259</v>
      </c>
      <c r="G21" s="611" t="s">
        <v>15</v>
      </c>
      <c r="H21"/>
    </row>
    <row r="22" spans="2:21">
      <c r="C22" s="647" t="s">
        <v>56</v>
      </c>
      <c r="D22" s="612">
        <v>35765</v>
      </c>
      <c r="E22" s="594">
        <v>120</v>
      </c>
      <c r="F22" s="595">
        <v>66.8</v>
      </c>
      <c r="G22" s="596"/>
    </row>
    <row r="23" spans="2:21">
      <c r="C23" s="647" t="s">
        <v>56</v>
      </c>
      <c r="D23" s="612">
        <v>36130</v>
      </c>
      <c r="E23" s="597">
        <v>121.9</v>
      </c>
      <c r="F23" s="595">
        <v>67.8</v>
      </c>
      <c r="G23" s="596">
        <f t="shared" ref="G23:G36" si="0">E23/E22-1</f>
        <v>1.5833333333333366E-2</v>
      </c>
      <c r="I23" s="150"/>
    </row>
    <row r="24" spans="2:21">
      <c r="C24" s="647" t="s">
        <v>56</v>
      </c>
      <c r="D24" s="612">
        <v>36495</v>
      </c>
      <c r="E24" s="597">
        <v>124.1</v>
      </c>
      <c r="F24" s="595">
        <v>69.099999999999994</v>
      </c>
      <c r="G24" s="596">
        <f t="shared" si="0"/>
        <v>1.8047579983593076E-2</v>
      </c>
      <c r="I24" s="150"/>
    </row>
    <row r="25" spans="2:21">
      <c r="C25" s="647" t="s">
        <v>56</v>
      </c>
      <c r="D25" s="612">
        <v>36861</v>
      </c>
      <c r="E25" s="597">
        <v>131.30000000000001</v>
      </c>
      <c r="F25" s="595">
        <v>73.099999999999994</v>
      </c>
      <c r="G25" s="596">
        <f t="shared" si="0"/>
        <v>5.8017727639001038E-2</v>
      </c>
      <c r="I25" s="150"/>
    </row>
    <row r="26" spans="2:21">
      <c r="C26" s="647" t="s">
        <v>56</v>
      </c>
      <c r="D26" s="612">
        <v>37226</v>
      </c>
      <c r="E26" s="597">
        <v>135.4</v>
      </c>
      <c r="F26" s="595">
        <v>75.400000000000006</v>
      </c>
      <c r="G26" s="596">
        <f t="shared" si="0"/>
        <v>3.1226199543031186E-2</v>
      </c>
      <c r="I26" s="150"/>
    </row>
    <row r="27" spans="2:21">
      <c r="C27" s="647" t="s">
        <v>56</v>
      </c>
      <c r="D27" s="612">
        <v>37591</v>
      </c>
      <c r="E27" s="597">
        <v>139.5</v>
      </c>
      <c r="F27" s="595">
        <v>77.599999999999994</v>
      </c>
      <c r="G27" s="596">
        <f t="shared" si="0"/>
        <v>3.0280649926144765E-2</v>
      </c>
      <c r="I27" s="150"/>
    </row>
    <row r="28" spans="2:21">
      <c r="C28" s="647" t="s">
        <v>56</v>
      </c>
      <c r="D28" s="612">
        <v>37956</v>
      </c>
      <c r="E28" s="597">
        <v>142.80000000000001</v>
      </c>
      <c r="F28" s="595">
        <v>79.5</v>
      </c>
      <c r="G28" s="596">
        <f t="shared" si="0"/>
        <v>2.3655913978494647E-2</v>
      </c>
      <c r="I28" s="150"/>
    </row>
    <row r="29" spans="2:21">
      <c r="C29" s="647" t="s">
        <v>56</v>
      </c>
      <c r="D29" s="612">
        <v>38322</v>
      </c>
      <c r="E29" s="597">
        <v>146.5</v>
      </c>
      <c r="F29" s="595">
        <v>81.5</v>
      </c>
      <c r="G29" s="596">
        <f t="shared" si="0"/>
        <v>2.5910364145658171E-2</v>
      </c>
      <c r="H29" s="150"/>
      <c r="I29" s="150"/>
    </row>
    <row r="30" spans="2:21">
      <c r="C30" s="647" t="s">
        <v>56</v>
      </c>
      <c r="D30" s="612">
        <v>38687</v>
      </c>
      <c r="E30" s="597">
        <v>150.6</v>
      </c>
      <c r="F30" s="595">
        <v>83.8</v>
      </c>
      <c r="G30" s="596">
        <f t="shared" si="0"/>
        <v>2.7986348122866822E-2</v>
      </c>
      <c r="H30" s="150"/>
      <c r="I30" s="150"/>
    </row>
    <row r="31" spans="2:21">
      <c r="C31" s="647" t="s">
        <v>56</v>
      </c>
      <c r="D31" s="612">
        <v>39052</v>
      </c>
      <c r="E31" s="597">
        <v>155.5</v>
      </c>
      <c r="F31" s="595">
        <v>86.6</v>
      </c>
      <c r="G31" s="596">
        <f t="shared" si="0"/>
        <v>3.253652058432932E-2</v>
      </c>
      <c r="H31" s="150"/>
      <c r="I31" s="150"/>
    </row>
    <row r="32" spans="2:21">
      <c r="C32" s="647" t="s">
        <v>56</v>
      </c>
      <c r="D32" s="612">
        <v>39417</v>
      </c>
      <c r="E32" s="597">
        <v>160.1</v>
      </c>
      <c r="F32" s="595">
        <v>89.1</v>
      </c>
      <c r="G32" s="596">
        <f t="shared" si="0"/>
        <v>2.9581993569131715E-2</v>
      </c>
      <c r="H32" s="150"/>
      <c r="I32" s="150"/>
    </row>
    <row r="33" spans="3:25">
      <c r="C33" s="647" t="s">
        <v>56</v>
      </c>
      <c r="D33" s="612">
        <v>39783</v>
      </c>
      <c r="E33" s="594">
        <v>166</v>
      </c>
      <c r="F33" s="595">
        <v>92.4</v>
      </c>
      <c r="G33" s="596">
        <f t="shared" si="0"/>
        <v>3.6851967520299844E-2</v>
      </c>
      <c r="H33" s="150"/>
      <c r="I33" s="150"/>
    </row>
    <row r="34" spans="3:25">
      <c r="C34" s="647" t="s">
        <v>56</v>
      </c>
      <c r="D34" s="612">
        <v>40148</v>
      </c>
      <c r="E34" s="597">
        <v>169.5</v>
      </c>
      <c r="F34" s="595">
        <v>94.3</v>
      </c>
      <c r="G34" s="596">
        <f t="shared" si="0"/>
        <v>2.108433734939763E-2</v>
      </c>
      <c r="H34" s="150"/>
      <c r="I34" s="150"/>
    </row>
    <row r="35" spans="3:25">
      <c r="C35" s="647" t="s">
        <v>56</v>
      </c>
      <c r="D35" s="612">
        <v>40513</v>
      </c>
      <c r="E35" s="594">
        <v>174</v>
      </c>
      <c r="F35" s="595">
        <v>96.9</v>
      </c>
      <c r="G35" s="596">
        <f t="shared" si="0"/>
        <v>2.6548672566371723E-2</v>
      </c>
      <c r="H35" s="150"/>
      <c r="I35" s="150"/>
    </row>
    <row r="36" spans="3:25">
      <c r="C36" s="647" t="s">
        <v>56</v>
      </c>
      <c r="D36" s="612">
        <v>40878</v>
      </c>
      <c r="E36" s="597">
        <v>179.4</v>
      </c>
      <c r="F36" s="595">
        <v>99.8</v>
      </c>
      <c r="G36" s="596">
        <f t="shared" si="0"/>
        <v>3.1034482758620641E-2</v>
      </c>
      <c r="H36" s="150"/>
      <c r="I36" s="150"/>
    </row>
    <row r="37" spans="3:25">
      <c r="C37" s="647" t="s">
        <v>56</v>
      </c>
      <c r="D37" s="612">
        <v>41244</v>
      </c>
      <c r="E37" s="598"/>
      <c r="F37" s="598">
        <v>102</v>
      </c>
      <c r="G37" s="599">
        <f>F37/F36-1</f>
        <v>2.2044088176352838E-2</v>
      </c>
      <c r="H37" s="150"/>
    </row>
    <row r="38" spans="3:25">
      <c r="C38" s="647" t="s">
        <v>56</v>
      </c>
      <c r="D38" s="612">
        <v>41609</v>
      </c>
      <c r="E38" s="595"/>
      <c r="F38" s="595">
        <v>104.8</v>
      </c>
      <c r="G38" s="599">
        <f>F38/F37-1</f>
        <v>2.7450980392156765E-2</v>
      </c>
      <c r="H38" s="150"/>
    </row>
    <row r="39" spans="3:25">
      <c r="C39" s="647" t="s">
        <v>56</v>
      </c>
      <c r="D39" s="612">
        <v>41974</v>
      </c>
      <c r="E39" s="595"/>
      <c r="F39" s="595">
        <v>106.6</v>
      </c>
      <c r="G39" s="599">
        <f>F39/F38-1</f>
        <v>1.7175572519083859E-2</v>
      </c>
    </row>
    <row r="40" spans="3:25">
      <c r="C40" s="647" t="s">
        <v>261</v>
      </c>
      <c r="D40" s="612">
        <v>42339</v>
      </c>
      <c r="E40" s="595"/>
      <c r="F40" s="595"/>
      <c r="G40" s="600"/>
    </row>
    <row r="41" spans="3:25">
      <c r="C41" s="647" t="s">
        <v>261</v>
      </c>
      <c r="D41" s="612">
        <v>42705</v>
      </c>
      <c r="E41" s="595"/>
      <c r="F41" s="595"/>
      <c r="G41" s="600"/>
    </row>
    <row r="42" spans="3:25">
      <c r="C42" s="647" t="s">
        <v>261</v>
      </c>
      <c r="D42" s="612">
        <v>43070</v>
      </c>
      <c r="E42" s="595"/>
      <c r="F42" s="595"/>
      <c r="G42" s="600"/>
    </row>
    <row r="43" spans="3:25">
      <c r="C43" s="647" t="s">
        <v>261</v>
      </c>
      <c r="D43" s="612">
        <v>43435</v>
      </c>
      <c r="E43" s="595"/>
      <c r="F43" s="595"/>
      <c r="G43" s="600"/>
    </row>
    <row r="44" spans="3:25">
      <c r="C44" s="647" t="s">
        <v>261</v>
      </c>
      <c r="D44" s="612">
        <v>43800</v>
      </c>
      <c r="E44" s="595"/>
      <c r="F44" s="595"/>
      <c r="G44" s="600"/>
    </row>
    <row r="45" spans="3:25" ht="13.5" thickBot="1">
      <c r="C45" s="648" t="s">
        <v>261</v>
      </c>
      <c r="D45" s="613">
        <v>44166</v>
      </c>
      <c r="E45" s="601"/>
      <c r="F45" s="601"/>
      <c r="G45" s="602"/>
      <c r="O45" s="155"/>
      <c r="P45" s="155"/>
      <c r="Q45" s="155"/>
      <c r="R45" s="155"/>
    </row>
    <row r="46" spans="3:25" ht="13.5" thickBot="1">
      <c r="C46" s="114"/>
      <c r="D46" s="114"/>
      <c r="E46" s="114"/>
      <c r="F46" s="115"/>
      <c r="H46" s="64"/>
    </row>
    <row r="47" spans="3:25" ht="16.5" thickBot="1">
      <c r="C47" s="1367" t="s">
        <v>365</v>
      </c>
      <c r="D47" s="1368"/>
      <c r="E47" s="1368"/>
      <c r="F47" s="1368"/>
      <c r="G47" s="1368"/>
      <c r="H47" s="1368"/>
      <c r="I47" s="1368"/>
      <c r="J47" s="1368"/>
      <c r="K47" s="1368"/>
      <c r="L47" s="1368"/>
      <c r="M47" s="1368"/>
      <c r="N47" s="1368"/>
      <c r="O47" s="1368"/>
      <c r="P47" s="1368"/>
      <c r="Q47" s="1368"/>
      <c r="R47" s="1368"/>
      <c r="S47" s="1368"/>
      <c r="T47" s="1368"/>
      <c r="U47" s="1368"/>
      <c r="V47" s="1368"/>
      <c r="W47" s="1368"/>
      <c r="X47" s="1368"/>
      <c r="Y47" s="1369"/>
    </row>
    <row r="48" spans="3:25">
      <c r="C48" s="614"/>
      <c r="D48" s="634"/>
      <c r="E48" s="644" t="s">
        <v>250</v>
      </c>
      <c r="F48" s="645" t="s">
        <v>249</v>
      </c>
      <c r="G48" s="645" t="s">
        <v>248</v>
      </c>
      <c r="H48" s="645" t="s">
        <v>247</v>
      </c>
      <c r="I48" s="645" t="s">
        <v>246</v>
      </c>
      <c r="J48" s="645" t="s">
        <v>115</v>
      </c>
      <c r="K48" s="645" t="s">
        <v>100</v>
      </c>
      <c r="L48" s="645" t="s">
        <v>101</v>
      </c>
      <c r="M48" s="645" t="s">
        <v>102</v>
      </c>
      <c r="N48" s="645" t="s">
        <v>103</v>
      </c>
      <c r="O48" s="645" t="s">
        <v>104</v>
      </c>
      <c r="P48" s="645" t="s">
        <v>105</v>
      </c>
      <c r="Q48" s="645" t="s">
        <v>106</v>
      </c>
      <c r="R48" s="645" t="s">
        <v>107</v>
      </c>
      <c r="S48" s="645" t="s">
        <v>108</v>
      </c>
      <c r="T48" s="645" t="s">
        <v>109</v>
      </c>
      <c r="U48" s="645" t="s">
        <v>110</v>
      </c>
      <c r="V48" s="645" t="s">
        <v>111</v>
      </c>
      <c r="W48" s="645" t="s">
        <v>112</v>
      </c>
      <c r="X48" s="645" t="s">
        <v>113</v>
      </c>
      <c r="Y48" s="646" t="s">
        <v>114</v>
      </c>
    </row>
    <row r="49" spans="3:25">
      <c r="C49" s="615"/>
      <c r="D49" s="635"/>
      <c r="E49" s="630">
        <f>$G24</f>
        <v>1.8047579983593076E-2</v>
      </c>
      <c r="F49" s="620">
        <f>$G25</f>
        <v>5.8017727639001038E-2</v>
      </c>
      <c r="G49" s="620">
        <f>$G26</f>
        <v>3.1226199543031186E-2</v>
      </c>
      <c r="H49" s="620">
        <f>$G27</f>
        <v>3.0280649926144765E-2</v>
      </c>
      <c r="I49" s="620">
        <f>$G28</f>
        <v>2.3655913978494647E-2</v>
      </c>
      <c r="J49" s="620">
        <f>$G29</f>
        <v>2.5910364145658171E-2</v>
      </c>
      <c r="K49" s="620">
        <f>$G30</f>
        <v>2.7986348122866822E-2</v>
      </c>
      <c r="L49" s="620">
        <f>$G31</f>
        <v>3.253652058432932E-2</v>
      </c>
      <c r="M49" s="620">
        <f>$G32</f>
        <v>2.9581993569131715E-2</v>
      </c>
      <c r="N49" s="620">
        <f>$G33</f>
        <v>3.6851967520299844E-2</v>
      </c>
      <c r="O49" s="620">
        <f>$G34</f>
        <v>2.108433734939763E-2</v>
      </c>
      <c r="P49" s="620">
        <f>$G35</f>
        <v>2.6548672566371723E-2</v>
      </c>
      <c r="Q49" s="620">
        <f>$G36</f>
        <v>3.1034482758620641E-2</v>
      </c>
      <c r="R49" s="621">
        <f>$G37</f>
        <v>2.2044088176352838E-2</v>
      </c>
      <c r="S49" s="621">
        <f>$G38</f>
        <v>2.7450980392156765E-2</v>
      </c>
      <c r="T49" s="621">
        <f>$G39</f>
        <v>1.7175572519083859E-2</v>
      </c>
      <c r="U49" s="621">
        <f>$G40</f>
        <v>0</v>
      </c>
      <c r="V49" s="621">
        <f>$G41</f>
        <v>0</v>
      </c>
      <c r="W49" s="621">
        <f>$G42</f>
        <v>0</v>
      </c>
      <c r="X49" s="621">
        <f>$G43</f>
        <v>0</v>
      </c>
      <c r="Y49" s="622">
        <f>$G44</f>
        <v>0</v>
      </c>
    </row>
    <row r="50" spans="3:25">
      <c r="C50" s="616" t="str">
        <f>CONCATENATE("Escalator : Nominal $ to Real $ ", dms_DollarReal)</f>
        <v>Escalator : Nominal $ to Real $ December 2017</v>
      </c>
      <c r="D50" s="619"/>
      <c r="E50" s="631">
        <f t="shared" ref="E50:R50" si="1">F50*(1+E49)</f>
        <v>1.5454304836087271</v>
      </c>
      <c r="F50" s="623">
        <f t="shared" si="1"/>
        <v>1.5180336498944709</v>
      </c>
      <c r="G50" s="623">
        <f t="shared" si="1"/>
        <v>1.4347903728248574</v>
      </c>
      <c r="H50" s="623">
        <f t="shared" si="1"/>
        <v>1.3913439878279452</v>
      </c>
      <c r="I50" s="623">
        <f t="shared" si="1"/>
        <v>1.3504514405154393</v>
      </c>
      <c r="J50" s="623">
        <f t="shared" si="1"/>
        <v>1.3192435290749565</v>
      </c>
      <c r="K50" s="623">
        <f t="shared" si="1"/>
        <v>1.2859247505249407</v>
      </c>
      <c r="L50" s="623">
        <f t="shared" si="1"/>
        <v>1.2509161749794411</v>
      </c>
      <c r="M50" s="623">
        <f t="shared" si="1"/>
        <v>1.2114982376328221</v>
      </c>
      <c r="N50" s="623">
        <f t="shared" si="1"/>
        <v>1.1766894188126411</v>
      </c>
      <c r="O50" s="623">
        <f t="shared" si="1"/>
        <v>1.1348673250114689</v>
      </c>
      <c r="P50" s="623">
        <f t="shared" si="1"/>
        <v>1.1114334864419104</v>
      </c>
      <c r="Q50" s="623">
        <f t="shared" si="1"/>
        <v>1.0826895169649644</v>
      </c>
      <c r="R50" s="623">
        <f t="shared" si="1"/>
        <v>1.0501002004008015</v>
      </c>
      <c r="S50" s="623">
        <f>T50*(1+S49)</f>
        <v>1.0274509803921568</v>
      </c>
      <c r="T50" s="623">
        <v>1</v>
      </c>
      <c r="U50" s="623">
        <f>T50/(1+T49)</f>
        <v>0.98311444652908075</v>
      </c>
      <c r="V50" s="623">
        <f>U50/(1+U49)</f>
        <v>0.98311444652908075</v>
      </c>
      <c r="W50" s="623">
        <f>V50/(1+V49)</f>
        <v>0.98311444652908075</v>
      </c>
      <c r="X50" s="623">
        <f>W50/(1+W49)</f>
        <v>0.98311444652908075</v>
      </c>
      <c r="Y50" s="624">
        <f>X50/(1+X49)</f>
        <v>0.98311444652908075</v>
      </c>
    </row>
    <row r="51" spans="3:25">
      <c r="C51" s="616"/>
      <c r="D51" s="619"/>
      <c r="E51" s="638"/>
      <c r="F51" s="639"/>
      <c r="G51" s="639"/>
      <c r="H51" s="639"/>
      <c r="I51" s="639"/>
      <c r="J51" s="639"/>
      <c r="K51" s="639"/>
      <c r="L51" s="639"/>
      <c r="M51" s="639"/>
      <c r="N51" s="639"/>
      <c r="O51" s="639"/>
      <c r="P51" s="639"/>
      <c r="Q51" s="639"/>
      <c r="R51" s="639"/>
      <c r="S51" s="639"/>
      <c r="T51" s="639"/>
      <c r="U51" s="639"/>
      <c r="V51" s="639"/>
      <c r="W51" s="639"/>
      <c r="X51" s="639"/>
      <c r="Y51" s="640"/>
    </row>
    <row r="52" spans="3:25" ht="15">
      <c r="C52" s="617" t="s">
        <v>16</v>
      </c>
      <c r="D52" s="636"/>
      <c r="E52" s="641"/>
      <c r="F52" s="642"/>
      <c r="G52" s="642"/>
      <c r="H52" s="642"/>
      <c r="I52" s="642"/>
      <c r="J52" s="642"/>
      <c r="K52" s="642"/>
      <c r="L52" s="642"/>
      <c r="M52" s="642"/>
      <c r="N52" s="642"/>
      <c r="O52" s="642"/>
      <c r="P52" s="642"/>
      <c r="Q52" s="642"/>
      <c r="R52" s="642"/>
      <c r="S52" s="642"/>
      <c r="T52" s="642"/>
      <c r="U52" s="642"/>
      <c r="V52" s="642"/>
      <c r="W52" s="642"/>
      <c r="X52" s="642"/>
      <c r="Y52" s="643"/>
    </row>
    <row r="53" spans="3:25">
      <c r="C53" s="616" t="s">
        <v>17</v>
      </c>
      <c r="D53" s="619"/>
      <c r="E53" s="632">
        <v>75</v>
      </c>
      <c r="F53" s="625">
        <v>76</v>
      </c>
      <c r="G53" s="625">
        <v>77</v>
      </c>
      <c r="H53" s="625">
        <v>78</v>
      </c>
      <c r="I53" s="625">
        <v>79</v>
      </c>
      <c r="J53" s="625">
        <v>80</v>
      </c>
      <c r="K53" s="625">
        <v>80</v>
      </c>
      <c r="L53" s="625">
        <v>80</v>
      </c>
      <c r="M53" s="625">
        <v>80</v>
      </c>
      <c r="N53" s="625">
        <v>80</v>
      </c>
      <c r="O53" s="625">
        <v>80</v>
      </c>
      <c r="P53" s="625">
        <v>80</v>
      </c>
      <c r="Q53" s="625">
        <v>123</v>
      </c>
      <c r="R53" s="625">
        <v>70</v>
      </c>
      <c r="S53" s="626">
        <v>120</v>
      </c>
      <c r="T53" s="625">
        <v>200</v>
      </c>
      <c r="U53" s="625">
        <v>145</v>
      </c>
      <c r="V53" s="625">
        <v>150</v>
      </c>
      <c r="W53" s="626">
        <v>100</v>
      </c>
      <c r="X53" s="625">
        <v>55</v>
      </c>
      <c r="Y53" s="627">
        <v>135</v>
      </c>
    </row>
    <row r="54" spans="3:25" ht="13.5" thickBot="1">
      <c r="C54" s="618" t="s">
        <v>260</v>
      </c>
      <c r="D54" s="637"/>
      <c r="E54" s="633">
        <f t="shared" ref="E54:Y54" si="2">E53*E$50</f>
        <v>115.90728627065454</v>
      </c>
      <c r="F54" s="628">
        <f t="shared" si="2"/>
        <v>115.37055739197979</v>
      </c>
      <c r="G54" s="628">
        <f t="shared" si="2"/>
        <v>110.47885870751402</v>
      </c>
      <c r="H54" s="628">
        <f t="shared" si="2"/>
        <v>108.52483105057972</v>
      </c>
      <c r="I54" s="628">
        <f t="shared" si="2"/>
        <v>106.68566380071971</v>
      </c>
      <c r="J54" s="628">
        <f t="shared" si="2"/>
        <v>105.53948232599652</v>
      </c>
      <c r="K54" s="628">
        <f t="shared" si="2"/>
        <v>102.87398004199525</v>
      </c>
      <c r="L54" s="628">
        <f t="shared" si="2"/>
        <v>100.07329399835528</v>
      </c>
      <c r="M54" s="628">
        <f t="shared" si="2"/>
        <v>96.919859010625771</v>
      </c>
      <c r="N54" s="628">
        <f t="shared" si="2"/>
        <v>94.135153505011289</v>
      </c>
      <c r="O54" s="628">
        <f t="shared" si="2"/>
        <v>90.789386000917517</v>
      </c>
      <c r="P54" s="628">
        <f t="shared" si="2"/>
        <v>88.914678915352837</v>
      </c>
      <c r="Q54" s="628">
        <f t="shared" si="2"/>
        <v>133.17081058669064</v>
      </c>
      <c r="R54" s="628">
        <f t="shared" si="2"/>
        <v>73.507014028056105</v>
      </c>
      <c r="S54" s="628">
        <f t="shared" si="2"/>
        <v>123.29411764705881</v>
      </c>
      <c r="T54" s="628">
        <f t="shared" si="2"/>
        <v>200</v>
      </c>
      <c r="U54" s="628">
        <f t="shared" si="2"/>
        <v>142.55159474671672</v>
      </c>
      <c r="V54" s="628">
        <f t="shared" si="2"/>
        <v>147.4671669793621</v>
      </c>
      <c r="W54" s="628">
        <f t="shared" si="2"/>
        <v>98.311444652908079</v>
      </c>
      <c r="X54" s="628">
        <f t="shared" si="2"/>
        <v>54.071294559099442</v>
      </c>
      <c r="Y54" s="629">
        <f t="shared" si="2"/>
        <v>132.72045028142591</v>
      </c>
    </row>
    <row r="55" spans="3:25">
      <c r="H55" s="64"/>
    </row>
  </sheetData>
  <pageMargins left="0.75" right="0.75" top="1" bottom="1" header="0.5" footer="0.5"/>
  <pageSetup paperSize="9" orientation="portrait" r:id="rId1"/>
  <headerFooter alignWithMargins="0"/>
  <customProperties>
    <customPr name="layoutContexts" r:id="rId2"/>
  </customPropertie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theme="4" tint="0.59999389629810485"/>
    <pageSetUpPr autoPageBreaks="0"/>
  </sheetPr>
  <dimension ref="A1:AO59"/>
  <sheetViews>
    <sheetView showGridLines="0" zoomScale="84" zoomScaleNormal="84" workbookViewId="0">
      <selection activeCell="P33" sqref="P33"/>
    </sheetView>
  </sheetViews>
  <sheetFormatPr defaultColWidth="9.140625" defaultRowHeight="12.75"/>
  <cols>
    <col min="1" max="1" width="16.28515625" style="169" bestFit="1" customWidth="1"/>
    <col min="2" max="2" width="66.7109375" style="169" customWidth="1"/>
    <col min="3" max="18" width="14.28515625" style="169" customWidth="1"/>
    <col min="19" max="19" width="14.28515625" style="168" customWidth="1"/>
    <col min="20" max="16384" width="9.140625" style="169"/>
  </cols>
  <sheetData>
    <row r="1" spans="2:41" s="159" customFormat="1" ht="24" customHeight="1">
      <c r="B1" s="2272" t="str">
        <f>IF(dms_DataQuality="backcast",INDEX(dms_Worksheet_List,MATCH(dms_Model,dms_Model_List))&amp;" BACKCAST",INDEX(dms_Worksheet_List,MATCH(dms_Model,dms_Model_List)))</f>
        <v>REGULATORY REPORTING STATEMENT</v>
      </c>
      <c r="C1" s="157"/>
      <c r="D1" s="157"/>
      <c r="E1" s="157"/>
      <c r="F1" s="157"/>
      <c r="G1" s="157"/>
      <c r="H1" s="157"/>
      <c r="I1" s="157"/>
      <c r="J1" s="157"/>
      <c r="K1" s="157"/>
      <c r="L1" s="157"/>
      <c r="M1" s="157"/>
      <c r="N1" s="157"/>
      <c r="O1" s="157"/>
      <c r="P1" s="157"/>
      <c r="Q1" s="157"/>
      <c r="R1" s="157"/>
      <c r="S1" s="158"/>
    </row>
    <row r="2" spans="2:41" s="159" customFormat="1" ht="24" customHeight="1">
      <c r="B2" s="2277" t="str">
        <f>INDEX(dms_TradingNameFull_List,MATCH(dms_TradingName,dms_TradingName_List))</f>
        <v>Multinet Gas (DB No.1) Pty Ltd (ACN 086 026 986), Multinet Gas (DB No.2) Pty Ltd (ACN 086 230 122)</v>
      </c>
      <c r="C2" s="157"/>
      <c r="D2" s="157"/>
      <c r="E2" s="157"/>
      <c r="F2" s="157"/>
      <c r="G2" s="157"/>
      <c r="H2" s="157"/>
      <c r="I2" s="157"/>
      <c r="J2" s="157"/>
      <c r="K2" s="157"/>
      <c r="L2" s="157"/>
      <c r="M2" s="157"/>
      <c r="N2" s="157"/>
      <c r="O2" s="157"/>
      <c r="P2" s="157"/>
      <c r="Q2" s="157"/>
      <c r="R2" s="157"/>
      <c r="S2" s="158"/>
    </row>
    <row r="3" spans="2:41" s="159" customFormat="1" ht="24" customHeight="1">
      <c r="B3" s="2277" t="str">
        <f ca="1">IF(SUM(dms_SingleYear_Model)&gt;0,CRY,CONCATENATE(FRCP_y1," to ",dms_MultiYear_FinalYear_Result))</f>
        <v>2018 to 2022</v>
      </c>
      <c r="C3" s="162" t="s">
        <v>371</v>
      </c>
      <c r="D3" s="161"/>
      <c r="E3" s="161"/>
      <c r="F3" s="161"/>
      <c r="G3" s="161"/>
      <c r="H3" s="161"/>
      <c r="I3" s="161"/>
      <c r="J3" s="161"/>
      <c r="K3" s="161"/>
      <c r="L3" s="161"/>
      <c r="M3" s="161"/>
      <c r="N3" s="161"/>
      <c r="O3" s="161"/>
      <c r="P3" s="161"/>
      <c r="Q3" s="161"/>
      <c r="R3" s="161"/>
      <c r="S3" s="161"/>
    </row>
    <row r="4" spans="2:41" s="159" customFormat="1" ht="24" customHeight="1">
      <c r="B4" s="10" t="s">
        <v>363</v>
      </c>
      <c r="C4" s="10"/>
      <c r="D4" s="10"/>
      <c r="E4" s="10"/>
      <c r="F4" s="10"/>
      <c r="G4" s="10"/>
      <c r="H4" s="10"/>
      <c r="I4" s="10"/>
      <c r="J4" s="10"/>
      <c r="K4" s="10"/>
      <c r="L4" s="10"/>
      <c r="M4" s="10"/>
      <c r="N4" s="10"/>
      <c r="O4" s="10"/>
      <c r="P4" s="10"/>
      <c r="Q4" s="10"/>
      <c r="R4" s="10"/>
      <c r="S4" s="10"/>
    </row>
    <row r="5" spans="2:41" s="159" customFormat="1" ht="14.25">
      <c r="B5" s="164"/>
      <c r="S5" s="165"/>
      <c r="AD5"/>
      <c r="AE5"/>
      <c r="AF5"/>
      <c r="AG5"/>
      <c r="AH5"/>
      <c r="AI5"/>
      <c r="AJ5"/>
      <c r="AK5"/>
      <c r="AL5"/>
      <c r="AM5"/>
      <c r="AN5"/>
      <c r="AO5"/>
    </row>
    <row r="6" spans="2:41" ht="21" customHeight="1">
      <c r="AD6"/>
      <c r="AE6"/>
      <c r="AF6"/>
      <c r="AG6"/>
      <c r="AH6"/>
      <c r="AI6"/>
      <c r="AJ6"/>
      <c r="AK6"/>
      <c r="AL6"/>
      <c r="AM6"/>
      <c r="AN6"/>
      <c r="AO6"/>
    </row>
    <row r="7" spans="2:41" s="167" customFormat="1">
      <c r="B7" s="4084" t="s">
        <v>470</v>
      </c>
      <c r="C7" s="4084"/>
      <c r="D7" s="4084"/>
      <c r="E7" s="4084"/>
      <c r="F7" s="166"/>
      <c r="G7" s="166"/>
      <c r="H7" s="166"/>
      <c r="I7" s="166"/>
      <c r="J7" s="1320"/>
      <c r="S7" s="168"/>
    </row>
    <row r="8" spans="2:41" s="167" customFormat="1" ht="36" customHeight="1">
      <c r="B8" s="4084" t="str">
        <f>CONCATENATE("In Tables 2.1 and 2.2 enter the current access arrangement period data and, subject to cl.6.1 of the ", dms_TradingName, ", enter the next access arrangement period data via link from the ", dms_TradingName, " capex model.")</f>
        <v>In Tables 2.1 and 2.2 enter the current access arrangement period data and, subject to cl.6.1 of the Multinet Gas, enter the next access arrangement period data via link from the Multinet Gas capex model.</v>
      </c>
      <c r="C8" s="4084"/>
      <c r="D8" s="4084"/>
      <c r="E8" s="4084"/>
      <c r="F8" s="166"/>
      <c r="G8" s="166"/>
      <c r="H8" s="166"/>
      <c r="I8" s="166"/>
      <c r="J8" s="1320"/>
      <c r="S8" s="168"/>
    </row>
    <row r="9" spans="2:41" s="167" customFormat="1" ht="51" customHeight="1">
      <c r="B9" s="4084" t="str">
        <f>CONCATENATE("If linked/adjustable escalation is not provided in the ", dms_TradingName, " capex model, ensure the escalation in table 2.2 is linked through to all capex categories/subcategories and projects.")</f>
        <v>If linked/adjustable escalation is not provided in the Multinet Gas capex model, ensure the escalation in table 2.2 is linked through to all capex categories/subcategories and projects.</v>
      </c>
      <c r="C9" s="4084"/>
      <c r="D9" s="4084"/>
      <c r="E9" s="4084"/>
      <c r="F9" s="166"/>
      <c r="G9" s="166"/>
      <c r="H9" s="166"/>
      <c r="I9" s="166"/>
      <c r="J9" s="1320"/>
      <c r="S9" s="168"/>
    </row>
    <row r="10" spans="2:41" ht="34.5" customHeight="1" thickBot="1"/>
    <row r="11" spans="2:41" ht="36.75" customHeight="1" thickBot="1">
      <c r="B11" s="769" t="s">
        <v>341</v>
      </c>
      <c r="C11" s="833"/>
      <c r="D11" s="833"/>
      <c r="E11" s="833"/>
      <c r="F11" s="833"/>
      <c r="G11" s="833"/>
      <c r="H11" s="833"/>
      <c r="I11" s="833"/>
      <c r="J11" s="833"/>
      <c r="K11" s="833"/>
      <c r="L11" s="833"/>
      <c r="M11" s="170"/>
      <c r="N11" s="170"/>
      <c r="O11" s="170"/>
      <c r="S11" s="169"/>
    </row>
    <row r="12" spans="2:41" ht="41.25" customHeight="1">
      <c r="B12" s="4085"/>
      <c r="C12" s="4087" t="s">
        <v>342</v>
      </c>
      <c r="D12" s="4088"/>
      <c r="E12" s="4088"/>
      <c r="F12" s="4088"/>
      <c r="G12" s="4088"/>
      <c r="H12" s="4075" t="s">
        <v>183</v>
      </c>
      <c r="I12" s="4075"/>
      <c r="J12" s="4075"/>
      <c r="K12" s="4075"/>
      <c r="L12" s="4076"/>
      <c r="O12" s="168"/>
      <c r="S12" s="169"/>
    </row>
    <row r="13" spans="2:41" s="171" customFormat="1" ht="17.25" customHeight="1">
      <c r="B13" s="4086"/>
      <c r="C13" s="4077">
        <v>0</v>
      </c>
      <c r="D13" s="4078"/>
      <c r="E13" s="4078"/>
      <c r="F13" s="4078"/>
      <c r="G13" s="4078"/>
      <c r="H13" s="4078"/>
      <c r="I13" s="4078"/>
      <c r="J13" s="4078"/>
      <c r="K13" s="4078"/>
      <c r="L13" s="4079"/>
      <c r="O13" s="172"/>
    </row>
    <row r="14" spans="2:41" s="171" customFormat="1" ht="17.25" customHeight="1">
      <c r="B14" s="1319"/>
      <c r="C14" s="4080" t="s">
        <v>76</v>
      </c>
      <c r="D14" s="4081"/>
      <c r="E14" s="4081"/>
      <c r="F14" s="4081"/>
      <c r="G14" s="4081"/>
      <c r="H14" s="4082" t="s">
        <v>57</v>
      </c>
      <c r="I14" s="4082"/>
      <c r="J14" s="4082"/>
      <c r="K14" s="4082"/>
      <c r="L14" s="4083"/>
      <c r="O14" s="172"/>
    </row>
    <row r="15" spans="2:41" s="174" customFormat="1" ht="21" customHeight="1" thickBot="1">
      <c r="B15" s="173"/>
      <c r="C15" s="1347">
        <f>CRCP_y1</f>
        <v>2013</v>
      </c>
      <c r="D15" s="1348">
        <f>CRCP_y2</f>
        <v>2014</v>
      </c>
      <c r="E15" s="1348">
        <f>CRCP_y3</f>
        <v>2015</v>
      </c>
      <c r="F15" s="1348">
        <f>CRCP_y4</f>
        <v>2016</v>
      </c>
      <c r="G15" s="1348">
        <f>CRCP_y5</f>
        <v>2017</v>
      </c>
      <c r="H15" s="289" t="str">
        <f>FRCP_y1</f>
        <v>2018</v>
      </c>
      <c r="I15" s="289">
        <f>FRCP_y2</f>
        <v>2019</v>
      </c>
      <c r="J15" s="289">
        <f>FRCP_y3</f>
        <v>2020</v>
      </c>
      <c r="K15" s="289">
        <f>FRCP_y4</f>
        <v>2021</v>
      </c>
      <c r="L15" s="1349">
        <f>FRCP_y5</f>
        <v>2022</v>
      </c>
      <c r="O15" s="175"/>
    </row>
    <row r="16" spans="2:41" s="174" customFormat="1" ht="12.75" customHeight="1">
      <c r="B16" s="176" t="s">
        <v>148</v>
      </c>
      <c r="C16" s="177">
        <v>0</v>
      </c>
      <c r="D16" s="178">
        <v>0</v>
      </c>
      <c r="E16" s="178">
        <v>0</v>
      </c>
      <c r="F16" s="178">
        <v>0</v>
      </c>
      <c r="G16" s="179">
        <v>0</v>
      </c>
      <c r="H16" s="180">
        <v>0</v>
      </c>
      <c r="I16" s="181">
        <v>0</v>
      </c>
      <c r="J16" s="181">
        <v>0</v>
      </c>
      <c r="K16" s="181">
        <v>0</v>
      </c>
      <c r="L16" s="182">
        <v>0</v>
      </c>
      <c r="O16" s="175"/>
    </row>
    <row r="17" spans="1:30" ht="13.5" thickBot="1">
      <c r="B17" s="176" t="s">
        <v>152</v>
      </c>
      <c r="C17" s="183">
        <v>8.9999999999999993E-3</v>
      </c>
      <c r="D17" s="184">
        <v>5.0000000000000001E-3</v>
      </c>
      <c r="E17" s="184">
        <v>0.01</v>
      </c>
      <c r="F17" s="184">
        <v>0.01</v>
      </c>
      <c r="G17" s="185">
        <v>0.01</v>
      </c>
      <c r="H17" s="186">
        <v>8.0000000000000002E-3</v>
      </c>
      <c r="I17" s="187">
        <v>8.0000000000000002E-3</v>
      </c>
      <c r="J17" s="187">
        <v>1.2E-2</v>
      </c>
      <c r="K17" s="187">
        <v>1.7999999999999999E-2</v>
      </c>
      <c r="L17" s="188">
        <v>0.02</v>
      </c>
      <c r="O17" s="168"/>
      <c r="S17" s="169"/>
    </row>
    <row r="18" spans="1:30">
      <c r="B18" s="176" t="s">
        <v>151</v>
      </c>
      <c r="C18" s="183">
        <v>0</v>
      </c>
      <c r="D18" s="184">
        <v>0</v>
      </c>
      <c r="E18" s="184">
        <v>0</v>
      </c>
      <c r="F18" s="184">
        <v>0</v>
      </c>
      <c r="G18" s="185">
        <v>0</v>
      </c>
      <c r="H18" s="186">
        <v>0</v>
      </c>
      <c r="I18" s="187">
        <v>0</v>
      </c>
      <c r="J18" s="187">
        <v>0</v>
      </c>
      <c r="K18" s="187">
        <v>0</v>
      </c>
      <c r="L18" s="188">
        <v>0</v>
      </c>
      <c r="O18" s="168"/>
      <c r="S18" s="1947"/>
      <c r="T18" s="1948"/>
      <c r="U18" s="1948"/>
      <c r="V18" s="1948"/>
      <c r="W18" s="1948"/>
      <c r="X18" s="1948"/>
      <c r="Y18" s="1948"/>
      <c r="Z18" s="1948"/>
      <c r="AA18" s="1948"/>
      <c r="AB18" s="1948"/>
      <c r="AC18" s="1948"/>
      <c r="AD18" s="1949"/>
    </row>
    <row r="19" spans="1:30">
      <c r="B19" s="176" t="s">
        <v>150</v>
      </c>
      <c r="C19" s="183">
        <v>0</v>
      </c>
      <c r="D19" s="184">
        <v>0</v>
      </c>
      <c r="E19" s="184">
        <v>0</v>
      </c>
      <c r="F19" s="184">
        <v>0</v>
      </c>
      <c r="G19" s="185">
        <v>0</v>
      </c>
      <c r="H19" s="186">
        <v>0</v>
      </c>
      <c r="I19" s="187">
        <v>0</v>
      </c>
      <c r="J19" s="187">
        <v>0</v>
      </c>
      <c r="K19" s="187">
        <v>0</v>
      </c>
      <c r="L19" s="188">
        <v>0</v>
      </c>
      <c r="O19" s="168"/>
      <c r="S19" s="4072"/>
      <c r="T19" s="4073"/>
      <c r="U19" s="4073"/>
      <c r="V19" s="4073"/>
      <c r="W19" s="4073"/>
      <c r="X19" s="4073"/>
      <c r="Y19" s="4073"/>
      <c r="Z19" s="4073"/>
      <c r="AA19" s="4073"/>
      <c r="AB19" s="4073"/>
      <c r="AC19" s="4073"/>
      <c r="AD19" s="4074"/>
    </row>
    <row r="20" spans="1:30">
      <c r="B20" s="176" t="s">
        <v>153</v>
      </c>
      <c r="C20" s="183">
        <v>0</v>
      </c>
      <c r="D20" s="184">
        <v>0</v>
      </c>
      <c r="E20" s="184">
        <v>0</v>
      </c>
      <c r="F20" s="184">
        <v>0</v>
      </c>
      <c r="G20" s="185">
        <v>0</v>
      </c>
      <c r="H20" s="186">
        <v>0</v>
      </c>
      <c r="I20" s="187">
        <v>0</v>
      </c>
      <c r="J20" s="187">
        <v>0</v>
      </c>
      <c r="K20" s="187">
        <v>0</v>
      </c>
      <c r="L20" s="188">
        <v>0</v>
      </c>
      <c r="O20" s="168"/>
      <c r="S20" s="4072"/>
      <c r="T20" s="4073"/>
      <c r="U20" s="4073"/>
      <c r="V20" s="4073"/>
      <c r="W20" s="4073"/>
      <c r="X20" s="4073"/>
      <c r="Y20" s="4073"/>
      <c r="Z20" s="4073"/>
      <c r="AA20" s="4073"/>
      <c r="AB20" s="4073"/>
      <c r="AC20" s="4073"/>
      <c r="AD20" s="4074"/>
    </row>
    <row r="21" spans="1:30" ht="51.75" thickBot="1">
      <c r="B21" s="176" t="s">
        <v>149</v>
      </c>
      <c r="C21" s="183">
        <v>0</v>
      </c>
      <c r="D21" s="184">
        <v>0</v>
      </c>
      <c r="E21" s="184">
        <v>0</v>
      </c>
      <c r="F21" s="184">
        <v>0</v>
      </c>
      <c r="G21" s="185">
        <v>0</v>
      </c>
      <c r="H21" s="186">
        <v>0</v>
      </c>
      <c r="I21" s="187">
        <v>0</v>
      </c>
      <c r="J21" s="187">
        <v>0</v>
      </c>
      <c r="K21" s="187">
        <v>0</v>
      </c>
      <c r="L21" s="188">
        <v>0</v>
      </c>
      <c r="O21" s="168"/>
      <c r="S21" s="1950"/>
      <c r="T21" s="1951"/>
      <c r="U21" s="1951"/>
      <c r="V21" s="1951"/>
      <c r="W21" s="1951"/>
      <c r="X21" s="1952" t="s">
        <v>676</v>
      </c>
      <c r="Y21" s="1951"/>
      <c r="Z21" s="1951"/>
      <c r="AA21" s="1951"/>
      <c r="AB21" s="1951"/>
      <c r="AC21" s="1951"/>
      <c r="AD21" s="1953" t="s">
        <v>676</v>
      </c>
    </row>
    <row r="22" spans="1:30">
      <c r="B22" s="176" t="s">
        <v>272</v>
      </c>
      <c r="C22" s="183">
        <v>0</v>
      </c>
      <c r="D22" s="184">
        <v>0</v>
      </c>
      <c r="E22" s="184">
        <v>0</v>
      </c>
      <c r="F22" s="184">
        <v>0</v>
      </c>
      <c r="G22" s="185">
        <v>0</v>
      </c>
      <c r="H22" s="186">
        <v>0</v>
      </c>
      <c r="I22" s="187">
        <v>0</v>
      </c>
      <c r="J22" s="187">
        <v>0</v>
      </c>
      <c r="K22" s="187">
        <v>0</v>
      </c>
      <c r="L22" s="188">
        <v>0</v>
      </c>
      <c r="O22" s="168"/>
      <c r="S22" s="169"/>
    </row>
    <row r="23" spans="1:30">
      <c r="B23" s="176" t="s">
        <v>64</v>
      </c>
      <c r="C23" s="183">
        <v>0</v>
      </c>
      <c r="D23" s="184">
        <v>0</v>
      </c>
      <c r="E23" s="184">
        <v>0</v>
      </c>
      <c r="F23" s="184">
        <v>0</v>
      </c>
      <c r="G23" s="185">
        <v>0</v>
      </c>
      <c r="H23" s="186">
        <v>0</v>
      </c>
      <c r="I23" s="187">
        <v>0</v>
      </c>
      <c r="J23" s="187">
        <v>0</v>
      </c>
      <c r="K23" s="187">
        <v>0</v>
      </c>
      <c r="L23" s="188">
        <v>0</v>
      </c>
      <c r="O23" s="168"/>
      <c r="S23" s="169"/>
    </row>
    <row r="24" spans="1:30" ht="13.5" thickBot="1">
      <c r="B24" s="176" t="s">
        <v>273</v>
      </c>
      <c r="C24" s="189">
        <v>0</v>
      </c>
      <c r="D24" s="190">
        <v>0</v>
      </c>
      <c r="E24" s="190">
        <v>0</v>
      </c>
      <c r="F24" s="190">
        <v>0</v>
      </c>
      <c r="G24" s="191">
        <v>0</v>
      </c>
      <c r="H24" s="192">
        <v>0</v>
      </c>
      <c r="I24" s="193">
        <v>0</v>
      </c>
      <c r="J24" s="193">
        <v>0</v>
      </c>
      <c r="K24" s="193">
        <v>0</v>
      </c>
      <c r="L24" s="194">
        <v>0</v>
      </c>
      <c r="O24" s="168"/>
      <c r="S24" s="169"/>
    </row>
    <row r="25" spans="1:30" s="170" customFormat="1" ht="15" customHeight="1" thickBot="1">
      <c r="A25" s="195"/>
      <c r="B25" s="196"/>
      <c r="C25" s="1321">
        <f t="shared" ref="C25:E25" si="0">SUM(C16:C24)</f>
        <v>8.9999999999999993E-3</v>
      </c>
      <c r="D25" s="1322">
        <f t="shared" si="0"/>
        <v>5.0000000000000001E-3</v>
      </c>
      <c r="E25" s="1322">
        <f t="shared" si="0"/>
        <v>0.01</v>
      </c>
      <c r="F25" s="1322">
        <f>SUM(F16:F24)</f>
        <v>0.01</v>
      </c>
      <c r="G25" s="1323">
        <f>SUM(G16:G24)</f>
        <v>0.01</v>
      </c>
      <c r="H25" s="1322">
        <f>SUM(H16:H24)</f>
        <v>8.0000000000000002E-3</v>
      </c>
      <c r="I25" s="1322">
        <f t="shared" ref="I25:L25" si="1">SUM(I16:I24)</f>
        <v>8.0000000000000002E-3</v>
      </c>
      <c r="J25" s="1322">
        <f t="shared" si="1"/>
        <v>1.2E-2</v>
      </c>
      <c r="K25" s="1322">
        <f t="shared" si="1"/>
        <v>1.7999999999999999E-2</v>
      </c>
      <c r="L25" s="1323">
        <f t="shared" si="1"/>
        <v>0.02</v>
      </c>
      <c r="O25" s="197"/>
    </row>
    <row r="26" spans="1:30" ht="20.25" customHeight="1" thickBot="1">
      <c r="B26" s="198" t="s">
        <v>127</v>
      </c>
      <c r="C26" s="199"/>
      <c r="D26" s="200"/>
      <c r="E26" s="200"/>
      <c r="F26" s="200"/>
      <c r="G26" s="200"/>
      <c r="H26" s="201"/>
      <c r="I26" s="201"/>
      <c r="J26" s="201"/>
      <c r="K26" s="201"/>
      <c r="L26" s="202"/>
      <c r="N26" s="168"/>
      <c r="S26" s="169"/>
    </row>
    <row r="27" spans="1:30" ht="40.5" customHeight="1" thickBot="1">
      <c r="Q27" s="170"/>
      <c r="R27" s="170"/>
      <c r="S27" s="170"/>
    </row>
    <row r="28" spans="1:30" ht="36.75" customHeight="1" thickBot="1">
      <c r="B28" s="769" t="s">
        <v>343</v>
      </c>
      <c r="C28" s="833"/>
      <c r="D28" s="833"/>
      <c r="E28" s="833"/>
      <c r="F28" s="833"/>
      <c r="G28" s="833"/>
      <c r="H28" s="833"/>
      <c r="I28" s="833"/>
      <c r="J28" s="833"/>
      <c r="K28" s="833"/>
      <c r="L28" s="833"/>
      <c r="M28" s="833"/>
      <c r="N28" s="833"/>
      <c r="O28" s="833"/>
      <c r="P28" s="833"/>
      <c r="Q28" s="833"/>
      <c r="R28" s="833"/>
      <c r="S28" s="833"/>
    </row>
    <row r="29" spans="1:30" s="174" customFormat="1" ht="21.75" customHeight="1">
      <c r="B29" s="203"/>
      <c r="C29" s="4095" t="s">
        <v>57</v>
      </c>
      <c r="D29" s="4096"/>
      <c r="E29" s="4096"/>
      <c r="F29" s="4096"/>
      <c r="G29" s="4096"/>
      <c r="H29" s="4096"/>
      <c r="I29" s="4096"/>
      <c r="J29" s="4096"/>
      <c r="K29" s="4097"/>
      <c r="L29" s="4098" t="s">
        <v>57</v>
      </c>
      <c r="M29" s="4099"/>
      <c r="N29" s="4099"/>
      <c r="O29" s="4099"/>
      <c r="P29" s="4099"/>
      <c r="Q29" s="4099"/>
      <c r="R29" s="4099"/>
      <c r="S29" s="4100"/>
    </row>
    <row r="30" spans="1:30" s="171" customFormat="1" ht="21" customHeight="1">
      <c r="B30" s="204"/>
      <c r="C30" s="4089">
        <v>0</v>
      </c>
      <c r="D30" s="4090"/>
      <c r="E30" s="4090"/>
      <c r="F30" s="4090"/>
      <c r="G30" s="4090"/>
      <c r="H30" s="4090"/>
      <c r="I30" s="4090"/>
      <c r="J30" s="4090"/>
      <c r="K30" s="4091"/>
      <c r="L30" s="4092" t="s">
        <v>344</v>
      </c>
      <c r="M30" s="4093"/>
      <c r="N30" s="4093"/>
      <c r="O30" s="4093"/>
      <c r="P30" s="4093"/>
      <c r="Q30" s="4093"/>
      <c r="R30" s="4093"/>
      <c r="S30" s="4094"/>
    </row>
    <row r="31" spans="1:30" s="171" customFormat="1" ht="21" customHeight="1">
      <c r="B31" s="204"/>
      <c r="C31" s="4092" t="s">
        <v>278</v>
      </c>
      <c r="D31" s="4101"/>
      <c r="E31" s="4102" t="s">
        <v>279</v>
      </c>
      <c r="F31" s="4103"/>
      <c r="G31" s="4103"/>
      <c r="H31" s="4103"/>
      <c r="I31" s="4103"/>
      <c r="J31" s="4103"/>
      <c r="K31" s="4104"/>
      <c r="L31" s="4092"/>
      <c r="M31" s="4093"/>
      <c r="N31" s="4093"/>
      <c r="O31" s="4093"/>
      <c r="P31" s="4093"/>
      <c r="Q31" s="4093"/>
      <c r="R31" s="4093"/>
      <c r="S31" s="4094"/>
    </row>
    <row r="32" spans="1:30" s="171" customFormat="1" ht="21" thickBot="1">
      <c r="B32" s="205"/>
      <c r="C32" s="1352" t="s">
        <v>148</v>
      </c>
      <c r="D32" s="1353" t="s">
        <v>152</v>
      </c>
      <c r="E32" s="1354" t="str">
        <f>B18</f>
        <v>Concrete</v>
      </c>
      <c r="F32" s="1354" t="str">
        <f>B19</f>
        <v>Steel</v>
      </c>
      <c r="G32" s="1354" t="str">
        <f>B20</f>
        <v>Plastic</v>
      </c>
      <c r="H32" s="1354" t="str">
        <f>B21</f>
        <v>Aluminium</v>
      </c>
      <c r="I32" s="1354" t="str">
        <f>B22</f>
        <v>Brass</v>
      </c>
      <c r="J32" s="1354" t="str">
        <f>B23</f>
        <v>Other</v>
      </c>
      <c r="K32" s="1355" t="s">
        <v>65</v>
      </c>
      <c r="L32" s="1352" t="s">
        <v>107</v>
      </c>
      <c r="M32" s="891" t="s">
        <v>108</v>
      </c>
      <c r="N32" s="1353" t="s">
        <v>109</v>
      </c>
      <c r="O32" s="891" t="s">
        <v>111</v>
      </c>
      <c r="P32" s="891" t="s">
        <v>112</v>
      </c>
      <c r="Q32" s="891" t="s">
        <v>113</v>
      </c>
      <c r="R32" s="891" t="s">
        <v>114</v>
      </c>
      <c r="S32" s="893" t="s">
        <v>217</v>
      </c>
    </row>
    <row r="33" spans="2:19" s="174" customFormat="1" ht="12.75" customHeight="1">
      <c r="B33" s="1315" t="s">
        <v>278</v>
      </c>
      <c r="C33" s="177">
        <v>0</v>
      </c>
      <c r="D33" s="179">
        <v>1</v>
      </c>
      <c r="E33" s="1350">
        <v>0</v>
      </c>
      <c r="F33" s="178">
        <v>0</v>
      </c>
      <c r="G33" s="178">
        <v>0</v>
      </c>
      <c r="H33" s="178">
        <v>0</v>
      </c>
      <c r="I33" s="178">
        <v>0</v>
      </c>
      <c r="J33" s="178">
        <v>0</v>
      </c>
      <c r="K33" s="1351">
        <v>0</v>
      </c>
      <c r="L33" s="1356">
        <v>1</v>
      </c>
      <c r="M33" s="178">
        <f>C17</f>
        <v>8.9999999999999993E-3</v>
      </c>
      <c r="N33" s="178">
        <f>(1+M33)*(1+D17)-1</f>
        <v>1.4044999999999863E-2</v>
      </c>
      <c r="O33" s="178">
        <f t="shared" ref="O33:S33" si="2">(1+N33)*(1+E17)-1</f>
        <v>2.4185449999999831E-2</v>
      </c>
      <c r="P33" s="178">
        <f t="shared" si="2"/>
        <v>3.4427304499999867E-2</v>
      </c>
      <c r="Q33" s="178">
        <f t="shared" si="2"/>
        <v>4.4771577544999941E-2</v>
      </c>
      <c r="R33" s="178">
        <f t="shared" si="2"/>
        <v>5.3129750165360035E-2</v>
      </c>
      <c r="S33" s="1357">
        <f t="shared" si="2"/>
        <v>6.1554788166682917E-2</v>
      </c>
    </row>
    <row r="34" spans="2:19" s="174" customFormat="1" ht="12.75" customHeight="1">
      <c r="B34" s="1315"/>
      <c r="C34" s="183">
        <v>0</v>
      </c>
      <c r="D34" s="185">
        <v>0</v>
      </c>
      <c r="E34" s="206">
        <v>0</v>
      </c>
      <c r="F34" s="184">
        <v>0</v>
      </c>
      <c r="G34" s="184">
        <v>0</v>
      </c>
      <c r="H34" s="184">
        <v>0</v>
      </c>
      <c r="I34" s="184">
        <v>0</v>
      </c>
      <c r="J34" s="184">
        <v>0</v>
      </c>
      <c r="K34" s="207">
        <v>0</v>
      </c>
      <c r="L34" s="208">
        <v>1</v>
      </c>
      <c r="M34" s="184">
        <v>0</v>
      </c>
      <c r="N34" s="184">
        <v>0</v>
      </c>
      <c r="O34" s="184">
        <v>0</v>
      </c>
      <c r="P34" s="184">
        <v>0</v>
      </c>
      <c r="Q34" s="184">
        <v>0</v>
      </c>
      <c r="R34" s="184">
        <v>0</v>
      </c>
      <c r="S34" s="209">
        <v>0</v>
      </c>
    </row>
    <row r="35" spans="2:19">
      <c r="B35" s="1315"/>
      <c r="C35" s="183">
        <v>0</v>
      </c>
      <c r="D35" s="185">
        <v>0</v>
      </c>
      <c r="E35" s="206">
        <v>0</v>
      </c>
      <c r="F35" s="184">
        <v>0</v>
      </c>
      <c r="G35" s="184">
        <v>0</v>
      </c>
      <c r="H35" s="184">
        <v>0</v>
      </c>
      <c r="I35" s="184">
        <v>0</v>
      </c>
      <c r="J35" s="184">
        <v>0</v>
      </c>
      <c r="K35" s="207">
        <v>0</v>
      </c>
      <c r="L35" s="208">
        <v>1</v>
      </c>
      <c r="M35" s="184">
        <v>0</v>
      </c>
      <c r="N35" s="184">
        <v>0</v>
      </c>
      <c r="O35" s="184">
        <v>0</v>
      </c>
      <c r="P35" s="184">
        <v>0</v>
      </c>
      <c r="Q35" s="184">
        <v>0</v>
      </c>
      <c r="R35" s="184">
        <v>0</v>
      </c>
      <c r="S35" s="209">
        <v>0</v>
      </c>
    </row>
    <row r="36" spans="2:19">
      <c r="B36" s="1315"/>
      <c r="C36" s="183">
        <v>0</v>
      </c>
      <c r="D36" s="185">
        <v>0</v>
      </c>
      <c r="E36" s="206">
        <v>0</v>
      </c>
      <c r="F36" s="184">
        <v>0</v>
      </c>
      <c r="G36" s="184">
        <v>0</v>
      </c>
      <c r="H36" s="184">
        <v>0</v>
      </c>
      <c r="I36" s="184">
        <v>0</v>
      </c>
      <c r="J36" s="184">
        <v>0</v>
      </c>
      <c r="K36" s="207">
        <v>0</v>
      </c>
      <c r="L36" s="208">
        <v>1</v>
      </c>
      <c r="M36" s="184">
        <v>0</v>
      </c>
      <c r="N36" s="184">
        <v>0</v>
      </c>
      <c r="O36" s="184">
        <v>0</v>
      </c>
      <c r="P36" s="184">
        <v>0</v>
      </c>
      <c r="Q36" s="184">
        <v>0</v>
      </c>
      <c r="R36" s="184">
        <v>0</v>
      </c>
      <c r="S36" s="209">
        <v>0</v>
      </c>
    </row>
    <row r="37" spans="2:19">
      <c r="B37" s="1315"/>
      <c r="C37" s="183">
        <v>0</v>
      </c>
      <c r="D37" s="185">
        <v>0</v>
      </c>
      <c r="E37" s="206">
        <v>0</v>
      </c>
      <c r="F37" s="184">
        <v>0</v>
      </c>
      <c r="G37" s="184">
        <v>0</v>
      </c>
      <c r="H37" s="184">
        <v>0</v>
      </c>
      <c r="I37" s="184">
        <v>0</v>
      </c>
      <c r="J37" s="184">
        <v>0</v>
      </c>
      <c r="K37" s="207">
        <v>0</v>
      </c>
      <c r="L37" s="208">
        <v>1</v>
      </c>
      <c r="M37" s="184">
        <v>0</v>
      </c>
      <c r="N37" s="184">
        <v>0</v>
      </c>
      <c r="O37" s="184">
        <v>0</v>
      </c>
      <c r="P37" s="184">
        <v>0</v>
      </c>
      <c r="Q37" s="184">
        <v>0</v>
      </c>
      <c r="R37" s="184">
        <v>0</v>
      </c>
      <c r="S37" s="209">
        <v>0</v>
      </c>
    </row>
    <row r="38" spans="2:19">
      <c r="B38" s="1315"/>
      <c r="C38" s="183">
        <v>0</v>
      </c>
      <c r="D38" s="185">
        <v>0</v>
      </c>
      <c r="E38" s="206">
        <v>0</v>
      </c>
      <c r="F38" s="184">
        <v>0</v>
      </c>
      <c r="G38" s="184">
        <v>0</v>
      </c>
      <c r="H38" s="184">
        <v>0</v>
      </c>
      <c r="I38" s="184">
        <v>0</v>
      </c>
      <c r="J38" s="184">
        <v>0</v>
      </c>
      <c r="K38" s="207">
        <v>0</v>
      </c>
      <c r="L38" s="208">
        <v>1</v>
      </c>
      <c r="M38" s="184">
        <v>0</v>
      </c>
      <c r="N38" s="184">
        <v>0</v>
      </c>
      <c r="O38" s="184">
        <v>0</v>
      </c>
      <c r="P38" s="184">
        <v>0</v>
      </c>
      <c r="Q38" s="184">
        <v>0</v>
      </c>
      <c r="R38" s="184">
        <v>0</v>
      </c>
      <c r="S38" s="209">
        <v>0</v>
      </c>
    </row>
    <row r="39" spans="2:19">
      <c r="B39" s="1315"/>
      <c r="C39" s="183">
        <v>0</v>
      </c>
      <c r="D39" s="185">
        <v>0</v>
      </c>
      <c r="E39" s="206">
        <v>0</v>
      </c>
      <c r="F39" s="184">
        <v>0</v>
      </c>
      <c r="G39" s="184">
        <v>0</v>
      </c>
      <c r="H39" s="184">
        <v>0</v>
      </c>
      <c r="I39" s="184">
        <v>0</v>
      </c>
      <c r="J39" s="184">
        <v>0</v>
      </c>
      <c r="K39" s="207">
        <v>0</v>
      </c>
      <c r="L39" s="208">
        <v>1</v>
      </c>
      <c r="M39" s="184">
        <v>0</v>
      </c>
      <c r="N39" s="184">
        <v>0</v>
      </c>
      <c r="O39" s="184">
        <v>0</v>
      </c>
      <c r="P39" s="184">
        <v>0</v>
      </c>
      <c r="Q39" s="184">
        <v>0</v>
      </c>
      <c r="R39" s="184">
        <v>0</v>
      </c>
      <c r="S39" s="209">
        <v>0</v>
      </c>
    </row>
    <row r="40" spans="2:19">
      <c r="B40" s="1315"/>
      <c r="C40" s="183">
        <v>0</v>
      </c>
      <c r="D40" s="185">
        <v>0</v>
      </c>
      <c r="E40" s="206">
        <v>0</v>
      </c>
      <c r="F40" s="184">
        <v>0</v>
      </c>
      <c r="G40" s="184">
        <v>0</v>
      </c>
      <c r="H40" s="184">
        <v>0</v>
      </c>
      <c r="I40" s="184">
        <v>0</v>
      </c>
      <c r="J40" s="184">
        <v>0</v>
      </c>
      <c r="K40" s="207">
        <v>0</v>
      </c>
      <c r="L40" s="208">
        <v>1</v>
      </c>
      <c r="M40" s="184">
        <v>0</v>
      </c>
      <c r="N40" s="184">
        <v>0</v>
      </c>
      <c r="O40" s="184">
        <v>0</v>
      </c>
      <c r="P40" s="184">
        <v>0</v>
      </c>
      <c r="Q40" s="184">
        <v>0</v>
      </c>
      <c r="R40" s="184">
        <v>0</v>
      </c>
      <c r="S40" s="209">
        <v>0</v>
      </c>
    </row>
    <row r="41" spans="2:19">
      <c r="B41" s="1315"/>
      <c r="C41" s="183">
        <v>0</v>
      </c>
      <c r="D41" s="185">
        <v>0</v>
      </c>
      <c r="E41" s="206">
        <v>0</v>
      </c>
      <c r="F41" s="184">
        <v>0</v>
      </c>
      <c r="G41" s="184">
        <v>0</v>
      </c>
      <c r="H41" s="184">
        <v>0</v>
      </c>
      <c r="I41" s="184">
        <v>0</v>
      </c>
      <c r="J41" s="184">
        <v>0</v>
      </c>
      <c r="K41" s="207">
        <v>0</v>
      </c>
      <c r="L41" s="208">
        <v>1</v>
      </c>
      <c r="M41" s="184">
        <v>0</v>
      </c>
      <c r="N41" s="184">
        <v>0</v>
      </c>
      <c r="O41" s="184">
        <v>0</v>
      </c>
      <c r="P41" s="184">
        <v>0</v>
      </c>
      <c r="Q41" s="184">
        <v>0</v>
      </c>
      <c r="R41" s="184">
        <v>0</v>
      </c>
      <c r="S41" s="209">
        <v>0</v>
      </c>
    </row>
    <row r="42" spans="2:19">
      <c r="B42" s="1315"/>
      <c r="C42" s="183">
        <v>0</v>
      </c>
      <c r="D42" s="185">
        <v>0</v>
      </c>
      <c r="E42" s="206">
        <v>0</v>
      </c>
      <c r="F42" s="184">
        <v>0</v>
      </c>
      <c r="G42" s="184">
        <v>0</v>
      </c>
      <c r="H42" s="184">
        <v>0</v>
      </c>
      <c r="I42" s="184">
        <v>0</v>
      </c>
      <c r="J42" s="184">
        <v>0</v>
      </c>
      <c r="K42" s="207">
        <v>0</v>
      </c>
      <c r="L42" s="208">
        <v>1</v>
      </c>
      <c r="M42" s="184">
        <v>0</v>
      </c>
      <c r="N42" s="184">
        <v>0</v>
      </c>
      <c r="O42" s="184">
        <v>0</v>
      </c>
      <c r="P42" s="184">
        <v>0</v>
      </c>
      <c r="Q42" s="184">
        <v>0</v>
      </c>
      <c r="R42" s="184">
        <v>0</v>
      </c>
      <c r="S42" s="209">
        <v>0</v>
      </c>
    </row>
    <row r="43" spans="2:19">
      <c r="B43" s="1315"/>
      <c r="C43" s="183">
        <v>0</v>
      </c>
      <c r="D43" s="185">
        <v>0</v>
      </c>
      <c r="E43" s="206">
        <v>0</v>
      </c>
      <c r="F43" s="184">
        <v>0</v>
      </c>
      <c r="G43" s="184">
        <v>0</v>
      </c>
      <c r="H43" s="184">
        <v>0</v>
      </c>
      <c r="I43" s="184">
        <v>0</v>
      </c>
      <c r="J43" s="184">
        <v>0</v>
      </c>
      <c r="K43" s="207">
        <v>0</v>
      </c>
      <c r="L43" s="208">
        <v>1</v>
      </c>
      <c r="M43" s="184">
        <v>0</v>
      </c>
      <c r="N43" s="184">
        <v>0</v>
      </c>
      <c r="O43" s="184">
        <v>0</v>
      </c>
      <c r="P43" s="184">
        <v>0</v>
      </c>
      <c r="Q43" s="184">
        <v>0</v>
      </c>
      <c r="R43" s="184">
        <v>0</v>
      </c>
      <c r="S43" s="209">
        <v>0</v>
      </c>
    </row>
    <row r="44" spans="2:19">
      <c r="B44" s="1315"/>
      <c r="C44" s="183">
        <v>0</v>
      </c>
      <c r="D44" s="185">
        <v>0</v>
      </c>
      <c r="E44" s="206">
        <v>0</v>
      </c>
      <c r="F44" s="184">
        <v>0</v>
      </c>
      <c r="G44" s="184">
        <v>0</v>
      </c>
      <c r="H44" s="184">
        <v>0</v>
      </c>
      <c r="I44" s="184">
        <v>0</v>
      </c>
      <c r="J44" s="184">
        <v>0</v>
      </c>
      <c r="K44" s="207">
        <v>0</v>
      </c>
      <c r="L44" s="208">
        <v>1</v>
      </c>
      <c r="M44" s="184">
        <v>0</v>
      </c>
      <c r="N44" s="184">
        <v>0</v>
      </c>
      <c r="O44" s="184">
        <v>0</v>
      </c>
      <c r="P44" s="184">
        <v>0</v>
      </c>
      <c r="Q44" s="184">
        <v>0</v>
      </c>
      <c r="R44" s="184">
        <v>0</v>
      </c>
      <c r="S44" s="209">
        <v>0</v>
      </c>
    </row>
    <row r="45" spans="2:19">
      <c r="B45" s="1315"/>
      <c r="C45" s="183">
        <v>0</v>
      </c>
      <c r="D45" s="185">
        <v>0</v>
      </c>
      <c r="E45" s="206">
        <v>0</v>
      </c>
      <c r="F45" s="184">
        <v>0</v>
      </c>
      <c r="G45" s="184">
        <v>0</v>
      </c>
      <c r="H45" s="184">
        <v>0</v>
      </c>
      <c r="I45" s="184">
        <v>0</v>
      </c>
      <c r="J45" s="184">
        <v>0</v>
      </c>
      <c r="K45" s="207">
        <v>0</v>
      </c>
      <c r="L45" s="208">
        <v>1</v>
      </c>
      <c r="M45" s="184">
        <v>0</v>
      </c>
      <c r="N45" s="184">
        <v>0</v>
      </c>
      <c r="O45" s="184">
        <v>0</v>
      </c>
      <c r="P45" s="184">
        <v>0</v>
      </c>
      <c r="Q45" s="184">
        <v>0</v>
      </c>
      <c r="R45" s="184">
        <v>0</v>
      </c>
      <c r="S45" s="209">
        <v>0</v>
      </c>
    </row>
    <row r="46" spans="2:19">
      <c r="B46" s="1315"/>
      <c r="C46" s="183">
        <v>0</v>
      </c>
      <c r="D46" s="185">
        <v>0</v>
      </c>
      <c r="E46" s="206">
        <v>0</v>
      </c>
      <c r="F46" s="184">
        <v>0</v>
      </c>
      <c r="G46" s="184">
        <v>0</v>
      </c>
      <c r="H46" s="184">
        <v>0</v>
      </c>
      <c r="I46" s="184">
        <v>0</v>
      </c>
      <c r="J46" s="184">
        <v>0</v>
      </c>
      <c r="K46" s="207">
        <v>0</v>
      </c>
      <c r="L46" s="208">
        <v>1</v>
      </c>
      <c r="M46" s="184">
        <v>0</v>
      </c>
      <c r="N46" s="184">
        <v>0</v>
      </c>
      <c r="O46" s="184">
        <v>0</v>
      </c>
      <c r="P46" s="184">
        <v>0</v>
      </c>
      <c r="Q46" s="184">
        <v>0</v>
      </c>
      <c r="R46" s="184">
        <v>0</v>
      </c>
      <c r="S46" s="209">
        <v>0</v>
      </c>
    </row>
    <row r="47" spans="2:19">
      <c r="B47" s="1315"/>
      <c r="C47" s="183">
        <v>0</v>
      </c>
      <c r="D47" s="185">
        <v>0</v>
      </c>
      <c r="E47" s="206">
        <v>0</v>
      </c>
      <c r="F47" s="184">
        <v>0</v>
      </c>
      <c r="G47" s="184">
        <v>0</v>
      </c>
      <c r="H47" s="184">
        <v>0</v>
      </c>
      <c r="I47" s="184">
        <v>0</v>
      </c>
      <c r="J47" s="184">
        <v>0</v>
      </c>
      <c r="K47" s="207">
        <v>0</v>
      </c>
      <c r="L47" s="208">
        <v>1</v>
      </c>
      <c r="M47" s="184">
        <v>0</v>
      </c>
      <c r="N47" s="184">
        <v>0</v>
      </c>
      <c r="O47" s="184">
        <v>0</v>
      </c>
      <c r="P47" s="184">
        <v>0</v>
      </c>
      <c r="Q47" s="184">
        <v>0</v>
      </c>
      <c r="R47" s="184">
        <v>0</v>
      </c>
      <c r="S47" s="209">
        <v>0</v>
      </c>
    </row>
    <row r="48" spans="2:19">
      <c r="B48" s="1315"/>
      <c r="C48" s="183">
        <v>0</v>
      </c>
      <c r="D48" s="185">
        <v>0</v>
      </c>
      <c r="E48" s="206">
        <v>0</v>
      </c>
      <c r="F48" s="184">
        <v>0</v>
      </c>
      <c r="G48" s="184">
        <v>0</v>
      </c>
      <c r="H48" s="184">
        <v>0</v>
      </c>
      <c r="I48" s="184">
        <v>0</v>
      </c>
      <c r="J48" s="184">
        <v>0</v>
      </c>
      <c r="K48" s="207">
        <v>0</v>
      </c>
      <c r="L48" s="208">
        <v>1</v>
      </c>
      <c r="M48" s="184">
        <v>0</v>
      </c>
      <c r="N48" s="184">
        <v>0</v>
      </c>
      <c r="O48" s="184">
        <v>0</v>
      </c>
      <c r="P48" s="184">
        <v>0</v>
      </c>
      <c r="Q48" s="184">
        <v>0</v>
      </c>
      <c r="R48" s="184">
        <v>0</v>
      </c>
      <c r="S48" s="209">
        <v>0</v>
      </c>
    </row>
    <row r="49" spans="2:19">
      <c r="B49" s="1315"/>
      <c r="C49" s="183">
        <v>0</v>
      </c>
      <c r="D49" s="185">
        <v>0</v>
      </c>
      <c r="E49" s="206">
        <v>0</v>
      </c>
      <c r="F49" s="184">
        <v>0</v>
      </c>
      <c r="G49" s="184">
        <v>0</v>
      </c>
      <c r="H49" s="184">
        <v>0</v>
      </c>
      <c r="I49" s="184">
        <v>0</v>
      </c>
      <c r="J49" s="184">
        <v>0</v>
      </c>
      <c r="K49" s="207">
        <v>0</v>
      </c>
      <c r="L49" s="208">
        <v>1</v>
      </c>
      <c r="M49" s="184">
        <v>0</v>
      </c>
      <c r="N49" s="184">
        <v>0</v>
      </c>
      <c r="O49" s="184">
        <v>0</v>
      </c>
      <c r="P49" s="184">
        <v>0</v>
      </c>
      <c r="Q49" s="184">
        <v>0</v>
      </c>
      <c r="R49" s="184">
        <v>0</v>
      </c>
      <c r="S49" s="209">
        <v>0</v>
      </c>
    </row>
    <row r="50" spans="2:19">
      <c r="B50" s="1315"/>
      <c r="C50" s="183">
        <v>0</v>
      </c>
      <c r="D50" s="185">
        <v>0</v>
      </c>
      <c r="E50" s="206">
        <v>0</v>
      </c>
      <c r="F50" s="184">
        <v>0</v>
      </c>
      <c r="G50" s="184">
        <v>0</v>
      </c>
      <c r="H50" s="184">
        <v>0</v>
      </c>
      <c r="I50" s="184">
        <v>0</v>
      </c>
      <c r="J50" s="184">
        <v>0</v>
      </c>
      <c r="K50" s="207">
        <v>0</v>
      </c>
      <c r="L50" s="208">
        <v>1</v>
      </c>
      <c r="M50" s="184">
        <v>0</v>
      </c>
      <c r="N50" s="184">
        <v>0</v>
      </c>
      <c r="O50" s="184">
        <v>0</v>
      </c>
      <c r="P50" s="184">
        <v>0</v>
      </c>
      <c r="Q50" s="184">
        <v>0</v>
      </c>
      <c r="R50" s="184">
        <v>0</v>
      </c>
      <c r="S50" s="209">
        <v>0</v>
      </c>
    </row>
    <row r="51" spans="2:19">
      <c r="B51" s="1315"/>
      <c r="C51" s="183">
        <v>0</v>
      </c>
      <c r="D51" s="185">
        <v>0</v>
      </c>
      <c r="E51" s="206">
        <v>0</v>
      </c>
      <c r="F51" s="184">
        <v>0</v>
      </c>
      <c r="G51" s="184">
        <v>0</v>
      </c>
      <c r="H51" s="184">
        <v>0</v>
      </c>
      <c r="I51" s="184">
        <v>0</v>
      </c>
      <c r="J51" s="184">
        <v>0</v>
      </c>
      <c r="K51" s="207">
        <v>0</v>
      </c>
      <c r="L51" s="208">
        <v>1</v>
      </c>
      <c r="M51" s="184">
        <v>0</v>
      </c>
      <c r="N51" s="184">
        <v>0</v>
      </c>
      <c r="O51" s="184">
        <v>0</v>
      </c>
      <c r="P51" s="184">
        <v>0</v>
      </c>
      <c r="Q51" s="184">
        <v>0</v>
      </c>
      <c r="R51" s="184">
        <v>0</v>
      </c>
      <c r="S51" s="209">
        <v>0</v>
      </c>
    </row>
    <row r="52" spans="2:19">
      <c r="B52" s="1315"/>
      <c r="C52" s="183">
        <v>0</v>
      </c>
      <c r="D52" s="185">
        <v>0</v>
      </c>
      <c r="E52" s="206">
        <v>0</v>
      </c>
      <c r="F52" s="184">
        <v>0</v>
      </c>
      <c r="G52" s="184">
        <v>0</v>
      </c>
      <c r="H52" s="184">
        <v>0</v>
      </c>
      <c r="I52" s="184">
        <v>0</v>
      </c>
      <c r="J52" s="184">
        <v>0</v>
      </c>
      <c r="K52" s="207">
        <v>0</v>
      </c>
      <c r="L52" s="208">
        <v>1</v>
      </c>
      <c r="M52" s="184">
        <v>0</v>
      </c>
      <c r="N52" s="184">
        <v>0</v>
      </c>
      <c r="O52" s="184">
        <v>0</v>
      </c>
      <c r="P52" s="184">
        <v>0</v>
      </c>
      <c r="Q52" s="184">
        <v>0</v>
      </c>
      <c r="R52" s="184">
        <v>0</v>
      </c>
      <c r="S52" s="209">
        <v>0</v>
      </c>
    </row>
    <row r="53" spans="2:19">
      <c r="B53" s="1315"/>
      <c r="C53" s="183">
        <v>0</v>
      </c>
      <c r="D53" s="185">
        <v>0</v>
      </c>
      <c r="E53" s="206">
        <v>0</v>
      </c>
      <c r="F53" s="184">
        <v>0</v>
      </c>
      <c r="G53" s="184">
        <v>0</v>
      </c>
      <c r="H53" s="184">
        <v>0</v>
      </c>
      <c r="I53" s="184">
        <v>0</v>
      </c>
      <c r="J53" s="184">
        <v>0</v>
      </c>
      <c r="K53" s="207">
        <v>0</v>
      </c>
      <c r="L53" s="208">
        <v>1</v>
      </c>
      <c r="M53" s="184">
        <v>0</v>
      </c>
      <c r="N53" s="184">
        <v>0</v>
      </c>
      <c r="O53" s="184">
        <v>0</v>
      </c>
      <c r="P53" s="184">
        <v>0</v>
      </c>
      <c r="Q53" s="184">
        <v>0</v>
      </c>
      <c r="R53" s="184">
        <v>0</v>
      </c>
      <c r="S53" s="209">
        <v>0</v>
      </c>
    </row>
    <row r="54" spans="2:19">
      <c r="B54" s="1315"/>
      <c r="C54" s="183">
        <v>0</v>
      </c>
      <c r="D54" s="185">
        <v>0</v>
      </c>
      <c r="E54" s="206">
        <v>0</v>
      </c>
      <c r="F54" s="184">
        <v>0</v>
      </c>
      <c r="G54" s="184">
        <v>0</v>
      </c>
      <c r="H54" s="184">
        <v>0</v>
      </c>
      <c r="I54" s="184">
        <v>0</v>
      </c>
      <c r="J54" s="184">
        <v>0</v>
      </c>
      <c r="K54" s="207">
        <v>0</v>
      </c>
      <c r="L54" s="208">
        <v>1</v>
      </c>
      <c r="M54" s="184">
        <v>0</v>
      </c>
      <c r="N54" s="184">
        <v>0</v>
      </c>
      <c r="O54" s="184">
        <v>0</v>
      </c>
      <c r="P54" s="184">
        <v>0</v>
      </c>
      <c r="Q54" s="184">
        <v>0</v>
      </c>
      <c r="R54" s="184">
        <v>0</v>
      </c>
      <c r="S54" s="209">
        <v>0</v>
      </c>
    </row>
    <row r="55" spans="2:19">
      <c r="B55" s="1315"/>
      <c r="C55" s="183">
        <v>0</v>
      </c>
      <c r="D55" s="185">
        <v>0</v>
      </c>
      <c r="E55" s="206">
        <v>0</v>
      </c>
      <c r="F55" s="184">
        <v>0</v>
      </c>
      <c r="G55" s="184">
        <v>0</v>
      </c>
      <c r="H55" s="184">
        <v>0</v>
      </c>
      <c r="I55" s="184">
        <v>0</v>
      </c>
      <c r="J55" s="184">
        <v>0</v>
      </c>
      <c r="K55" s="207">
        <v>0</v>
      </c>
      <c r="L55" s="208">
        <v>1</v>
      </c>
      <c r="M55" s="184">
        <v>0</v>
      </c>
      <c r="N55" s="184">
        <v>0</v>
      </c>
      <c r="O55" s="184">
        <v>0</v>
      </c>
      <c r="P55" s="184">
        <v>0</v>
      </c>
      <c r="Q55" s="184">
        <v>0</v>
      </c>
      <c r="R55" s="184">
        <v>0</v>
      </c>
      <c r="S55" s="209">
        <v>0</v>
      </c>
    </row>
    <row r="56" spans="2:19">
      <c r="B56" s="1315"/>
      <c r="C56" s="183">
        <v>0</v>
      </c>
      <c r="D56" s="185">
        <v>0</v>
      </c>
      <c r="E56" s="206">
        <v>0</v>
      </c>
      <c r="F56" s="184">
        <v>0</v>
      </c>
      <c r="G56" s="184">
        <v>0</v>
      </c>
      <c r="H56" s="184">
        <v>0</v>
      </c>
      <c r="I56" s="184">
        <v>0</v>
      </c>
      <c r="J56" s="184">
        <v>0</v>
      </c>
      <c r="K56" s="207">
        <v>0</v>
      </c>
      <c r="L56" s="208">
        <v>1</v>
      </c>
      <c r="M56" s="184">
        <v>0</v>
      </c>
      <c r="N56" s="184">
        <v>0</v>
      </c>
      <c r="O56" s="184">
        <v>0</v>
      </c>
      <c r="P56" s="184">
        <v>0</v>
      </c>
      <c r="Q56" s="184">
        <v>0</v>
      </c>
      <c r="R56" s="184">
        <v>0</v>
      </c>
      <c r="S56" s="209">
        <v>0</v>
      </c>
    </row>
    <row r="57" spans="2:19">
      <c r="B57" s="210"/>
      <c r="C57" s="211"/>
      <c r="D57" s="212"/>
      <c r="E57" s="212"/>
      <c r="F57" s="212"/>
      <c r="G57" s="212"/>
      <c r="H57" s="212"/>
      <c r="I57" s="212"/>
      <c r="J57" s="212"/>
      <c r="K57" s="213"/>
      <c r="L57" s="214"/>
      <c r="M57" s="212"/>
      <c r="N57" s="212"/>
      <c r="O57" s="212"/>
      <c r="P57" s="212"/>
      <c r="Q57" s="212"/>
      <c r="R57" s="212"/>
      <c r="S57" s="213"/>
    </row>
    <row r="58" spans="2:19" ht="20.25" customHeight="1" thickBot="1">
      <c r="B58" s="215" t="s">
        <v>127</v>
      </c>
      <c r="C58" s="216"/>
      <c r="D58" s="201"/>
      <c r="E58" s="201"/>
      <c r="F58" s="201"/>
      <c r="G58" s="201"/>
      <c r="H58" s="201"/>
      <c r="I58" s="201"/>
      <c r="J58" s="201"/>
      <c r="K58" s="201"/>
      <c r="L58" s="201"/>
      <c r="M58" s="201"/>
      <c r="N58" s="201"/>
      <c r="O58" s="201"/>
      <c r="P58" s="201"/>
      <c r="Q58" s="201"/>
      <c r="R58" s="201"/>
      <c r="S58" s="202"/>
    </row>
    <row r="59" spans="2:19" ht="35.25" customHeight="1"/>
  </sheetData>
  <mergeCells count="17">
    <mergeCell ref="C30:K30"/>
    <mergeCell ref="L30:S31"/>
    <mergeCell ref="C29:K29"/>
    <mergeCell ref="L29:S29"/>
    <mergeCell ref="C31:D31"/>
    <mergeCell ref="E31:K31"/>
    <mergeCell ref="B7:E7"/>
    <mergeCell ref="B12:B13"/>
    <mergeCell ref="B9:E9"/>
    <mergeCell ref="B8:E8"/>
    <mergeCell ref="C12:G12"/>
    <mergeCell ref="S19:AD19"/>
    <mergeCell ref="S20:AD20"/>
    <mergeCell ref="H12:L12"/>
    <mergeCell ref="C13:L13"/>
    <mergeCell ref="C14:G14"/>
    <mergeCell ref="H14:L14"/>
  </mergeCells>
  <pageMargins left="0.75" right="0.75" top="1" bottom="1" header="0.5" footer="0.5"/>
  <pageSetup paperSize="9" orientation="portrait" r:id="rId1"/>
  <headerFooter alignWithMargins="0"/>
  <customProperties>
    <customPr name="layoutContexts" r:id="rId2"/>
  </customProperties>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U106"/>
  <sheetViews>
    <sheetView showGridLines="0" zoomScale="55" zoomScaleNormal="55" workbookViewId="0">
      <selection activeCell="C44" sqref="C44"/>
    </sheetView>
  </sheetViews>
  <sheetFormatPr defaultColWidth="9.140625" defaultRowHeight="12.75" outlineLevelRow="2"/>
  <cols>
    <col min="1" max="1" width="20.140625" style="77" customWidth="1"/>
    <col min="2" max="2" width="95.85546875" style="77" customWidth="1"/>
    <col min="3" max="10" width="15.7109375" style="77" customWidth="1"/>
    <col min="11" max="12" width="17.7109375" style="77" customWidth="1"/>
    <col min="13" max="17" width="15.7109375" style="77" customWidth="1"/>
    <col min="18" max="19" width="13.140625" style="77" bestFit="1" customWidth="1"/>
    <col min="20" max="20" width="16.42578125" style="77" bestFit="1" customWidth="1"/>
    <col min="21" max="21" width="18.5703125" style="77" bestFit="1" customWidth="1"/>
    <col min="22" max="16384" width="9.140625" style="77"/>
  </cols>
  <sheetData>
    <row r="1" spans="2:21" s="217" customFormat="1" ht="24" customHeight="1">
      <c r="B1" s="218" t="str">
        <f>SheetHeader</f>
        <v>REGULATORY REPORTING STATEMENT</v>
      </c>
      <c r="C1" s="219"/>
      <c r="D1" s="219"/>
      <c r="E1" s="219"/>
      <c r="F1" s="219"/>
      <c r="G1" s="219"/>
      <c r="H1" s="219"/>
      <c r="I1" s="219"/>
      <c r="J1" s="219"/>
      <c r="K1" s="219"/>
      <c r="L1" s="219"/>
      <c r="M1" s="219"/>
      <c r="N1" s="219"/>
      <c r="O1" s="219"/>
      <c r="P1" s="219"/>
      <c r="Q1" s="219"/>
      <c r="R1" s="219"/>
      <c r="S1" s="65"/>
      <c r="T1" s="65"/>
      <c r="U1" s="65"/>
    </row>
    <row r="2" spans="2:21" s="217" customFormat="1" ht="24" customHeight="1">
      <c r="B2" s="220" t="str">
        <f>dms_TradingName</f>
        <v>Multinet Gas</v>
      </c>
      <c r="C2" s="219"/>
      <c r="D2" s="219"/>
      <c r="E2" s="219"/>
      <c r="F2" s="219"/>
      <c r="G2" s="219"/>
      <c r="H2" s="219"/>
      <c r="I2" s="219"/>
      <c r="J2" s="219"/>
      <c r="K2" s="219"/>
      <c r="L2" s="219"/>
      <c r="M2" s="219"/>
      <c r="N2" s="219"/>
      <c r="O2" s="219"/>
      <c r="P2" s="219"/>
      <c r="Q2" s="219"/>
      <c r="R2" s="219"/>
      <c r="S2" s="65"/>
      <c r="T2" s="65"/>
      <c r="U2" s="65"/>
    </row>
    <row r="3" spans="2:21" s="217" customFormat="1" ht="24" customHeight="1">
      <c r="B3" s="221" t="str">
        <f>CONCATENATE(FRCP_y1," to ",FRCP_y5)</f>
        <v>2018 to 2022</v>
      </c>
      <c r="C3" s="222" t="str">
        <f>CONCATENATE(LEFT(FRCP_y1,4),"-",LEFT(FRCP_y5,2),RIGHT(FRCP_y5,2))</f>
        <v>2018-2022</v>
      </c>
      <c r="D3" s="221"/>
      <c r="E3" s="221"/>
      <c r="F3" s="221"/>
      <c r="G3" s="221"/>
      <c r="H3" s="221"/>
      <c r="I3" s="221"/>
      <c r="J3" s="221"/>
      <c r="K3" s="221"/>
      <c r="L3" s="221"/>
      <c r="M3" s="221"/>
      <c r="N3" s="221"/>
      <c r="O3" s="221"/>
      <c r="P3" s="221"/>
      <c r="Q3" s="221"/>
      <c r="R3" s="221"/>
      <c r="S3" s="65"/>
      <c r="T3" s="65"/>
      <c r="U3" s="65"/>
    </row>
    <row r="4" spans="2:21" s="217" customFormat="1" ht="24" customHeight="1">
      <c r="B4" s="163" t="s">
        <v>362</v>
      </c>
      <c r="C4" s="163"/>
      <c r="D4" s="163"/>
      <c r="E4" s="163"/>
      <c r="F4" s="163"/>
      <c r="G4" s="163"/>
      <c r="H4" s="163"/>
      <c r="I4" s="163"/>
      <c r="J4" s="163"/>
      <c r="K4" s="163"/>
      <c r="L4" s="163"/>
      <c r="M4" s="163"/>
      <c r="N4" s="163"/>
      <c r="O4" s="163"/>
      <c r="P4" s="163"/>
      <c r="Q4" s="163"/>
      <c r="R4" s="163"/>
      <c r="S4" s="65"/>
      <c r="T4" s="65"/>
      <c r="U4" s="65"/>
    </row>
    <row r="5" spans="2:21" s="223" customFormat="1" ht="20.25">
      <c r="B5" s="224"/>
      <c r="C5" s="225"/>
      <c r="D5" s="225"/>
      <c r="E5" s="225"/>
      <c r="F5" s="225"/>
      <c r="G5" s="225"/>
      <c r="H5" s="225"/>
      <c r="I5" s="225"/>
      <c r="J5" s="225"/>
      <c r="K5" s="225"/>
      <c r="L5" s="225"/>
      <c r="M5" s="225"/>
      <c r="N5" s="225"/>
      <c r="O5" s="225"/>
      <c r="P5" s="225"/>
      <c r="Q5" s="225"/>
      <c r="R5" s="225"/>
      <c r="S5" s="65"/>
      <c r="T5" s="65"/>
      <c r="U5" s="65"/>
    </row>
    <row r="6" spans="2:21" s="223" customFormat="1" ht="67.5" customHeight="1">
      <c r="B6" s="4119" t="s">
        <v>400</v>
      </c>
      <c r="C6" s="4119"/>
      <c r="D6" s="4119"/>
      <c r="E6" s="4119"/>
      <c r="F6" s="4119"/>
      <c r="G6" s="4119"/>
      <c r="H6" s="226"/>
      <c r="I6" s="225"/>
      <c r="S6" s="65"/>
      <c r="T6" s="65"/>
      <c r="U6" s="65"/>
    </row>
    <row r="7" spans="2:21" s="223" customFormat="1" ht="33" customHeight="1">
      <c r="B7" s="224"/>
      <c r="C7" s="225"/>
      <c r="D7" s="225"/>
      <c r="E7" s="225"/>
      <c r="F7" s="225"/>
      <c r="G7" s="225"/>
      <c r="H7" s="225"/>
      <c r="I7" s="225"/>
      <c r="J7" s="225"/>
      <c r="K7" s="225"/>
      <c r="L7" s="225"/>
      <c r="M7" s="225"/>
      <c r="N7" s="225"/>
      <c r="O7" s="225"/>
      <c r="P7" s="225"/>
      <c r="Q7" s="225"/>
      <c r="R7" s="225"/>
      <c r="S7" s="65"/>
      <c r="T7" s="65"/>
      <c r="U7" s="65"/>
    </row>
    <row r="8" spans="2:21" s="223" customFormat="1" ht="24" customHeight="1" thickBot="1">
      <c r="B8" s="224"/>
      <c r="C8" s="225"/>
      <c r="D8" s="225"/>
      <c r="E8" s="225"/>
      <c r="F8" s="225"/>
      <c r="G8" s="225"/>
      <c r="H8" s="225"/>
      <c r="I8" s="225"/>
      <c r="J8" s="225"/>
      <c r="K8" s="225"/>
      <c r="L8" s="225"/>
      <c r="M8" s="225"/>
      <c r="N8" s="225"/>
      <c r="O8" s="225"/>
      <c r="P8" s="225"/>
      <c r="Q8" s="225"/>
      <c r="R8" s="225"/>
      <c r="S8" s="65"/>
      <c r="T8" s="65"/>
      <c r="U8" s="65"/>
    </row>
    <row r="9" spans="2:21" s="227" customFormat="1" ht="36.75" customHeight="1" thickBot="1">
      <c r="B9" s="769" t="s">
        <v>345</v>
      </c>
      <c r="C9" s="769"/>
      <c r="D9" s="769"/>
      <c r="E9" s="769"/>
      <c r="F9" s="769"/>
      <c r="G9" s="769"/>
      <c r="H9" s="769"/>
      <c r="I9" s="769"/>
      <c r="J9" s="769"/>
      <c r="K9" s="769"/>
      <c r="L9" s="769"/>
      <c r="M9" s="769"/>
      <c r="N9" s="769"/>
      <c r="O9" s="769"/>
      <c r="P9" s="769"/>
      <c r="Q9" s="769"/>
      <c r="R9" s="769"/>
      <c r="S9" s="65"/>
      <c r="T9" s="65"/>
      <c r="U9" s="65"/>
    </row>
    <row r="10" spans="2:21" s="228" customFormat="1" ht="25.5" customHeight="1">
      <c r="B10" s="4112"/>
      <c r="C10" s="4115" t="s">
        <v>36</v>
      </c>
      <c r="D10" s="4116"/>
      <c r="E10" s="4116"/>
      <c r="F10" s="4116"/>
      <c r="G10" s="4116"/>
      <c r="H10" s="4117" t="s">
        <v>37</v>
      </c>
      <c r="I10" s="4117"/>
      <c r="J10" s="4117"/>
      <c r="K10" s="4117"/>
      <c r="L10" s="4117"/>
      <c r="M10" s="4117"/>
      <c r="N10" s="4105" t="s">
        <v>75</v>
      </c>
      <c r="O10" s="4106"/>
      <c r="P10" s="4106"/>
      <c r="Q10" s="4106"/>
      <c r="R10" s="4107"/>
      <c r="S10" s="65"/>
      <c r="T10" s="65"/>
      <c r="U10" s="65"/>
    </row>
    <row r="11" spans="2:21" s="228" customFormat="1" ht="12.75" customHeight="1">
      <c r="B11" s="4113"/>
      <c r="C11" s="4108" t="s">
        <v>379</v>
      </c>
      <c r="D11" s="4109"/>
      <c r="E11" s="4109"/>
      <c r="F11" s="4109"/>
      <c r="G11" s="4109"/>
      <c r="H11" s="4109"/>
      <c r="I11" s="4109"/>
      <c r="J11" s="4109"/>
      <c r="K11" s="4109"/>
      <c r="L11" s="4110" t="str">
        <f>CONCATENATE("$0's, Real ",dms_DollarReal)</f>
        <v>$0's, Real December 2017</v>
      </c>
      <c r="M11" s="4110"/>
      <c r="N11" s="4110" t="str">
        <f>CONCATENATE("Real, $ ",dms_DollarReal)</f>
        <v>Real, $ December 2017</v>
      </c>
      <c r="O11" s="4110"/>
      <c r="P11" s="4110"/>
      <c r="Q11" s="4110"/>
      <c r="R11" s="4111"/>
      <c r="S11" s="65"/>
      <c r="T11" s="65"/>
      <c r="U11" s="65"/>
    </row>
    <row r="12" spans="2:21" s="228" customFormat="1" ht="15" customHeight="1">
      <c r="B12" s="971"/>
      <c r="C12" s="4108" t="s">
        <v>56</v>
      </c>
      <c r="D12" s="4109"/>
      <c r="E12" s="4109"/>
      <c r="F12" s="4109"/>
      <c r="G12" s="4109"/>
      <c r="H12" s="4109"/>
      <c r="I12" s="4109"/>
      <c r="J12" s="4109"/>
      <c r="K12" s="4109"/>
      <c r="L12" s="4110" t="s">
        <v>57</v>
      </c>
      <c r="M12" s="4110"/>
      <c r="N12" s="4110"/>
      <c r="O12" s="4110"/>
      <c r="P12" s="4110"/>
      <c r="Q12" s="4110"/>
      <c r="R12" s="4111"/>
      <c r="S12" s="65"/>
      <c r="T12" s="65"/>
      <c r="U12" s="65"/>
    </row>
    <row r="13" spans="2:21" s="228" customFormat="1" ht="21" thickBot="1">
      <c r="B13" s="229"/>
      <c r="C13" s="273">
        <f>PRCP_y1</f>
        <v>2008</v>
      </c>
      <c r="D13" s="274">
        <f>PRCP_y2</f>
        <v>2009</v>
      </c>
      <c r="E13" s="274">
        <f>PRCP_y3</f>
        <v>2010</v>
      </c>
      <c r="F13" s="274">
        <f>PRCP_y4</f>
        <v>2011</v>
      </c>
      <c r="G13" s="274">
        <f>PRCP_y5</f>
        <v>2012</v>
      </c>
      <c r="H13" s="776">
        <f>CRCP_y1</f>
        <v>2013</v>
      </c>
      <c r="I13" s="776">
        <f>CRCP_y2</f>
        <v>2014</v>
      </c>
      <c r="J13" s="776">
        <f>CRCP_y3</f>
        <v>2015</v>
      </c>
      <c r="K13" s="776">
        <f>CRCP_y4</f>
        <v>2016</v>
      </c>
      <c r="L13" s="776">
        <f>CRCP_y5</f>
        <v>2017</v>
      </c>
      <c r="M13" s="776">
        <f>CRCP_y6</f>
        <v>2018</v>
      </c>
      <c r="N13" s="274" t="str">
        <f t="array" ref="N13:R13">FRCP</f>
        <v>2018</v>
      </c>
      <c r="O13" s="274">
        <v>2019</v>
      </c>
      <c r="P13" s="274">
        <v>2020</v>
      </c>
      <c r="Q13" s="274">
        <v>2021</v>
      </c>
      <c r="R13" s="782">
        <v>2022</v>
      </c>
      <c r="S13" s="65"/>
      <c r="T13" s="65"/>
      <c r="U13" s="65"/>
    </row>
    <row r="14" spans="2:21">
      <c r="B14" s="230" t="s">
        <v>154</v>
      </c>
      <c r="C14" s="777"/>
      <c r="D14" s="778"/>
      <c r="E14" s="778"/>
      <c r="F14" s="778"/>
      <c r="G14" s="779"/>
      <c r="H14" s="777"/>
      <c r="I14" s="778"/>
      <c r="J14" s="778"/>
      <c r="K14" s="778"/>
      <c r="L14" s="778"/>
      <c r="M14" s="780"/>
      <c r="N14" s="781"/>
      <c r="O14" s="778"/>
      <c r="P14" s="778"/>
      <c r="Q14" s="778"/>
      <c r="R14" s="780"/>
    </row>
    <row r="15" spans="2:21" outlineLevel="1">
      <c r="B15" s="231" t="s">
        <v>138</v>
      </c>
      <c r="C15" s="232" t="e">
        <f>#REF!</f>
        <v>#REF!</v>
      </c>
      <c r="D15" s="233" t="e">
        <f>#REF!</f>
        <v>#REF!</v>
      </c>
      <c r="E15" s="233" t="e">
        <f>#REF!</f>
        <v>#REF!</v>
      </c>
      <c r="F15" s="233" t="e">
        <f>#REF!</f>
        <v>#REF!</v>
      </c>
      <c r="G15" s="252" t="e">
        <f>#REF!</f>
        <v>#REF!</v>
      </c>
      <c r="H15" s="232" t="e">
        <f>#REF!</f>
        <v>#REF!</v>
      </c>
      <c r="I15" s="233" t="e">
        <f>#REF!</f>
        <v>#REF!</v>
      </c>
      <c r="J15" s="233" t="e">
        <f>#REF!</f>
        <v>#REF!</v>
      </c>
      <c r="K15" s="233" t="e">
        <f>#REF!</f>
        <v>#REF!</v>
      </c>
      <c r="L15" s="233"/>
      <c r="M15" s="266" t="e">
        <f>#REF!</f>
        <v>#REF!</v>
      </c>
      <c r="N15" s="259" t="e">
        <f>#REF!</f>
        <v>#REF!</v>
      </c>
      <c r="O15" s="233" t="e">
        <f>#REF!</f>
        <v>#REF!</v>
      </c>
      <c r="P15" s="233" t="e">
        <f>#REF!</f>
        <v>#REF!</v>
      </c>
      <c r="Q15" s="233" t="e">
        <f>#REF!</f>
        <v>#REF!</v>
      </c>
      <c r="R15" s="266" t="e">
        <f>#REF!</f>
        <v>#REF!</v>
      </c>
    </row>
    <row r="16" spans="2:21" outlineLevel="1">
      <c r="B16" s="231" t="s">
        <v>139</v>
      </c>
      <c r="C16" s="232" t="e">
        <f>#REF!</f>
        <v>#REF!</v>
      </c>
      <c r="D16" s="233" t="e">
        <f>#REF!</f>
        <v>#REF!</v>
      </c>
      <c r="E16" s="233" t="e">
        <f>#REF!</f>
        <v>#REF!</v>
      </c>
      <c r="F16" s="233" t="e">
        <f>#REF!</f>
        <v>#REF!</v>
      </c>
      <c r="G16" s="252" t="e">
        <f>#REF!</f>
        <v>#REF!</v>
      </c>
      <c r="H16" s="232" t="e">
        <f>#REF!</f>
        <v>#REF!</v>
      </c>
      <c r="I16" s="233" t="e">
        <f>#REF!</f>
        <v>#REF!</v>
      </c>
      <c r="J16" s="233" t="e">
        <f>#REF!</f>
        <v>#REF!</v>
      </c>
      <c r="K16" s="233" t="e">
        <f>#REF!</f>
        <v>#REF!</v>
      </c>
      <c r="L16" s="233"/>
      <c r="M16" s="266" t="e">
        <f>#REF!</f>
        <v>#REF!</v>
      </c>
      <c r="N16" s="259" t="e">
        <f>#REF!</f>
        <v>#REF!</v>
      </c>
      <c r="O16" s="233" t="e">
        <f>#REF!</f>
        <v>#REF!</v>
      </c>
      <c r="P16" s="233" t="e">
        <f>#REF!</f>
        <v>#REF!</v>
      </c>
      <c r="Q16" s="233" t="e">
        <f>#REF!</f>
        <v>#REF!</v>
      </c>
      <c r="R16" s="266" t="e">
        <f>#REF!</f>
        <v>#REF!</v>
      </c>
    </row>
    <row r="17" spans="2:18">
      <c r="B17" s="231" t="s">
        <v>140</v>
      </c>
      <c r="C17" s="232" t="e">
        <f>#REF!</f>
        <v>#REF!</v>
      </c>
      <c r="D17" s="233" t="e">
        <f>#REF!</f>
        <v>#REF!</v>
      </c>
      <c r="E17" s="233" t="e">
        <f>#REF!</f>
        <v>#REF!</v>
      </c>
      <c r="F17" s="233" t="e">
        <f>#REF!</f>
        <v>#REF!</v>
      </c>
      <c r="G17" s="252" t="e">
        <f>#REF!</f>
        <v>#REF!</v>
      </c>
      <c r="H17" s="232" t="e">
        <f>#REF!</f>
        <v>#REF!</v>
      </c>
      <c r="I17" s="233" t="e">
        <f>#REF!</f>
        <v>#REF!</v>
      </c>
      <c r="J17" s="233" t="e">
        <f>#REF!</f>
        <v>#REF!</v>
      </c>
      <c r="K17" s="233" t="e">
        <f>#REF!</f>
        <v>#REF!</v>
      </c>
      <c r="L17" s="233"/>
      <c r="M17" s="266" t="e">
        <f>#REF!</f>
        <v>#REF!</v>
      </c>
      <c r="N17" s="259" t="e">
        <f>#REF!</f>
        <v>#REF!</v>
      </c>
      <c r="O17" s="233" t="e">
        <f>#REF!</f>
        <v>#REF!</v>
      </c>
      <c r="P17" s="233" t="e">
        <f>#REF!</f>
        <v>#REF!</v>
      </c>
      <c r="Q17" s="233" t="e">
        <f>#REF!</f>
        <v>#REF!</v>
      </c>
      <c r="R17" s="266" t="e">
        <f>#REF!</f>
        <v>#REF!</v>
      </c>
    </row>
    <row r="18" spans="2:18">
      <c r="B18" s="234" t="s">
        <v>155</v>
      </c>
      <c r="C18" s="235"/>
      <c r="D18" s="236"/>
      <c r="E18" s="236"/>
      <c r="F18" s="236"/>
      <c r="G18" s="253"/>
      <c r="H18" s="235"/>
      <c r="I18" s="236"/>
      <c r="J18" s="236"/>
      <c r="K18" s="236"/>
      <c r="L18" s="236"/>
      <c r="M18" s="267"/>
      <c r="N18" s="260"/>
      <c r="O18" s="236"/>
      <c r="P18" s="236"/>
      <c r="Q18" s="236"/>
      <c r="R18" s="267"/>
    </row>
    <row r="19" spans="2:18" outlineLevel="1">
      <c r="B19" s="231" t="s">
        <v>138</v>
      </c>
      <c r="C19" s="232">
        <f>'5. Mains augmentation'!G57</f>
        <v>5337920.898</v>
      </c>
      <c r="D19" s="233">
        <f>'5. Mains augmentation'!H57</f>
        <v>6045489.7650000015</v>
      </c>
      <c r="E19" s="233">
        <f>'5. Mains augmentation'!I57</f>
        <v>7396109.7659999998</v>
      </c>
      <c r="F19" s="233">
        <f>'5. Mains augmentation'!J57</f>
        <v>11589023.457000002</v>
      </c>
      <c r="G19" s="252">
        <f>'5. Mains augmentation'!K57</f>
        <v>15571184.472000005</v>
      </c>
      <c r="H19" s="232">
        <f>'5. Mains augmentation'!L57</f>
        <v>687740.73</v>
      </c>
      <c r="I19" s="233">
        <f>'5. Mains augmentation'!M57</f>
        <v>131042.38999999997</v>
      </c>
      <c r="J19" s="233">
        <f>'5. Mains augmentation'!O57</f>
        <v>1485276.5200000003</v>
      </c>
      <c r="K19" s="233">
        <f>'5. Mains augmentation'!P57</f>
        <v>1620000</v>
      </c>
      <c r="L19" s="233"/>
      <c r="M19" s="266">
        <f ca="1">'5. Mains augmentation'!R57</f>
        <v>4114578.3007448507</v>
      </c>
      <c r="N19" s="259">
        <f ca="1">'5. Mains augmentation'!S57</f>
        <v>5011462.8291821871</v>
      </c>
      <c r="O19" s="233">
        <f ca="1">'5. Mains augmentation'!T57</f>
        <v>3528579.6285772026</v>
      </c>
      <c r="P19" s="233">
        <f ca="1">'5. Mains augmentation'!U57</f>
        <v>2432185.802382336</v>
      </c>
      <c r="Q19" s="233">
        <f ca="1">'5. Mains augmentation'!V57</f>
        <v>0</v>
      </c>
      <c r="R19" s="266">
        <f>'5. Mains augmentation'!W57</f>
        <v>0</v>
      </c>
    </row>
    <row r="20" spans="2:18" outlineLevel="1">
      <c r="B20" s="231" t="s">
        <v>139</v>
      </c>
      <c r="C20" s="232" t="e">
        <f>'5. Mains augmentation'!#REF!</f>
        <v>#REF!</v>
      </c>
      <c r="D20" s="233" t="e">
        <f>'5. Mains augmentation'!#REF!</f>
        <v>#REF!</v>
      </c>
      <c r="E20" s="233" t="e">
        <f>'5. Mains augmentation'!#REF!</f>
        <v>#REF!</v>
      </c>
      <c r="F20" s="233" t="e">
        <f>'5. Mains augmentation'!#REF!</f>
        <v>#REF!</v>
      </c>
      <c r="G20" s="252" t="e">
        <f>'5. Mains augmentation'!#REF!</f>
        <v>#REF!</v>
      </c>
      <c r="H20" s="232" t="e">
        <f>'5. Mains augmentation'!#REF!</f>
        <v>#REF!</v>
      </c>
      <c r="I20" s="233" t="e">
        <f>'5. Mains augmentation'!#REF!</f>
        <v>#REF!</v>
      </c>
      <c r="J20" s="233" t="e">
        <f>'5. Mains augmentation'!#REF!</f>
        <v>#REF!</v>
      </c>
      <c r="K20" s="233" t="e">
        <f>'5. Mains augmentation'!#REF!</f>
        <v>#REF!</v>
      </c>
      <c r="L20" s="233"/>
      <c r="M20" s="266" t="e">
        <f>'5. Mains augmentation'!#REF!</f>
        <v>#REF!</v>
      </c>
      <c r="N20" s="259" t="e">
        <f>'5. Mains augmentation'!#REF!</f>
        <v>#REF!</v>
      </c>
      <c r="O20" s="233" t="e">
        <f>'5. Mains augmentation'!#REF!</f>
        <v>#REF!</v>
      </c>
      <c r="P20" s="233" t="e">
        <f>'5. Mains augmentation'!#REF!</f>
        <v>#REF!</v>
      </c>
      <c r="Q20" s="233" t="e">
        <f>'5. Mains augmentation'!#REF!</f>
        <v>#REF!</v>
      </c>
      <c r="R20" s="266" t="e">
        <f>'5. Mains augmentation'!#REF!</f>
        <v>#REF!</v>
      </c>
    </row>
    <row r="21" spans="2:18">
      <c r="B21" s="231" t="s">
        <v>140</v>
      </c>
      <c r="C21" s="232" t="e">
        <f>'5. Mains augmentation'!#REF!</f>
        <v>#REF!</v>
      </c>
      <c r="D21" s="233" t="e">
        <f>'5. Mains augmentation'!#REF!</f>
        <v>#REF!</v>
      </c>
      <c r="E21" s="233" t="e">
        <f>'5. Mains augmentation'!#REF!</f>
        <v>#REF!</v>
      </c>
      <c r="F21" s="233" t="e">
        <f>'5. Mains augmentation'!#REF!</f>
        <v>#REF!</v>
      </c>
      <c r="G21" s="252" t="e">
        <f>'5. Mains augmentation'!#REF!</f>
        <v>#REF!</v>
      </c>
      <c r="H21" s="232" t="e">
        <f>'5. Mains augmentation'!#REF!</f>
        <v>#REF!</v>
      </c>
      <c r="I21" s="233" t="e">
        <f>'5. Mains augmentation'!#REF!</f>
        <v>#REF!</v>
      </c>
      <c r="J21" s="233" t="e">
        <f>'5. Mains augmentation'!#REF!</f>
        <v>#REF!</v>
      </c>
      <c r="K21" s="233" t="e">
        <f>'5. Mains augmentation'!#REF!</f>
        <v>#REF!</v>
      </c>
      <c r="L21" s="233"/>
      <c r="M21" s="266" t="e">
        <f>'5. Mains augmentation'!#REF!</f>
        <v>#REF!</v>
      </c>
      <c r="N21" s="259" t="e">
        <f>'5. Mains augmentation'!#REF!</f>
        <v>#REF!</v>
      </c>
      <c r="O21" s="233" t="e">
        <f>'5. Mains augmentation'!#REF!</f>
        <v>#REF!</v>
      </c>
      <c r="P21" s="233" t="e">
        <f>'5. Mains augmentation'!#REF!</f>
        <v>#REF!</v>
      </c>
      <c r="Q21" s="233" t="e">
        <f>'5. Mains augmentation'!#REF!</f>
        <v>#REF!</v>
      </c>
      <c r="R21" s="266" t="e">
        <f>'5. Mains augmentation'!#REF!</f>
        <v>#REF!</v>
      </c>
    </row>
    <row r="22" spans="2:18">
      <c r="B22" s="234" t="s">
        <v>156</v>
      </c>
      <c r="C22" s="235"/>
      <c r="D22" s="236"/>
      <c r="E22" s="236"/>
      <c r="F22" s="236"/>
      <c r="G22" s="253"/>
      <c r="H22" s="235"/>
      <c r="I22" s="236"/>
      <c r="J22" s="236"/>
      <c r="K22" s="236"/>
      <c r="L22" s="236"/>
      <c r="M22" s="267"/>
      <c r="N22" s="260"/>
      <c r="O22" s="236"/>
      <c r="P22" s="236"/>
      <c r="Q22" s="236"/>
      <c r="R22" s="267"/>
    </row>
    <row r="23" spans="2:18" outlineLevel="1">
      <c r="B23" s="231" t="s">
        <v>138</v>
      </c>
      <c r="C23" s="232">
        <f>'6. Mains replacement'!G144</f>
        <v>0</v>
      </c>
      <c r="D23" s="233">
        <f>'6. Mains replacement'!H144</f>
        <v>0</v>
      </c>
      <c r="E23" s="233">
        <f>'6. Mains replacement'!I144</f>
        <v>0</v>
      </c>
      <c r="F23" s="233">
        <f>'6. Mains replacement'!J144</f>
        <v>0</v>
      </c>
      <c r="G23" s="252">
        <f>'6. Mains replacement'!K144</f>
        <v>0</v>
      </c>
      <c r="H23" s="232">
        <f>'6. Mains replacement'!L144</f>
        <v>10569895.624288559</v>
      </c>
      <c r="I23" s="233">
        <f>'6. Mains replacement'!M144</f>
        <v>22679133.539999999</v>
      </c>
      <c r="J23" s="233">
        <f ca="1">'6. Mains replacement'!O144</f>
        <v>30675668.669999991</v>
      </c>
      <c r="K23" s="233">
        <f ca="1">'6. Mains replacement'!P144</f>
        <v>43944234.233999997</v>
      </c>
      <c r="L23" s="233"/>
      <c r="M23" s="266">
        <f ca="1">'6. Mains replacement'!Q144</f>
        <v>53942074.204973742</v>
      </c>
      <c r="N23" s="259">
        <f ca="1">'6. Mains replacement'!R144</f>
        <v>48508995.14807909</v>
      </c>
      <c r="O23" s="233">
        <f ca="1">'6. Mains replacement'!S144</f>
        <v>49956772.375955157</v>
      </c>
      <c r="P23" s="233">
        <f ca="1">'6. Mains replacement'!T144</f>
        <v>53314439.258115478</v>
      </c>
      <c r="Q23" s="233">
        <f ca="1">'6. Mains replacement'!U144</f>
        <v>46066945.822578125</v>
      </c>
      <c r="R23" s="266">
        <f>'6. Mains replacement'!W144</f>
        <v>23052637.078696206</v>
      </c>
    </row>
    <row r="24" spans="2:18" outlineLevel="1">
      <c r="B24" s="231" t="s">
        <v>139</v>
      </c>
      <c r="C24" s="232" t="e">
        <f>'6. Mains replacement'!#REF!</f>
        <v>#REF!</v>
      </c>
      <c r="D24" s="233" t="e">
        <f>'6. Mains replacement'!#REF!</f>
        <v>#REF!</v>
      </c>
      <c r="E24" s="233" t="e">
        <f>'6. Mains replacement'!#REF!</f>
        <v>#REF!</v>
      </c>
      <c r="F24" s="233" t="e">
        <f>'6. Mains replacement'!#REF!</f>
        <v>#REF!</v>
      </c>
      <c r="G24" s="252" t="e">
        <f>'6. Mains replacement'!#REF!</f>
        <v>#REF!</v>
      </c>
      <c r="H24" s="232" t="e">
        <f>'6. Mains replacement'!#REF!</f>
        <v>#REF!</v>
      </c>
      <c r="I24" s="233" t="e">
        <f>'6. Mains replacement'!#REF!</f>
        <v>#REF!</v>
      </c>
      <c r="J24" s="233" t="e">
        <f>'6. Mains replacement'!#REF!</f>
        <v>#REF!</v>
      </c>
      <c r="K24" s="233" t="e">
        <f>'6. Mains replacement'!#REF!</f>
        <v>#REF!</v>
      </c>
      <c r="L24" s="233"/>
      <c r="M24" s="266" t="e">
        <f>'6. Mains replacement'!#REF!</f>
        <v>#REF!</v>
      </c>
      <c r="N24" s="259" t="e">
        <f>'6. Mains replacement'!#REF!</f>
        <v>#REF!</v>
      </c>
      <c r="O24" s="233" t="e">
        <f>'6. Mains replacement'!#REF!</f>
        <v>#REF!</v>
      </c>
      <c r="P24" s="233" t="e">
        <f>'6. Mains replacement'!#REF!</f>
        <v>#REF!</v>
      </c>
      <c r="Q24" s="233" t="e">
        <f>'6. Mains replacement'!#REF!</f>
        <v>#REF!</v>
      </c>
      <c r="R24" s="266" t="e">
        <f>'6. Mains replacement'!#REF!</f>
        <v>#REF!</v>
      </c>
    </row>
    <row r="25" spans="2:18">
      <c r="B25" s="231" t="s">
        <v>140</v>
      </c>
      <c r="C25" s="232">
        <f ca="1">'6. Mains replacement'!G146</f>
        <v>0</v>
      </c>
      <c r="D25" s="233">
        <f ca="1">'6. Mains replacement'!H146</f>
        <v>0</v>
      </c>
      <c r="E25" s="233">
        <f ca="1">'6. Mains replacement'!I146</f>
        <v>0</v>
      </c>
      <c r="F25" s="233">
        <f ca="1">'6. Mains replacement'!J146</f>
        <v>0</v>
      </c>
      <c r="G25" s="252">
        <f ca="1">'6. Mains replacement'!K146</f>
        <v>0</v>
      </c>
      <c r="H25" s="232">
        <f ca="1">'6. Mains replacement'!L146</f>
        <v>0</v>
      </c>
      <c r="I25" s="233">
        <f ca="1">'6. Mains replacement'!M146</f>
        <v>0</v>
      </c>
      <c r="J25" s="233">
        <f ca="1">'6. Mains replacement'!O146</f>
        <v>0</v>
      </c>
      <c r="K25" s="233">
        <f ca="1">'6. Mains replacement'!P146</f>
        <v>0</v>
      </c>
      <c r="L25" s="233"/>
      <c r="M25" s="266"/>
      <c r="N25" s="259">
        <f ca="1">'6. Mains replacement'!R146</f>
        <v>0</v>
      </c>
      <c r="O25" s="233">
        <f ca="1">'6. Mains replacement'!S146</f>
        <v>0</v>
      </c>
      <c r="P25" s="233">
        <f ca="1">'6. Mains replacement'!T146</f>
        <v>0</v>
      </c>
      <c r="Q25" s="233">
        <f ca="1">'6. Mains replacement'!U146</f>
        <v>0</v>
      </c>
      <c r="R25" s="266">
        <f ca="1">'6. Mains replacement'!W146</f>
        <v>0</v>
      </c>
    </row>
    <row r="26" spans="2:18">
      <c r="B26" s="234" t="s">
        <v>157</v>
      </c>
      <c r="C26" s="235"/>
      <c r="D26" s="236"/>
      <c r="E26" s="236"/>
      <c r="F26" s="236"/>
      <c r="G26" s="253"/>
      <c r="H26" s="235"/>
      <c r="I26" s="236"/>
      <c r="J26" s="236"/>
      <c r="K26" s="236"/>
      <c r="L26" s="236"/>
      <c r="M26" s="267"/>
      <c r="N26" s="260"/>
      <c r="O26" s="236"/>
      <c r="P26" s="236"/>
      <c r="Q26" s="236"/>
      <c r="R26" s="267"/>
    </row>
    <row r="27" spans="2:18" outlineLevel="1">
      <c r="B27" s="231" t="s">
        <v>138</v>
      </c>
      <c r="C27" s="232"/>
      <c r="D27" s="233"/>
      <c r="E27" s="233"/>
      <c r="F27" s="233"/>
      <c r="G27" s="252"/>
      <c r="H27" s="232"/>
      <c r="I27" s="233"/>
      <c r="J27" s="233"/>
      <c r="K27" s="233"/>
      <c r="L27" s="233"/>
      <c r="M27" s="266"/>
      <c r="N27" s="259"/>
      <c r="O27" s="233"/>
      <c r="P27" s="233"/>
      <c r="Q27" s="233"/>
      <c r="R27" s="266"/>
    </row>
    <row r="28" spans="2:18" outlineLevel="1">
      <c r="B28" s="231" t="s">
        <v>139</v>
      </c>
      <c r="C28" s="232"/>
      <c r="D28" s="233"/>
      <c r="E28" s="233"/>
      <c r="F28" s="233"/>
      <c r="G28" s="252"/>
      <c r="H28" s="232"/>
      <c r="I28" s="233"/>
      <c r="J28" s="233"/>
      <c r="K28" s="233"/>
      <c r="L28" s="233"/>
      <c r="M28" s="266"/>
      <c r="N28" s="259"/>
      <c r="O28" s="233"/>
      <c r="P28" s="233"/>
      <c r="Q28" s="233"/>
      <c r="R28" s="266"/>
    </row>
    <row r="29" spans="2:18">
      <c r="B29" s="231" t="s">
        <v>140</v>
      </c>
      <c r="C29" s="232"/>
      <c r="D29" s="233"/>
      <c r="E29" s="233"/>
      <c r="F29" s="233"/>
      <c r="G29" s="252"/>
      <c r="H29" s="232"/>
      <c r="I29" s="233"/>
      <c r="J29" s="233"/>
      <c r="K29" s="233"/>
      <c r="L29" s="233"/>
      <c r="M29" s="266"/>
      <c r="N29" s="259"/>
      <c r="O29" s="233"/>
      <c r="P29" s="233"/>
      <c r="Q29" s="233"/>
      <c r="R29" s="266"/>
    </row>
    <row r="30" spans="2:18">
      <c r="B30" s="234" t="s">
        <v>158</v>
      </c>
      <c r="C30" s="235"/>
      <c r="D30" s="236"/>
      <c r="E30" s="236"/>
      <c r="F30" s="236"/>
      <c r="G30" s="253"/>
      <c r="H30" s="235"/>
      <c r="I30" s="236"/>
      <c r="J30" s="236"/>
      <c r="K30" s="236"/>
      <c r="L30" s="236"/>
      <c r="M30" s="267"/>
      <c r="N30" s="260"/>
      <c r="O30" s="236"/>
      <c r="P30" s="236"/>
      <c r="Q30" s="236"/>
      <c r="R30" s="267"/>
    </row>
    <row r="31" spans="2:18" outlineLevel="1">
      <c r="B31" s="231" t="s">
        <v>138</v>
      </c>
      <c r="C31" s="232">
        <f>'8. Meter replacement'!D55</f>
        <v>1602496.9170000001</v>
      </c>
      <c r="D31" s="233">
        <f>'8. Meter replacement'!E55</f>
        <v>1846769.9849999999</v>
      </c>
      <c r="E31" s="233">
        <f>'8. Meter replacement'!F55</f>
        <v>2345677.1100000003</v>
      </c>
      <c r="F31" s="233">
        <f>'8. Meter replacement'!G55</f>
        <v>1762171.3357451644</v>
      </c>
      <c r="G31" s="252">
        <f>'8. Meter replacement'!H55</f>
        <v>1725438.761863407</v>
      </c>
      <c r="H31" s="232">
        <f>'8. Meter replacement'!I55</f>
        <v>4488212.6395000108</v>
      </c>
      <c r="I31" s="233">
        <f>'8. Meter replacement'!K55</f>
        <v>5174293.71</v>
      </c>
      <c r="J31" s="233">
        <f>'8. Meter replacement'!L55</f>
        <v>4523235.9869395699</v>
      </c>
      <c r="K31" s="233">
        <f>'8. Meter replacement'!M55</f>
        <v>3410000</v>
      </c>
      <c r="L31" s="233"/>
      <c r="M31" s="266">
        <f>'8. Meter replacement'!N55</f>
        <v>2856684.4324552906</v>
      </c>
      <c r="N31" s="259">
        <f>'8. Meter replacement'!O55</f>
        <v>579117.99611141416</v>
      </c>
      <c r="O31" s="233">
        <f>'8. Meter replacement'!P55</f>
        <v>1881473.6363223013</v>
      </c>
      <c r="P31" s="233">
        <f>'8. Meter replacement'!Q55</f>
        <v>888419.75764464331</v>
      </c>
      <c r="Q31" s="233">
        <f>'8. Meter replacement'!R55</f>
        <v>895911.93950796674</v>
      </c>
      <c r="R31" s="266"/>
    </row>
    <row r="32" spans="2:18" outlineLevel="1">
      <c r="B32" s="231" t="s">
        <v>139</v>
      </c>
      <c r="C32" s="232" t="e">
        <f>'8. Meter replacement'!#REF!</f>
        <v>#REF!</v>
      </c>
      <c r="D32" s="233" t="e">
        <f>'8. Meter replacement'!#REF!</f>
        <v>#REF!</v>
      </c>
      <c r="E32" s="233" t="e">
        <f>'8. Meter replacement'!#REF!</f>
        <v>#REF!</v>
      </c>
      <c r="F32" s="233" t="e">
        <f>'8. Meter replacement'!#REF!</f>
        <v>#REF!</v>
      </c>
      <c r="G32" s="252" t="e">
        <f>'8. Meter replacement'!#REF!</f>
        <v>#REF!</v>
      </c>
      <c r="H32" s="232" t="e">
        <f>'8. Meter replacement'!#REF!</f>
        <v>#REF!</v>
      </c>
      <c r="I32" s="233" t="e">
        <f>'8. Meter replacement'!#REF!</f>
        <v>#REF!</v>
      </c>
      <c r="J32" s="233" t="e">
        <f>'8. Meter replacement'!#REF!</f>
        <v>#REF!</v>
      </c>
      <c r="K32" s="233" t="e">
        <f>'8. Meter replacement'!#REF!</f>
        <v>#REF!</v>
      </c>
      <c r="L32" s="233"/>
      <c r="M32" s="266" t="e">
        <f>'8. Meter replacement'!#REF!</f>
        <v>#REF!</v>
      </c>
      <c r="N32" s="259" t="e">
        <f>'8. Meter replacement'!#REF!</f>
        <v>#REF!</v>
      </c>
      <c r="O32" s="233" t="e">
        <f>'8. Meter replacement'!#REF!</f>
        <v>#REF!</v>
      </c>
      <c r="P32" s="233" t="e">
        <f>'8. Meter replacement'!#REF!</f>
        <v>#REF!</v>
      </c>
      <c r="Q32" s="233" t="e">
        <f>'8. Meter replacement'!#REF!</f>
        <v>#REF!</v>
      </c>
      <c r="R32" s="266"/>
    </row>
    <row r="33" spans="2:18">
      <c r="B33" s="231" t="s">
        <v>140</v>
      </c>
      <c r="C33" s="232" t="e">
        <f>'8. Meter replacement'!#REF!</f>
        <v>#REF!</v>
      </c>
      <c r="D33" s="233" t="e">
        <f>'8. Meter replacement'!#REF!</f>
        <v>#REF!</v>
      </c>
      <c r="E33" s="233" t="e">
        <f>'8. Meter replacement'!#REF!</f>
        <v>#REF!</v>
      </c>
      <c r="F33" s="233" t="e">
        <f>'8. Meter replacement'!#REF!</f>
        <v>#REF!</v>
      </c>
      <c r="G33" s="252" t="e">
        <f>'8. Meter replacement'!#REF!</f>
        <v>#REF!</v>
      </c>
      <c r="H33" s="232" t="e">
        <f>'8. Meter replacement'!#REF!</f>
        <v>#REF!</v>
      </c>
      <c r="I33" s="233" t="e">
        <f>'8. Meter replacement'!#REF!</f>
        <v>#REF!</v>
      </c>
      <c r="J33" s="233" t="e">
        <f>'8. Meter replacement'!#REF!</f>
        <v>#REF!</v>
      </c>
      <c r="K33" s="233" t="e">
        <f>'8. Meter replacement'!#REF!</f>
        <v>#REF!</v>
      </c>
      <c r="L33" s="233"/>
      <c r="M33" s="266" t="e">
        <f>'8. Meter replacement'!#REF!</f>
        <v>#REF!</v>
      </c>
      <c r="N33" s="259" t="e">
        <f>'8. Meter replacement'!#REF!</f>
        <v>#REF!</v>
      </c>
      <c r="O33" s="233" t="e">
        <f>'8. Meter replacement'!#REF!</f>
        <v>#REF!</v>
      </c>
      <c r="P33" s="233" t="e">
        <f>'8. Meter replacement'!#REF!</f>
        <v>#REF!</v>
      </c>
      <c r="Q33" s="233" t="e">
        <f>'8. Meter replacement'!#REF!</f>
        <v>#REF!</v>
      </c>
      <c r="R33" s="266"/>
    </row>
    <row r="34" spans="2:18">
      <c r="B34" s="234" t="s">
        <v>276</v>
      </c>
      <c r="C34" s="235"/>
      <c r="D34" s="236"/>
      <c r="E34" s="236"/>
      <c r="F34" s="236"/>
      <c r="G34" s="253"/>
      <c r="H34" s="235"/>
      <c r="I34" s="236"/>
      <c r="J34" s="236"/>
      <c r="K34" s="236"/>
      <c r="L34" s="236"/>
      <c r="M34" s="267"/>
      <c r="N34" s="260"/>
      <c r="O34" s="236"/>
      <c r="P34" s="236"/>
      <c r="Q34" s="236"/>
      <c r="R34" s="267"/>
    </row>
    <row r="35" spans="2:18" outlineLevel="1">
      <c r="B35" s="231" t="s">
        <v>138</v>
      </c>
      <c r="C35" s="232"/>
      <c r="D35" s="233"/>
      <c r="E35" s="233"/>
      <c r="F35" s="233"/>
      <c r="G35" s="252"/>
      <c r="H35" s="232"/>
      <c r="I35" s="233"/>
      <c r="J35" s="233"/>
      <c r="K35" s="233"/>
      <c r="L35" s="233"/>
      <c r="M35" s="266"/>
      <c r="N35" s="259"/>
      <c r="O35" s="233"/>
      <c r="P35" s="233"/>
      <c r="Q35" s="233"/>
      <c r="R35" s="266"/>
    </row>
    <row r="36" spans="2:18" outlineLevel="1">
      <c r="B36" s="231" t="s">
        <v>139</v>
      </c>
      <c r="C36" s="232"/>
      <c r="D36" s="233"/>
      <c r="E36" s="233"/>
      <c r="F36" s="233"/>
      <c r="G36" s="252"/>
      <c r="H36" s="232"/>
      <c r="I36" s="233"/>
      <c r="J36" s="233"/>
      <c r="K36" s="233"/>
      <c r="L36" s="233"/>
      <c r="M36" s="266"/>
      <c r="N36" s="259"/>
      <c r="O36" s="233"/>
      <c r="P36" s="233"/>
      <c r="Q36" s="233"/>
      <c r="R36" s="266"/>
    </row>
    <row r="37" spans="2:18">
      <c r="B37" s="231" t="s">
        <v>140</v>
      </c>
      <c r="C37" s="232"/>
      <c r="D37" s="233"/>
      <c r="E37" s="233"/>
      <c r="F37" s="233"/>
      <c r="G37" s="252"/>
      <c r="H37" s="232"/>
      <c r="I37" s="233"/>
      <c r="J37" s="233"/>
      <c r="K37" s="233"/>
      <c r="L37" s="233"/>
      <c r="M37" s="266"/>
      <c r="N37" s="259"/>
      <c r="O37" s="233"/>
      <c r="P37" s="233"/>
      <c r="Q37" s="233"/>
      <c r="R37" s="266"/>
    </row>
    <row r="38" spans="2:18">
      <c r="B38" s="234" t="s">
        <v>277</v>
      </c>
      <c r="C38" s="235"/>
      <c r="D38" s="236"/>
      <c r="E38" s="236"/>
      <c r="F38" s="236"/>
      <c r="G38" s="253"/>
      <c r="H38" s="235"/>
      <c r="I38" s="236"/>
      <c r="J38" s="236"/>
      <c r="K38" s="236"/>
      <c r="L38" s="236"/>
      <c r="M38" s="267"/>
      <c r="N38" s="260"/>
      <c r="O38" s="236"/>
      <c r="P38" s="236"/>
      <c r="Q38" s="236"/>
      <c r="R38" s="267"/>
    </row>
    <row r="39" spans="2:18" outlineLevel="1">
      <c r="B39" s="231" t="s">
        <v>138</v>
      </c>
      <c r="C39" s="232">
        <f>'9. Other capex'!G121</f>
        <v>1060869.5652173914</v>
      </c>
      <c r="D39" s="233">
        <f>'9. Other capex'!H121</f>
        <v>1206521.739130435</v>
      </c>
      <c r="E39" s="233">
        <f>'9. Other capex'!I121</f>
        <v>1315719.0635451502</v>
      </c>
      <c r="F39" s="233">
        <f>'9. Other capex'!J121</f>
        <v>1545596.4325529544</v>
      </c>
      <c r="G39" s="252">
        <f>'9. Other capex'!K121</f>
        <v>1050894.8459999999</v>
      </c>
      <c r="H39" s="232">
        <f>'9. Other capex'!M121</f>
        <v>6952649.9199999999</v>
      </c>
      <c r="I39" s="233">
        <f>'9. Other capex'!N121</f>
        <v>10971627.719999999</v>
      </c>
      <c r="J39" s="233">
        <f>'9. Other capex'!O121</f>
        <v>15295365.950000003</v>
      </c>
      <c r="K39" s="233">
        <f>'9. Other capex'!P121</f>
        <v>13619711</v>
      </c>
      <c r="L39" s="233"/>
      <c r="M39" s="266">
        <f>'9. Other capex'!Q121</f>
        <v>10217826.220459685</v>
      </c>
      <c r="N39" s="259">
        <f>'9. Other capex'!R121</f>
        <v>8686478.012158921</v>
      </c>
      <c r="O39" s="233">
        <f>'9. Other capex'!S121</f>
        <v>9450188.3963237591</v>
      </c>
      <c r="P39" s="233">
        <f>'9. Other capex'!T121</f>
        <v>8059941.941215083</v>
      </c>
      <c r="Q39" s="233">
        <f>'9. Other capex'!U121</f>
        <v>9470013.084431082</v>
      </c>
      <c r="R39" s="266">
        <f>'9. Other capex'!V121</f>
        <v>0</v>
      </c>
    </row>
    <row r="40" spans="2:18" outlineLevel="1">
      <c r="B40" s="231" t="s">
        <v>139</v>
      </c>
      <c r="C40" s="232" t="e">
        <f>'9. Other capex'!#REF!</f>
        <v>#REF!</v>
      </c>
      <c r="D40" s="233" t="e">
        <f>'9. Other capex'!#REF!</f>
        <v>#REF!</v>
      </c>
      <c r="E40" s="233" t="e">
        <f>'9. Other capex'!#REF!</f>
        <v>#REF!</v>
      </c>
      <c r="F40" s="233" t="e">
        <f>'9. Other capex'!#REF!</f>
        <v>#REF!</v>
      </c>
      <c r="G40" s="252" t="e">
        <f>'9. Other capex'!#REF!</f>
        <v>#REF!</v>
      </c>
      <c r="H40" s="232" t="e">
        <f>'9. Other capex'!#REF!</f>
        <v>#REF!</v>
      </c>
      <c r="I40" s="233" t="e">
        <f>'9. Other capex'!#REF!</f>
        <v>#REF!</v>
      </c>
      <c r="J40" s="233" t="e">
        <f>'9. Other capex'!#REF!</f>
        <v>#REF!</v>
      </c>
      <c r="K40" s="233" t="e">
        <f>'9. Other capex'!#REF!</f>
        <v>#REF!</v>
      </c>
      <c r="L40" s="233"/>
      <c r="M40" s="266" t="e">
        <f>'9. Other capex'!#REF!</f>
        <v>#REF!</v>
      </c>
      <c r="N40" s="259" t="e">
        <f>'9. Other capex'!#REF!</f>
        <v>#REF!</v>
      </c>
      <c r="O40" s="233" t="e">
        <f>'9. Other capex'!#REF!</f>
        <v>#REF!</v>
      </c>
      <c r="P40" s="233" t="e">
        <f>'9. Other capex'!#REF!</f>
        <v>#REF!</v>
      </c>
      <c r="Q40" s="233" t="e">
        <f>'9. Other capex'!#REF!</f>
        <v>#REF!</v>
      </c>
      <c r="R40" s="266" t="e">
        <f>'9. Other capex'!#REF!</f>
        <v>#REF!</v>
      </c>
    </row>
    <row r="41" spans="2:18">
      <c r="B41" s="231" t="s">
        <v>140</v>
      </c>
      <c r="C41" s="232" t="e">
        <f>'9. Other capex'!#REF!</f>
        <v>#REF!</v>
      </c>
      <c r="D41" s="233" t="e">
        <f>'9. Other capex'!#REF!</f>
        <v>#REF!</v>
      </c>
      <c r="E41" s="233" t="e">
        <f>'9. Other capex'!#REF!</f>
        <v>#REF!</v>
      </c>
      <c r="F41" s="233" t="e">
        <f>'9. Other capex'!#REF!</f>
        <v>#REF!</v>
      </c>
      <c r="G41" s="252" t="e">
        <f>'9. Other capex'!#REF!</f>
        <v>#REF!</v>
      </c>
      <c r="H41" s="232" t="e">
        <f>'9. Other capex'!#REF!</f>
        <v>#REF!</v>
      </c>
      <c r="I41" s="233" t="e">
        <f>'9. Other capex'!#REF!</f>
        <v>#REF!</v>
      </c>
      <c r="J41" s="233" t="e">
        <f>'9. Other capex'!#REF!</f>
        <v>#REF!</v>
      </c>
      <c r="K41" s="233" t="e">
        <f>'9. Other capex'!#REF!</f>
        <v>#REF!</v>
      </c>
      <c r="L41" s="233"/>
      <c r="M41" s="266" t="e">
        <f>'9. Other capex'!#REF!</f>
        <v>#REF!</v>
      </c>
      <c r="N41" s="259" t="e">
        <f>'9. Other capex'!#REF!</f>
        <v>#REF!</v>
      </c>
      <c r="O41" s="233" t="e">
        <f>'9. Other capex'!#REF!</f>
        <v>#REF!</v>
      </c>
      <c r="P41" s="233" t="e">
        <f>'9. Other capex'!#REF!</f>
        <v>#REF!</v>
      </c>
      <c r="Q41" s="233" t="e">
        <f>'9. Other capex'!#REF!</f>
        <v>#REF!</v>
      </c>
      <c r="R41" s="266" t="e">
        <f>'9. Other capex'!#REF!</f>
        <v>#REF!</v>
      </c>
    </row>
    <row r="42" spans="2:18">
      <c r="B42" s="234" t="s">
        <v>64</v>
      </c>
      <c r="C42" s="235"/>
      <c r="D42" s="236"/>
      <c r="E42" s="236"/>
      <c r="F42" s="236"/>
      <c r="G42" s="253"/>
      <c r="H42" s="235"/>
      <c r="I42" s="236"/>
      <c r="J42" s="236"/>
      <c r="K42" s="236"/>
      <c r="L42" s="236"/>
      <c r="M42" s="267"/>
      <c r="N42" s="260"/>
      <c r="O42" s="236"/>
      <c r="P42" s="236"/>
      <c r="Q42" s="236"/>
      <c r="R42" s="267"/>
    </row>
    <row r="43" spans="2:18" outlineLevel="1">
      <c r="B43" s="231" t="s">
        <v>138</v>
      </c>
      <c r="C43" s="232" t="e">
        <f>#REF!</f>
        <v>#REF!</v>
      </c>
      <c r="D43" s="233" t="e">
        <f>#REF!</f>
        <v>#REF!</v>
      </c>
      <c r="E43" s="233" t="e">
        <f>#REF!</f>
        <v>#REF!</v>
      </c>
      <c r="F43" s="233" t="e">
        <f>#REF!</f>
        <v>#REF!</v>
      </c>
      <c r="G43" s="252" t="e">
        <f>#REF!</f>
        <v>#REF!</v>
      </c>
      <c r="H43" s="232" t="e">
        <f>#REF!</f>
        <v>#REF!</v>
      </c>
      <c r="I43" s="233" t="e">
        <f>#REF!</f>
        <v>#REF!</v>
      </c>
      <c r="J43" s="233" t="e">
        <f>#REF!</f>
        <v>#REF!</v>
      </c>
      <c r="K43" s="233" t="e">
        <f>#REF!</f>
        <v>#REF!</v>
      </c>
      <c r="L43" s="233"/>
      <c r="M43" s="266" t="e">
        <f>#REF!</f>
        <v>#REF!</v>
      </c>
      <c r="N43" s="259" t="e">
        <f>#REF!</f>
        <v>#REF!</v>
      </c>
      <c r="O43" s="233" t="e">
        <f>#REF!</f>
        <v>#REF!</v>
      </c>
      <c r="P43" s="233" t="e">
        <f>#REF!</f>
        <v>#REF!</v>
      </c>
      <c r="Q43" s="233" t="e">
        <f>#REF!</f>
        <v>#REF!</v>
      </c>
      <c r="R43" s="266" t="e">
        <f>#REF!</f>
        <v>#REF!</v>
      </c>
    </row>
    <row r="44" spans="2:18" outlineLevel="1">
      <c r="B44" s="231" t="s">
        <v>139</v>
      </c>
      <c r="C44" s="232" t="e">
        <f>#REF!</f>
        <v>#REF!</v>
      </c>
      <c r="D44" s="233" t="e">
        <f>#REF!</f>
        <v>#REF!</v>
      </c>
      <c r="E44" s="233" t="e">
        <f>#REF!</f>
        <v>#REF!</v>
      </c>
      <c r="F44" s="233" t="e">
        <f>#REF!</f>
        <v>#REF!</v>
      </c>
      <c r="G44" s="252" t="e">
        <f>#REF!</f>
        <v>#REF!</v>
      </c>
      <c r="H44" s="232" t="e">
        <f>#REF!</f>
        <v>#REF!</v>
      </c>
      <c r="I44" s="233" t="e">
        <f>#REF!</f>
        <v>#REF!</v>
      </c>
      <c r="J44" s="233" t="e">
        <f>#REF!</f>
        <v>#REF!</v>
      </c>
      <c r="K44" s="233" t="e">
        <f>#REF!</f>
        <v>#REF!</v>
      </c>
      <c r="L44" s="233"/>
      <c r="M44" s="266" t="e">
        <f>#REF!</f>
        <v>#REF!</v>
      </c>
      <c r="N44" s="259" t="e">
        <f>#REF!</f>
        <v>#REF!</v>
      </c>
      <c r="O44" s="233" t="e">
        <f>#REF!</f>
        <v>#REF!</v>
      </c>
      <c r="P44" s="233" t="e">
        <f>#REF!</f>
        <v>#REF!</v>
      </c>
      <c r="Q44" s="233" t="e">
        <f>#REF!</f>
        <v>#REF!</v>
      </c>
      <c r="R44" s="266" t="e">
        <f>#REF!</f>
        <v>#REF!</v>
      </c>
    </row>
    <row r="45" spans="2:18">
      <c r="B45" s="231" t="s">
        <v>140</v>
      </c>
      <c r="C45" s="232" t="e">
        <f>#REF!</f>
        <v>#REF!</v>
      </c>
      <c r="D45" s="233" t="e">
        <f>#REF!</f>
        <v>#REF!</v>
      </c>
      <c r="E45" s="233" t="e">
        <f>#REF!</f>
        <v>#REF!</v>
      </c>
      <c r="F45" s="233" t="e">
        <f>#REF!</f>
        <v>#REF!</v>
      </c>
      <c r="G45" s="252" t="e">
        <f>#REF!</f>
        <v>#REF!</v>
      </c>
      <c r="H45" s="232" t="e">
        <f>#REF!</f>
        <v>#REF!</v>
      </c>
      <c r="I45" s="233" t="e">
        <f>#REF!</f>
        <v>#REF!</v>
      </c>
      <c r="J45" s="233" t="e">
        <f>#REF!</f>
        <v>#REF!</v>
      </c>
      <c r="K45" s="233" t="e">
        <f>#REF!</f>
        <v>#REF!</v>
      </c>
      <c r="L45" s="233"/>
      <c r="M45" s="266" t="e">
        <f>#REF!</f>
        <v>#REF!</v>
      </c>
      <c r="N45" s="259" t="e">
        <f>#REF!</f>
        <v>#REF!</v>
      </c>
      <c r="O45" s="233" t="e">
        <f>#REF!</f>
        <v>#REF!</v>
      </c>
      <c r="P45" s="233" t="e">
        <f>#REF!</f>
        <v>#REF!</v>
      </c>
      <c r="Q45" s="233" t="e">
        <f>#REF!</f>
        <v>#REF!</v>
      </c>
      <c r="R45" s="266" t="e">
        <f>#REF!</f>
        <v>#REF!</v>
      </c>
    </row>
    <row r="46" spans="2:18">
      <c r="B46" s="234" t="s">
        <v>89</v>
      </c>
      <c r="C46" s="235"/>
      <c r="D46" s="236"/>
      <c r="E46" s="236"/>
      <c r="F46" s="236"/>
      <c r="G46" s="253"/>
      <c r="H46" s="235"/>
      <c r="I46" s="236"/>
      <c r="J46" s="236"/>
      <c r="K46" s="236"/>
      <c r="L46" s="236"/>
      <c r="M46" s="267"/>
      <c r="N46" s="260"/>
      <c r="O46" s="236"/>
      <c r="P46" s="236"/>
      <c r="Q46" s="236"/>
      <c r="R46" s="267"/>
    </row>
    <row r="47" spans="2:18">
      <c r="B47" s="231" t="s">
        <v>134</v>
      </c>
      <c r="C47" s="232">
        <f>'14. Overheads'!C70</f>
        <v>9.9810965178108751E-2</v>
      </c>
      <c r="D47" s="233">
        <f>'14. Overheads'!D70</f>
        <v>3.9519611613285294E-2</v>
      </c>
      <c r="E47" s="233">
        <f>'14. Overheads'!E70</f>
        <v>9.8534224283634411E-2</v>
      </c>
      <c r="F47" s="233">
        <f>'14. Overheads'!F70</f>
        <v>9.6414273683022897E-2</v>
      </c>
      <c r="G47" s="252">
        <f>'14. Overheads'!G70</f>
        <v>9.1798834839652968E-2</v>
      </c>
      <c r="H47" s="232">
        <f>'14. Overheads'!I70</f>
        <v>4.9764160424827161E-2</v>
      </c>
      <c r="I47" s="233">
        <f>'14. Overheads'!J70</f>
        <v>5.4085075611084645E-2</v>
      </c>
      <c r="J47" s="233">
        <f>'14. Overheads'!K70</f>
        <v>5.799005774106545E-2</v>
      </c>
      <c r="K47" s="233">
        <f ca="1">'14. Overheads'!L70</f>
        <v>5.8853152865265469E-2</v>
      </c>
      <c r="L47" s="233"/>
      <c r="M47" s="266">
        <f>'14. Overheads'!M70</f>
        <v>5.6424134386621159E-2</v>
      </c>
      <c r="N47" s="259">
        <f>'14. Overheads'!N70</f>
        <v>5.6528780733723819E-2</v>
      </c>
      <c r="O47" s="233">
        <f>'14. Overheads'!O70</f>
        <v>5.6531783597921673E-2</v>
      </c>
      <c r="P47" s="233">
        <f>'14. Overheads'!P70</f>
        <v>5.653204158381727E-2</v>
      </c>
      <c r="Q47" s="233">
        <f>'14. Overheads'!Q70</f>
        <v>5.6526602596777407E-2</v>
      </c>
      <c r="R47" s="266"/>
    </row>
    <row r="48" spans="2:18">
      <c r="B48" s="234" t="s">
        <v>159</v>
      </c>
      <c r="C48" s="235"/>
      <c r="D48" s="236"/>
      <c r="E48" s="236"/>
      <c r="F48" s="236"/>
      <c r="G48" s="253"/>
      <c r="H48" s="235"/>
      <c r="I48" s="236"/>
      <c r="J48" s="236"/>
      <c r="K48" s="236"/>
      <c r="L48" s="236"/>
      <c r="M48" s="267"/>
      <c r="N48" s="260"/>
      <c r="O48" s="236"/>
      <c r="P48" s="236"/>
      <c r="Q48" s="236"/>
      <c r="R48" s="267"/>
    </row>
    <row r="49" spans="2:21" ht="13.5" thickBot="1">
      <c r="B49" s="237" t="s">
        <v>19</v>
      </c>
      <c r="C49" s="238">
        <f>'15. Related party transactions'!I120</f>
        <v>34296908.099999994</v>
      </c>
      <c r="D49" s="239">
        <f>'15. Related party transactions'!J120</f>
        <v>0</v>
      </c>
      <c r="E49" s="239">
        <f>'15. Related party transactions'!K120</f>
        <v>36021096.860000014</v>
      </c>
      <c r="F49" s="239">
        <f>'15. Related party transactions'!L120</f>
        <v>60143177.529999971</v>
      </c>
      <c r="G49" s="254">
        <f>'15. Related party transactions'!M120</f>
        <v>75688122.450000003</v>
      </c>
      <c r="H49" s="238">
        <f>'15. Related party transactions'!N120</f>
        <v>0</v>
      </c>
      <c r="I49" s="239">
        <f>'15. Related party transactions'!O120</f>
        <v>0</v>
      </c>
      <c r="J49" s="239">
        <f>'15. Related party transactions'!Q120</f>
        <v>0</v>
      </c>
      <c r="K49" s="239">
        <f>'15. Related party transactions'!R120</f>
        <v>0</v>
      </c>
      <c r="L49" s="239"/>
      <c r="M49" s="268">
        <f>'15. Related party transactions'!S120</f>
        <v>0</v>
      </c>
      <c r="N49" s="261">
        <f>'15. Related party transactions'!T120</f>
        <v>0</v>
      </c>
      <c r="O49" s="239">
        <f>'15. Related party transactions'!U120</f>
        <v>0</v>
      </c>
      <c r="P49" s="239">
        <f>'15. Related party transactions'!V120</f>
        <v>0</v>
      </c>
      <c r="Q49" s="239">
        <f>'15. Related party transactions'!W120</f>
        <v>0</v>
      </c>
      <c r="R49" s="268">
        <f>'15. Related party transactions'!X120</f>
        <v>0</v>
      </c>
    </row>
    <row r="50" spans="2:21">
      <c r="B50" s="240" t="s">
        <v>145</v>
      </c>
      <c r="C50" s="241" t="e">
        <f>SUM(C15,C19,C23,C27,C39,C31,C35,C43,C47,C49)</f>
        <v>#REF!</v>
      </c>
      <c r="D50" s="242" t="e">
        <f t="shared" ref="D50:Q50" si="0">SUM(D15,D19,D23,D27,D39,D31,D35,D43,D47,D49)</f>
        <v>#REF!</v>
      </c>
      <c r="E50" s="242" t="e">
        <f t="shared" si="0"/>
        <v>#REF!</v>
      </c>
      <c r="F50" s="242" t="e">
        <f t="shared" si="0"/>
        <v>#REF!</v>
      </c>
      <c r="G50" s="255" t="e">
        <f t="shared" si="0"/>
        <v>#REF!</v>
      </c>
      <c r="H50" s="241" t="e">
        <f t="shared" si="0"/>
        <v>#REF!</v>
      </c>
      <c r="I50" s="242" t="e">
        <f t="shared" si="0"/>
        <v>#REF!</v>
      </c>
      <c r="J50" s="242" t="e">
        <f t="shared" si="0"/>
        <v>#REF!</v>
      </c>
      <c r="K50" s="242" t="e">
        <f t="shared" si="0"/>
        <v>#REF!</v>
      </c>
      <c r="L50" s="242"/>
      <c r="M50" s="269" t="e">
        <f t="shared" si="0"/>
        <v>#REF!</v>
      </c>
      <c r="N50" s="262" t="e">
        <f t="shared" si="0"/>
        <v>#REF!</v>
      </c>
      <c r="O50" s="242" t="e">
        <f t="shared" si="0"/>
        <v>#REF!</v>
      </c>
      <c r="P50" s="242" t="e">
        <f t="shared" si="0"/>
        <v>#REF!</v>
      </c>
      <c r="Q50" s="242" t="e">
        <f t="shared" si="0"/>
        <v>#REF!</v>
      </c>
      <c r="R50" s="269" t="e">
        <f t="shared" ref="R50" si="1">SUM(R15,R19,R23,R27,R39,R31,R35,R43,R47,R49)</f>
        <v>#REF!</v>
      </c>
    </row>
    <row r="51" spans="2:21">
      <c r="B51" s="243" t="s">
        <v>144</v>
      </c>
      <c r="C51" s="244" t="e">
        <f>SUM(C16,C20,C24,C28,C40,C32,C36,C44)</f>
        <v>#REF!</v>
      </c>
      <c r="D51" s="245" t="e">
        <f t="shared" ref="D51:Q51" si="2">SUM(D16,D20,D24,D28,D40,D32,D36,D44)</f>
        <v>#REF!</v>
      </c>
      <c r="E51" s="245" t="e">
        <f t="shared" si="2"/>
        <v>#REF!</v>
      </c>
      <c r="F51" s="245" t="e">
        <f t="shared" si="2"/>
        <v>#REF!</v>
      </c>
      <c r="G51" s="256" t="e">
        <f t="shared" si="2"/>
        <v>#REF!</v>
      </c>
      <c r="H51" s="244" t="e">
        <f t="shared" si="2"/>
        <v>#REF!</v>
      </c>
      <c r="I51" s="245" t="e">
        <f t="shared" si="2"/>
        <v>#REF!</v>
      </c>
      <c r="J51" s="245" t="e">
        <f t="shared" si="2"/>
        <v>#REF!</v>
      </c>
      <c r="K51" s="245" t="e">
        <f t="shared" si="2"/>
        <v>#REF!</v>
      </c>
      <c r="L51" s="245"/>
      <c r="M51" s="270" t="e">
        <f t="shared" si="2"/>
        <v>#REF!</v>
      </c>
      <c r="N51" s="263" t="e">
        <f t="shared" si="2"/>
        <v>#REF!</v>
      </c>
      <c r="O51" s="245" t="e">
        <f t="shared" si="2"/>
        <v>#REF!</v>
      </c>
      <c r="P51" s="245" t="e">
        <f t="shared" si="2"/>
        <v>#REF!</v>
      </c>
      <c r="Q51" s="245" t="e">
        <f t="shared" si="2"/>
        <v>#REF!</v>
      </c>
      <c r="R51" s="270" t="e">
        <f t="shared" ref="R51" si="3">SUM(R16,R20,R24,R28,R40,R32,R36,R44)</f>
        <v>#REF!</v>
      </c>
    </row>
    <row r="52" spans="2:21">
      <c r="B52" s="243" t="s">
        <v>143</v>
      </c>
      <c r="C52" s="244" t="e">
        <f>SUM(C17,C21,C25,C29,C41,C33,C37,C45,C47,C49)</f>
        <v>#REF!</v>
      </c>
      <c r="D52" s="245" t="e">
        <f t="shared" ref="D52:Q52" si="4">SUM(D17,D21,D25,D29,D41,D33,D37,D45,D47,D49)</f>
        <v>#REF!</v>
      </c>
      <c r="E52" s="245" t="e">
        <f t="shared" si="4"/>
        <v>#REF!</v>
      </c>
      <c r="F52" s="245" t="e">
        <f t="shared" si="4"/>
        <v>#REF!</v>
      </c>
      <c r="G52" s="256" t="e">
        <f t="shared" si="4"/>
        <v>#REF!</v>
      </c>
      <c r="H52" s="244" t="e">
        <f t="shared" si="4"/>
        <v>#REF!</v>
      </c>
      <c r="I52" s="245" t="e">
        <f t="shared" si="4"/>
        <v>#REF!</v>
      </c>
      <c r="J52" s="245" t="e">
        <f t="shared" si="4"/>
        <v>#REF!</v>
      </c>
      <c r="K52" s="245" t="e">
        <f t="shared" si="4"/>
        <v>#REF!</v>
      </c>
      <c r="L52" s="245"/>
      <c r="M52" s="270" t="e">
        <f t="shared" si="4"/>
        <v>#REF!</v>
      </c>
      <c r="N52" s="263" t="e">
        <f t="shared" si="4"/>
        <v>#REF!</v>
      </c>
      <c r="O52" s="245" t="e">
        <f t="shared" si="4"/>
        <v>#REF!</v>
      </c>
      <c r="P52" s="245" t="e">
        <f t="shared" si="4"/>
        <v>#REF!</v>
      </c>
      <c r="Q52" s="245" t="e">
        <f t="shared" si="4"/>
        <v>#REF!</v>
      </c>
      <c r="R52" s="270" t="e">
        <f t="shared" ref="R52" si="5">SUM(R17,R21,R25,R29,R41,R33,R37,R45,R47,R49)</f>
        <v>#REF!</v>
      </c>
    </row>
    <row r="53" spans="2:21">
      <c r="B53" s="246" t="s">
        <v>141</v>
      </c>
      <c r="C53" s="247"/>
      <c r="D53" s="248"/>
      <c r="E53" s="248"/>
      <c r="F53" s="248"/>
      <c r="G53" s="257"/>
      <c r="H53" s="247"/>
      <c r="I53" s="248"/>
      <c r="J53" s="248"/>
      <c r="K53" s="248"/>
      <c r="L53" s="248"/>
      <c r="M53" s="271"/>
      <c r="N53" s="264"/>
      <c r="O53" s="248"/>
      <c r="P53" s="248"/>
      <c r="Q53" s="248"/>
      <c r="R53" s="271"/>
    </row>
    <row r="54" spans="2:21">
      <c r="B54" s="243" t="s">
        <v>146</v>
      </c>
      <c r="C54" s="244" t="e">
        <f>C50-C53</f>
        <v>#REF!</v>
      </c>
      <c r="D54" s="245" t="e">
        <f t="shared" ref="D54:K54" si="6">D50-D53</f>
        <v>#REF!</v>
      </c>
      <c r="E54" s="245" t="e">
        <f t="shared" si="6"/>
        <v>#REF!</v>
      </c>
      <c r="F54" s="245" t="e">
        <f t="shared" si="6"/>
        <v>#REF!</v>
      </c>
      <c r="G54" s="256" t="e">
        <f t="shared" si="6"/>
        <v>#REF!</v>
      </c>
      <c r="H54" s="244" t="e">
        <f t="shared" si="6"/>
        <v>#REF!</v>
      </c>
      <c r="I54" s="245" t="e">
        <f t="shared" si="6"/>
        <v>#REF!</v>
      </c>
      <c r="J54" s="245" t="e">
        <f t="shared" si="6"/>
        <v>#REF!</v>
      </c>
      <c r="K54" s="245" t="e">
        <f t="shared" si="6"/>
        <v>#REF!</v>
      </c>
      <c r="L54" s="245"/>
      <c r="M54" s="270" t="e">
        <f t="shared" ref="M54:R54" si="7">M50-M53</f>
        <v>#REF!</v>
      </c>
      <c r="N54" s="263" t="e">
        <f t="shared" si="7"/>
        <v>#REF!</v>
      </c>
      <c r="O54" s="245" t="e">
        <f t="shared" si="7"/>
        <v>#REF!</v>
      </c>
      <c r="P54" s="245" t="e">
        <f t="shared" si="7"/>
        <v>#REF!</v>
      </c>
      <c r="Q54" s="245" t="e">
        <f t="shared" si="7"/>
        <v>#REF!</v>
      </c>
      <c r="R54" s="270" t="e">
        <f t="shared" si="7"/>
        <v>#REF!</v>
      </c>
    </row>
    <row r="55" spans="2:21" ht="13.5" thickBot="1">
      <c r="B55" s="249" t="s">
        <v>147</v>
      </c>
      <c r="C55" s="250" t="e">
        <f>C52-C53</f>
        <v>#REF!</v>
      </c>
      <c r="D55" s="251" t="e">
        <f t="shared" ref="D55:Q55" si="8">D52-D53</f>
        <v>#REF!</v>
      </c>
      <c r="E55" s="251" t="e">
        <f t="shared" si="8"/>
        <v>#REF!</v>
      </c>
      <c r="F55" s="251" t="e">
        <f t="shared" si="8"/>
        <v>#REF!</v>
      </c>
      <c r="G55" s="258" t="e">
        <f t="shared" si="8"/>
        <v>#REF!</v>
      </c>
      <c r="H55" s="250" t="e">
        <f t="shared" si="8"/>
        <v>#REF!</v>
      </c>
      <c r="I55" s="251" t="e">
        <f t="shared" si="8"/>
        <v>#REF!</v>
      </c>
      <c r="J55" s="251" t="e">
        <f t="shared" si="8"/>
        <v>#REF!</v>
      </c>
      <c r="K55" s="251" t="e">
        <f t="shared" si="8"/>
        <v>#REF!</v>
      </c>
      <c r="L55" s="251"/>
      <c r="M55" s="272" t="e">
        <f>M52-M53</f>
        <v>#REF!</v>
      </c>
      <c r="N55" s="265" t="e">
        <f t="shared" si="8"/>
        <v>#REF!</v>
      </c>
      <c r="O55" s="251" t="e">
        <f t="shared" si="8"/>
        <v>#REF!</v>
      </c>
      <c r="P55" s="251" t="e">
        <f t="shared" si="8"/>
        <v>#REF!</v>
      </c>
      <c r="Q55" s="251" t="e">
        <f t="shared" si="8"/>
        <v>#REF!</v>
      </c>
      <c r="R55" s="272" t="e">
        <f t="shared" ref="R55" si="9">R52-R53</f>
        <v>#REF!</v>
      </c>
    </row>
    <row r="56" spans="2:21" s="78" customFormat="1" ht="12.75" customHeight="1">
      <c r="B56" s="81"/>
      <c r="C56" s="80"/>
      <c r="D56" s="80"/>
      <c r="E56" s="80"/>
      <c r="F56" s="80"/>
      <c r="G56" s="80"/>
      <c r="H56" s="80"/>
      <c r="I56" s="80"/>
      <c r="J56" s="80"/>
      <c r="K56" s="80"/>
      <c r="L56" s="80"/>
      <c r="M56" s="80"/>
      <c r="N56" s="80"/>
      <c r="O56" s="80"/>
      <c r="P56" s="80"/>
      <c r="Q56" s="80"/>
    </row>
    <row r="57" spans="2:21" s="78" customFormat="1" ht="47.25" customHeight="1" thickBot="1">
      <c r="B57" s="99"/>
      <c r="C57" s="23"/>
      <c r="D57" s="23"/>
      <c r="E57" s="23"/>
      <c r="F57" s="23"/>
      <c r="G57" s="23"/>
      <c r="H57" s="23"/>
      <c r="I57" s="23"/>
      <c r="J57" s="23"/>
      <c r="K57" s="23"/>
      <c r="L57" s="23"/>
      <c r="M57" s="23"/>
      <c r="N57" s="23"/>
      <c r="O57" s="23"/>
      <c r="P57" s="23"/>
      <c r="Q57" s="23"/>
    </row>
    <row r="58" spans="2:21" s="227" customFormat="1" ht="36.75" customHeight="1" thickBot="1">
      <c r="B58" s="769" t="s">
        <v>346</v>
      </c>
      <c r="C58" s="833"/>
      <c r="D58" s="833"/>
      <c r="E58" s="833"/>
      <c r="F58" s="833"/>
      <c r="G58" s="833"/>
      <c r="H58" s="833"/>
      <c r="I58" s="833"/>
      <c r="J58" s="833"/>
      <c r="K58" s="833"/>
      <c r="L58" s="833"/>
      <c r="M58" s="833"/>
      <c r="N58" s="65"/>
      <c r="O58" s="65"/>
      <c r="P58" s="65"/>
      <c r="Q58" s="65"/>
      <c r="R58" s="65"/>
      <c r="S58" s="65"/>
      <c r="T58" s="65"/>
      <c r="U58" s="65"/>
    </row>
    <row r="59" spans="2:21" s="228" customFormat="1" ht="15.75" customHeight="1">
      <c r="B59" s="4112"/>
      <c r="C59" s="4115" t="s">
        <v>36</v>
      </c>
      <c r="D59" s="4116"/>
      <c r="E59" s="4116"/>
      <c r="F59" s="4116"/>
      <c r="G59" s="4116"/>
      <c r="H59" s="4117" t="s">
        <v>37</v>
      </c>
      <c r="I59" s="4117"/>
      <c r="J59" s="4117"/>
      <c r="K59" s="4117"/>
      <c r="L59" s="4117"/>
      <c r="M59" s="4118"/>
      <c r="N59" s="65"/>
      <c r="O59" s="65"/>
      <c r="P59" s="65"/>
      <c r="Q59" s="65"/>
      <c r="R59" s="65"/>
      <c r="S59" s="65"/>
      <c r="T59" s="65"/>
      <c r="U59" s="65"/>
    </row>
    <row r="60" spans="2:21" s="228" customFormat="1" ht="15.75" customHeight="1">
      <c r="B60" s="4113"/>
      <c r="C60" s="4123" t="s">
        <v>379</v>
      </c>
      <c r="D60" s="4124"/>
      <c r="E60" s="4124"/>
      <c r="F60" s="4124"/>
      <c r="G60" s="4124"/>
      <c r="H60" s="4121" t="str">
        <f>CONCATENATE("$0's, Real ",dms_DollarReal)</f>
        <v>$0's, Real December 2017</v>
      </c>
      <c r="I60" s="4121"/>
      <c r="J60" s="4121"/>
      <c r="K60" s="4121"/>
      <c r="L60" s="4121"/>
      <c r="M60" s="4122"/>
      <c r="N60" s="65"/>
      <c r="O60" s="65"/>
      <c r="P60" s="65"/>
      <c r="Q60" s="65"/>
      <c r="R60" s="65"/>
      <c r="S60" s="65"/>
      <c r="T60" s="65"/>
      <c r="U60" s="65"/>
    </row>
    <row r="61" spans="2:21" s="228" customFormat="1" ht="15" customHeight="1">
      <c r="B61" s="4113"/>
      <c r="C61" s="4108" t="s">
        <v>76</v>
      </c>
      <c r="D61" s="4109"/>
      <c r="E61" s="4109"/>
      <c r="F61" s="4109"/>
      <c r="G61" s="4109"/>
      <c r="H61" s="4109"/>
      <c r="I61" s="4109"/>
      <c r="J61" s="4109"/>
      <c r="K61" s="4109"/>
      <c r="L61" s="4109"/>
      <c r="M61" s="4120"/>
      <c r="N61" s="65"/>
      <c r="O61" s="65"/>
      <c r="P61" s="65"/>
      <c r="Q61" s="65"/>
      <c r="R61" s="65"/>
      <c r="S61" s="65"/>
      <c r="T61" s="65"/>
      <c r="U61" s="65"/>
    </row>
    <row r="62" spans="2:21" s="228" customFormat="1" ht="16.5" thickBot="1">
      <c r="B62" s="4114"/>
      <c r="C62" s="273">
        <f>PRCP_y1</f>
        <v>2008</v>
      </c>
      <c r="D62" s="274">
        <f>PRCP_y2</f>
        <v>2009</v>
      </c>
      <c r="E62" s="274">
        <f>PRCP_y3</f>
        <v>2010</v>
      </c>
      <c r="F62" s="274">
        <f>PRCP_y4</f>
        <v>2011</v>
      </c>
      <c r="G62" s="274">
        <f>PRCP_y5</f>
        <v>2012</v>
      </c>
      <c r="H62" s="776">
        <f>CRCP_y1</f>
        <v>2013</v>
      </c>
      <c r="I62" s="776">
        <f>CRCP_y2</f>
        <v>2014</v>
      </c>
      <c r="J62" s="776">
        <f>CRCP_y3</f>
        <v>2015</v>
      </c>
      <c r="K62" s="776">
        <f>CRCP_y4</f>
        <v>2016</v>
      </c>
      <c r="L62" s="776">
        <f>CRCP_y5</f>
        <v>2017</v>
      </c>
      <c r="M62" s="783">
        <f>CRCP_y6</f>
        <v>2018</v>
      </c>
      <c r="N62" s="65"/>
      <c r="O62" s="65"/>
      <c r="P62" s="65"/>
      <c r="Q62" s="65"/>
      <c r="R62" s="65"/>
      <c r="S62" s="65"/>
      <c r="T62" s="65"/>
      <c r="U62" s="65"/>
    </row>
    <row r="63" spans="2:21" ht="12.75" customHeight="1">
      <c r="B63" s="230" t="s">
        <v>154</v>
      </c>
      <c r="C63" s="777"/>
      <c r="D63" s="778"/>
      <c r="E63" s="778"/>
      <c r="F63" s="778"/>
      <c r="G63" s="779"/>
      <c r="H63" s="1101"/>
      <c r="I63" s="1102"/>
      <c r="J63" s="1102"/>
      <c r="K63" s="1102"/>
      <c r="L63" s="1102"/>
      <c r="M63" s="1103"/>
    </row>
    <row r="64" spans="2:21" ht="12.75" customHeight="1" outlineLevel="1">
      <c r="B64" s="231" t="s">
        <v>138</v>
      </c>
      <c r="C64" s="232" t="e">
        <f>#REF!</f>
        <v>#REF!</v>
      </c>
      <c r="D64" s="233" t="e">
        <f>#REF!</f>
        <v>#REF!</v>
      </c>
      <c r="E64" s="233" t="e">
        <f>#REF!</f>
        <v>#REF!</v>
      </c>
      <c r="F64" s="233" t="e">
        <f>#REF!</f>
        <v>#REF!</v>
      </c>
      <c r="G64" s="252" t="e">
        <f>#REF!</f>
        <v>#REF!</v>
      </c>
      <c r="H64" s="232" t="e">
        <f>#REF!</f>
        <v>#REF!</v>
      </c>
      <c r="I64" s="233" t="e">
        <f>#REF!</f>
        <v>#REF!</v>
      </c>
      <c r="J64" s="233" t="e">
        <f>#REF!</f>
        <v>#REF!</v>
      </c>
      <c r="K64" s="233" t="e">
        <f>#REF!</f>
        <v>#REF!</v>
      </c>
      <c r="L64" s="233" t="e">
        <f>#REF!</f>
        <v>#REF!</v>
      </c>
      <c r="M64" s="266"/>
      <c r="N64" s="132"/>
      <c r="O64" s="132"/>
      <c r="P64" s="132"/>
      <c r="Q64" s="132"/>
    </row>
    <row r="65" spans="1:17" outlineLevel="1">
      <c r="B65" s="231" t="s">
        <v>139</v>
      </c>
      <c r="C65" s="232" t="e">
        <f>#REF!</f>
        <v>#REF!</v>
      </c>
      <c r="D65" s="275" t="e">
        <f>#REF!</f>
        <v>#REF!</v>
      </c>
      <c r="E65" s="275" t="e">
        <f>#REF!</f>
        <v>#REF!</v>
      </c>
      <c r="F65" s="275" t="e">
        <f>#REF!</f>
        <v>#REF!</v>
      </c>
      <c r="G65" s="276" t="e">
        <f>#REF!</f>
        <v>#REF!</v>
      </c>
      <c r="H65" s="277" t="e">
        <f>#REF!</f>
        <v>#REF!</v>
      </c>
      <c r="I65" s="275" t="e">
        <f>#REF!</f>
        <v>#REF!</v>
      </c>
      <c r="J65" s="275" t="e">
        <f>#REF!</f>
        <v>#REF!</v>
      </c>
      <c r="K65" s="275" t="e">
        <f>#REF!</f>
        <v>#REF!</v>
      </c>
      <c r="L65" s="275" t="e">
        <f>#REF!</f>
        <v>#REF!</v>
      </c>
      <c r="M65" s="1104"/>
      <c r="N65" s="132"/>
      <c r="O65" s="132"/>
      <c r="P65" s="132"/>
      <c r="Q65" s="132"/>
    </row>
    <row r="66" spans="1:17">
      <c r="B66" s="231" t="s">
        <v>140</v>
      </c>
      <c r="C66" s="232" t="e">
        <f>#REF!</f>
        <v>#REF!</v>
      </c>
      <c r="D66" s="239" t="e">
        <f>#REF!</f>
        <v>#REF!</v>
      </c>
      <c r="E66" s="239" t="e">
        <f>#REF!</f>
        <v>#REF!</v>
      </c>
      <c r="F66" s="239" t="e">
        <f>#REF!</f>
        <v>#REF!</v>
      </c>
      <c r="G66" s="254" t="e">
        <f>#REF!</f>
        <v>#REF!</v>
      </c>
      <c r="H66" s="232" t="e">
        <f>#REF!</f>
        <v>#REF!</v>
      </c>
      <c r="I66" s="233" t="e">
        <f>#REF!</f>
        <v>#REF!</v>
      </c>
      <c r="J66" s="233" t="e">
        <f>#REF!</f>
        <v>#REF!</v>
      </c>
      <c r="K66" s="233" t="e">
        <f>#REF!</f>
        <v>#REF!</v>
      </c>
      <c r="L66" s="233" t="e">
        <f>#REF!</f>
        <v>#REF!</v>
      </c>
      <c r="M66" s="266"/>
      <c r="N66" s="132"/>
      <c r="O66" s="132"/>
      <c r="P66" s="132"/>
      <c r="Q66" s="132"/>
    </row>
    <row r="67" spans="1:17">
      <c r="B67" s="234" t="s">
        <v>155</v>
      </c>
      <c r="C67" s="235"/>
      <c r="D67" s="236"/>
      <c r="E67" s="236"/>
      <c r="F67" s="236"/>
      <c r="G67" s="253"/>
      <c r="H67" s="235"/>
      <c r="I67" s="236"/>
      <c r="J67" s="236"/>
      <c r="K67" s="236"/>
      <c r="L67" s="236"/>
      <c r="M67" s="267"/>
    </row>
    <row r="68" spans="1:17" s="69" customFormat="1" ht="15" customHeight="1" outlineLevel="1">
      <c r="A68" s="75"/>
      <c r="B68" s="231" t="s">
        <v>138</v>
      </c>
      <c r="C68" s="232">
        <f>'5. Mains augmentation'!G94</f>
        <v>4253447.8436774323</v>
      </c>
      <c r="D68" s="233">
        <f>'5. Mains augmentation'!H94</f>
        <v>4962355.8176236702</v>
      </c>
      <c r="E68" s="233">
        <f>'5. Mains augmentation'!I94</f>
        <v>14414462.136906855</v>
      </c>
      <c r="F68" s="233">
        <f>'5. Mains augmentation'!J94</f>
        <v>4174680.2910167393</v>
      </c>
      <c r="G68" s="252">
        <f>'5. Mains augmentation'!K94</f>
        <v>5645007.940683011</v>
      </c>
      <c r="H68" s="232">
        <f>'5. Mains augmentation'!L94</f>
        <v>7652888.2715749629</v>
      </c>
      <c r="I68" s="233">
        <f>'5. Mains augmentation'!M94</f>
        <v>6156363.639775807</v>
      </c>
      <c r="J68" s="233">
        <f>'5. Mains augmentation'!O94</f>
        <v>6021975.3183296993</v>
      </c>
      <c r="K68" s="233">
        <f>'5. Mains augmentation'!P94</f>
        <v>427707.67275170318</v>
      </c>
      <c r="L68" s="233" t="e">
        <f>'5. Mains augmentation'!#REF!</f>
        <v>#REF!</v>
      </c>
      <c r="M68" s="266">
        <f>'5. Mains augmentation'!Q94</f>
        <v>0</v>
      </c>
      <c r="N68" s="132"/>
      <c r="O68" s="132"/>
      <c r="P68" s="132"/>
      <c r="Q68" s="132"/>
    </row>
    <row r="69" spans="1:17" s="69" customFormat="1" ht="15" customHeight="1" outlineLevel="1">
      <c r="A69" s="75"/>
      <c r="B69" s="231" t="s">
        <v>139</v>
      </c>
      <c r="C69" s="232" t="e">
        <f>'5. Mains augmentation'!#REF!</f>
        <v>#REF!</v>
      </c>
      <c r="D69" s="275" t="e">
        <f>'5. Mains augmentation'!#REF!</f>
        <v>#REF!</v>
      </c>
      <c r="E69" s="275" t="e">
        <f>'5. Mains augmentation'!#REF!</f>
        <v>#REF!</v>
      </c>
      <c r="F69" s="275" t="e">
        <f>'5. Mains augmentation'!#REF!</f>
        <v>#REF!</v>
      </c>
      <c r="G69" s="276" t="e">
        <f>'5. Mains augmentation'!#REF!</f>
        <v>#REF!</v>
      </c>
      <c r="H69" s="277" t="e">
        <f>'5. Mains augmentation'!#REF!</f>
        <v>#REF!</v>
      </c>
      <c r="I69" s="275" t="e">
        <f>'5. Mains augmentation'!#REF!</f>
        <v>#REF!</v>
      </c>
      <c r="J69" s="275" t="e">
        <f>'5. Mains augmentation'!#REF!</f>
        <v>#REF!</v>
      </c>
      <c r="K69" s="275" t="e">
        <f>'5. Mains augmentation'!#REF!</f>
        <v>#REF!</v>
      </c>
      <c r="L69" s="275" t="e">
        <f>'5. Mains augmentation'!#REF!</f>
        <v>#REF!</v>
      </c>
      <c r="M69" s="1104" t="e">
        <f>'5. Mains augmentation'!#REF!</f>
        <v>#REF!</v>
      </c>
      <c r="N69" s="132"/>
      <c r="O69" s="132"/>
      <c r="P69" s="132"/>
      <c r="Q69" s="132"/>
    </row>
    <row r="70" spans="1:17" s="69" customFormat="1" ht="15" customHeight="1">
      <c r="A70" s="75"/>
      <c r="B70" s="231" t="s">
        <v>140</v>
      </c>
      <c r="C70" s="232" t="e">
        <f>'5. Mains augmentation'!#REF!</f>
        <v>#REF!</v>
      </c>
      <c r="D70" s="239" t="e">
        <f>'5. Mains augmentation'!#REF!</f>
        <v>#REF!</v>
      </c>
      <c r="E70" s="239" t="e">
        <f>'5. Mains augmentation'!#REF!</f>
        <v>#REF!</v>
      </c>
      <c r="F70" s="239" t="e">
        <f>'5. Mains augmentation'!#REF!</f>
        <v>#REF!</v>
      </c>
      <c r="G70" s="254" t="e">
        <f>'5. Mains augmentation'!#REF!</f>
        <v>#REF!</v>
      </c>
      <c r="H70" s="232" t="e">
        <f>'5. Mains augmentation'!#REF!</f>
        <v>#REF!</v>
      </c>
      <c r="I70" s="233" t="e">
        <f>'5. Mains augmentation'!#REF!</f>
        <v>#REF!</v>
      </c>
      <c r="J70" s="233" t="e">
        <f>'5. Mains augmentation'!#REF!</f>
        <v>#REF!</v>
      </c>
      <c r="K70" s="233" t="e">
        <f>'5. Mains augmentation'!#REF!</f>
        <v>#REF!</v>
      </c>
      <c r="L70" s="233" t="e">
        <f>'5. Mains augmentation'!#REF!</f>
        <v>#REF!</v>
      </c>
      <c r="M70" s="266" t="e">
        <f>'5. Mains augmentation'!#REF!</f>
        <v>#REF!</v>
      </c>
      <c r="N70" s="132"/>
      <c r="O70" s="132"/>
      <c r="P70" s="132"/>
      <c r="Q70" s="132"/>
    </row>
    <row r="71" spans="1:17" ht="12.75" customHeight="1">
      <c r="B71" s="234" t="s">
        <v>156</v>
      </c>
      <c r="C71" s="235"/>
      <c r="D71" s="236"/>
      <c r="E71" s="236"/>
      <c r="F71" s="236"/>
      <c r="G71" s="253"/>
      <c r="H71" s="235"/>
      <c r="I71" s="236"/>
      <c r="J71" s="236"/>
      <c r="K71" s="236"/>
      <c r="L71" s="236"/>
      <c r="M71" s="267"/>
    </row>
    <row r="72" spans="1:17" ht="15" customHeight="1" outlineLevel="2">
      <c r="B72" s="231" t="s">
        <v>138</v>
      </c>
      <c r="C72" s="232">
        <f>'6. Mains replacement'!W144</f>
        <v>23052637.078696206</v>
      </c>
      <c r="D72" s="233">
        <f>'6. Mains replacement'!X144</f>
        <v>22671927.240836192</v>
      </c>
      <c r="E72" s="233">
        <f>'6. Mains replacement'!Y144</f>
        <v>23315195.587565184</v>
      </c>
      <c r="F72" s="233">
        <f>'6. Mains replacement'!Z144</f>
        <v>23919080.157963831</v>
      </c>
      <c r="G72" s="252">
        <f>'6. Mains replacement'!AA144</f>
        <v>24798651.162674904</v>
      </c>
      <c r="H72" s="232">
        <f>'6. Mains replacement'!AC144</f>
        <v>13811982.561873391</v>
      </c>
      <c r="I72" s="233">
        <f>'6. Mains replacement'!AD144</f>
        <v>3946280.7319638263</v>
      </c>
      <c r="J72" s="233">
        <f>'6. Mains replacement'!AE144</f>
        <v>45601466.236026436</v>
      </c>
      <c r="K72" s="233">
        <f>'6. Mains replacement'!AG144</f>
        <v>27623965.123746783</v>
      </c>
      <c r="L72" s="233" t="e">
        <f>'6. Mains replacement'!#REF!</f>
        <v>#REF!</v>
      </c>
      <c r="M72" s="266"/>
      <c r="N72" s="132"/>
      <c r="O72" s="132"/>
      <c r="P72" s="132"/>
      <c r="Q72" s="132"/>
    </row>
    <row r="73" spans="1:17" ht="15" customHeight="1" outlineLevel="2">
      <c r="B73" s="231" t="s">
        <v>139</v>
      </c>
      <c r="C73" s="232" t="e">
        <f>'6. Mains replacement'!#REF!</f>
        <v>#REF!</v>
      </c>
      <c r="D73" s="275" t="e">
        <f>'6. Mains replacement'!#REF!</f>
        <v>#REF!</v>
      </c>
      <c r="E73" s="275" t="e">
        <f>'6. Mains replacement'!#REF!</f>
        <v>#REF!</v>
      </c>
      <c r="F73" s="275" t="e">
        <f>'6. Mains replacement'!#REF!</f>
        <v>#REF!</v>
      </c>
      <c r="G73" s="276" t="e">
        <f>'6. Mains replacement'!#REF!</f>
        <v>#REF!</v>
      </c>
      <c r="H73" s="277" t="e">
        <f>'6. Mains replacement'!#REF!</f>
        <v>#REF!</v>
      </c>
      <c r="I73" s="275" t="e">
        <f>'6. Mains replacement'!#REF!</f>
        <v>#REF!</v>
      </c>
      <c r="J73" s="275" t="e">
        <f>'6. Mains replacement'!#REF!</f>
        <v>#REF!</v>
      </c>
      <c r="K73" s="275" t="e">
        <f>'6. Mains replacement'!#REF!</f>
        <v>#REF!</v>
      </c>
      <c r="L73" s="275" t="e">
        <f>'6. Mains replacement'!#REF!</f>
        <v>#REF!</v>
      </c>
      <c r="M73" s="1104"/>
      <c r="N73" s="132"/>
      <c r="O73" s="132"/>
      <c r="P73" s="132"/>
      <c r="Q73" s="132"/>
    </row>
    <row r="74" spans="1:17" ht="12.75" customHeight="1">
      <c r="B74" s="231" t="s">
        <v>140</v>
      </c>
      <c r="C74" s="232">
        <f ca="1">'6. Mains replacement'!W146</f>
        <v>0</v>
      </c>
      <c r="D74" s="239">
        <f ca="1">'6. Mains replacement'!X146</f>
        <v>0</v>
      </c>
      <c r="E74" s="239">
        <f ca="1">'6. Mains replacement'!Y146</f>
        <v>0</v>
      </c>
      <c r="F74" s="239">
        <f ca="1">'6. Mains replacement'!Z146</f>
        <v>0</v>
      </c>
      <c r="G74" s="254">
        <f ca="1">'6. Mains replacement'!AA146</f>
        <v>0</v>
      </c>
      <c r="H74" s="232">
        <f ca="1">'6. Mains replacement'!AC146</f>
        <v>0</v>
      </c>
      <c r="I74" s="233">
        <f ca="1">'6. Mains replacement'!AD146</f>
        <v>0</v>
      </c>
      <c r="J74" s="233">
        <f ca="1">'6. Mains replacement'!AE146</f>
        <v>0</v>
      </c>
      <c r="K74" s="233">
        <f ca="1">'6. Mains replacement'!AG146</f>
        <v>0</v>
      </c>
      <c r="L74" s="233" t="e">
        <f>'6. Mains replacement'!#REF!</f>
        <v>#REF!</v>
      </c>
      <c r="M74" s="266"/>
      <c r="N74" s="132"/>
      <c r="O74" s="132"/>
      <c r="P74" s="132"/>
      <c r="Q74" s="132"/>
    </row>
    <row r="75" spans="1:17">
      <c r="B75" s="234" t="s">
        <v>157</v>
      </c>
      <c r="C75" s="235"/>
      <c r="D75" s="236"/>
      <c r="E75" s="236"/>
      <c r="F75" s="236"/>
      <c r="G75" s="253"/>
      <c r="H75" s="235"/>
      <c r="I75" s="236"/>
      <c r="J75" s="236"/>
      <c r="K75" s="236"/>
      <c r="L75" s="236"/>
      <c r="M75" s="267"/>
    </row>
    <row r="76" spans="1:17">
      <c r="B76" s="231" t="s">
        <v>138</v>
      </c>
      <c r="C76" s="232"/>
      <c r="D76" s="233"/>
      <c r="E76" s="233"/>
      <c r="F76" s="233"/>
      <c r="G76" s="252"/>
      <c r="H76" s="232"/>
      <c r="I76" s="233"/>
      <c r="J76" s="233"/>
      <c r="K76" s="233"/>
      <c r="L76" s="233"/>
      <c r="M76" s="266"/>
      <c r="N76" s="132"/>
      <c r="O76" s="132"/>
      <c r="P76" s="132"/>
      <c r="Q76" s="132"/>
    </row>
    <row r="77" spans="1:17">
      <c r="B77" s="231" t="s">
        <v>139</v>
      </c>
      <c r="C77" s="232"/>
      <c r="D77" s="275"/>
      <c r="E77" s="275"/>
      <c r="F77" s="275"/>
      <c r="G77" s="276"/>
      <c r="H77" s="277"/>
      <c r="I77" s="275"/>
      <c r="J77" s="275"/>
      <c r="K77" s="275"/>
      <c r="L77" s="275"/>
      <c r="M77" s="1104"/>
      <c r="N77" s="132"/>
      <c r="O77" s="132"/>
      <c r="P77" s="132"/>
      <c r="Q77" s="132"/>
    </row>
    <row r="78" spans="1:17">
      <c r="B78" s="231" t="s">
        <v>140</v>
      </c>
      <c r="C78" s="232"/>
      <c r="D78" s="239"/>
      <c r="E78" s="239"/>
      <c r="F78" s="239"/>
      <c r="G78" s="254"/>
      <c r="H78" s="232"/>
      <c r="I78" s="233"/>
      <c r="J78" s="233"/>
      <c r="K78" s="233"/>
      <c r="L78" s="233"/>
      <c r="M78" s="266"/>
      <c r="N78" s="132"/>
      <c r="O78" s="132"/>
      <c r="P78" s="132"/>
      <c r="Q78" s="132"/>
    </row>
    <row r="79" spans="1:17">
      <c r="B79" s="234" t="s">
        <v>158</v>
      </c>
      <c r="C79" s="235"/>
      <c r="D79" s="236"/>
      <c r="E79" s="236"/>
      <c r="F79" s="236"/>
      <c r="G79" s="253"/>
      <c r="H79" s="235"/>
      <c r="I79" s="236"/>
      <c r="J79" s="236"/>
      <c r="K79" s="236"/>
      <c r="L79" s="236"/>
      <c r="M79" s="267"/>
    </row>
    <row r="80" spans="1:17">
      <c r="B80" s="231" t="s">
        <v>138</v>
      </c>
      <c r="C80" s="232">
        <f>'8. Meter replacement'!D158</f>
        <v>2809376.0448980574</v>
      </c>
      <c r="D80" s="233">
        <f>'8. Meter replacement'!E158</f>
        <v>2323642.8034904492</v>
      </c>
      <c r="E80" s="233">
        <f>'8. Meter replacement'!F158</f>
        <v>2166107.6981690624</v>
      </c>
      <c r="F80" s="233">
        <f>'8. Meter replacement'!G158</f>
        <v>2271131.1017166534</v>
      </c>
      <c r="G80" s="252">
        <f>'8. Meter replacement'!H158</f>
        <v>2336770.7289338983</v>
      </c>
      <c r="H80" s="232">
        <f>'8. Meter replacement'!I158</f>
        <v>3720463.480942368</v>
      </c>
      <c r="I80" s="233">
        <f>'8. Meter replacement'!K158</f>
        <v>2616688.9808197892</v>
      </c>
      <c r="J80" s="233">
        <f>'8. Meter replacement'!L158</f>
        <v>2017654.3147471403</v>
      </c>
      <c r="K80" s="233">
        <f>'8. Meter replacement'!M158</f>
        <v>2302096.0141068469</v>
      </c>
      <c r="L80" s="233" t="e">
        <f>'8. Meter replacement'!#REF!</f>
        <v>#REF!</v>
      </c>
      <c r="M80" s="266">
        <f>'8. Meter replacement'!N158</f>
        <v>0</v>
      </c>
      <c r="N80" s="132"/>
      <c r="O80" s="132"/>
      <c r="P80" s="132"/>
      <c r="Q80" s="132"/>
    </row>
    <row r="81" spans="1:17">
      <c r="B81" s="231" t="s">
        <v>139</v>
      </c>
      <c r="C81" s="232" t="e">
        <f>'8. Meter replacement'!#REF!</f>
        <v>#REF!</v>
      </c>
      <c r="D81" s="275" t="e">
        <f>'8. Meter replacement'!#REF!</f>
        <v>#REF!</v>
      </c>
      <c r="E81" s="275" t="e">
        <f>'8. Meter replacement'!#REF!</f>
        <v>#REF!</v>
      </c>
      <c r="F81" s="275" t="e">
        <f>'8. Meter replacement'!#REF!</f>
        <v>#REF!</v>
      </c>
      <c r="G81" s="276" t="e">
        <f>'8. Meter replacement'!#REF!</f>
        <v>#REF!</v>
      </c>
      <c r="H81" s="277" t="e">
        <f>'8. Meter replacement'!#REF!</f>
        <v>#REF!</v>
      </c>
      <c r="I81" s="275" t="e">
        <f>'8. Meter replacement'!#REF!</f>
        <v>#REF!</v>
      </c>
      <c r="J81" s="275" t="e">
        <f>'8. Meter replacement'!#REF!</f>
        <v>#REF!</v>
      </c>
      <c r="K81" s="275" t="e">
        <f>'8. Meter replacement'!#REF!</f>
        <v>#REF!</v>
      </c>
      <c r="L81" s="275" t="e">
        <f>'8. Meter replacement'!#REF!</f>
        <v>#REF!</v>
      </c>
      <c r="M81" s="1104" t="e">
        <f>'8. Meter replacement'!#REF!</f>
        <v>#REF!</v>
      </c>
      <c r="N81" s="132"/>
      <c r="O81" s="132"/>
      <c r="P81" s="132"/>
      <c r="Q81" s="132"/>
    </row>
    <row r="82" spans="1:17">
      <c r="B82" s="231" t="s">
        <v>140</v>
      </c>
      <c r="C82" s="232" t="e">
        <f>'8. Meter replacement'!#REF!</f>
        <v>#REF!</v>
      </c>
      <c r="D82" s="239" t="e">
        <f>'8. Meter replacement'!#REF!</f>
        <v>#REF!</v>
      </c>
      <c r="E82" s="239" t="e">
        <f>'8. Meter replacement'!#REF!</f>
        <v>#REF!</v>
      </c>
      <c r="F82" s="239" t="e">
        <f>'8. Meter replacement'!#REF!</f>
        <v>#REF!</v>
      </c>
      <c r="G82" s="254" t="e">
        <f>'8. Meter replacement'!#REF!</f>
        <v>#REF!</v>
      </c>
      <c r="H82" s="232" t="e">
        <f>'8. Meter replacement'!#REF!</f>
        <v>#REF!</v>
      </c>
      <c r="I82" s="233" t="e">
        <f>'8. Meter replacement'!#REF!</f>
        <v>#REF!</v>
      </c>
      <c r="J82" s="233" t="e">
        <f>'8. Meter replacement'!#REF!</f>
        <v>#REF!</v>
      </c>
      <c r="K82" s="233" t="e">
        <f>'8. Meter replacement'!#REF!</f>
        <v>#REF!</v>
      </c>
      <c r="L82" s="233" t="e">
        <f>'8. Meter replacement'!#REF!</f>
        <v>#REF!</v>
      </c>
      <c r="M82" s="266" t="e">
        <f>'8. Meter replacement'!#REF!</f>
        <v>#REF!</v>
      </c>
      <c r="N82" s="132"/>
      <c r="O82" s="132"/>
      <c r="P82" s="132"/>
      <c r="Q82" s="132"/>
    </row>
    <row r="83" spans="1:17">
      <c r="B83" s="234" t="s">
        <v>58</v>
      </c>
      <c r="C83" s="235"/>
      <c r="D83" s="236"/>
      <c r="E83" s="236"/>
      <c r="F83" s="236"/>
      <c r="G83" s="253"/>
      <c r="H83" s="235"/>
      <c r="I83" s="236"/>
      <c r="J83" s="236"/>
      <c r="K83" s="236"/>
      <c r="L83" s="236"/>
      <c r="M83" s="267"/>
    </row>
    <row r="84" spans="1:17">
      <c r="B84" s="231" t="s">
        <v>138</v>
      </c>
      <c r="C84" s="278"/>
      <c r="D84" s="233"/>
      <c r="E84" s="233"/>
      <c r="F84" s="233"/>
      <c r="G84" s="252"/>
      <c r="H84" s="232"/>
      <c r="I84" s="233"/>
      <c r="J84" s="233"/>
      <c r="K84" s="233"/>
      <c r="L84" s="233"/>
      <c r="M84" s="266"/>
      <c r="N84" s="132"/>
      <c r="O84" s="132"/>
      <c r="P84" s="132"/>
      <c r="Q84" s="132"/>
    </row>
    <row r="85" spans="1:17" s="78" customFormat="1">
      <c r="B85" s="231" t="s">
        <v>139</v>
      </c>
      <c r="C85" s="278"/>
      <c r="D85" s="275"/>
      <c r="E85" s="275"/>
      <c r="F85" s="275"/>
      <c r="G85" s="276"/>
      <c r="H85" s="277"/>
      <c r="I85" s="275"/>
      <c r="J85" s="275"/>
      <c r="K85" s="275"/>
      <c r="L85" s="275"/>
      <c r="M85" s="1104"/>
      <c r="N85" s="132"/>
      <c r="O85" s="132"/>
      <c r="P85" s="132"/>
      <c r="Q85" s="132"/>
    </row>
    <row r="86" spans="1:17" ht="15" customHeight="1">
      <c r="A86" s="78"/>
      <c r="B86" s="231" t="s">
        <v>140</v>
      </c>
      <c r="C86" s="278"/>
      <c r="D86" s="239"/>
      <c r="E86" s="239"/>
      <c r="F86" s="239"/>
      <c r="G86" s="254"/>
      <c r="H86" s="232"/>
      <c r="I86" s="233"/>
      <c r="J86" s="233"/>
      <c r="K86" s="233"/>
      <c r="L86" s="233"/>
      <c r="M86" s="266"/>
      <c r="N86" s="131"/>
      <c r="O86" s="131"/>
      <c r="P86" s="131"/>
      <c r="Q86" s="131"/>
    </row>
    <row r="87" spans="1:17">
      <c r="B87" s="234" t="s">
        <v>277</v>
      </c>
      <c r="C87" s="235"/>
      <c r="D87" s="236"/>
      <c r="E87" s="236"/>
      <c r="F87" s="236"/>
      <c r="G87" s="253"/>
      <c r="H87" s="235"/>
      <c r="I87" s="236"/>
      <c r="J87" s="236"/>
      <c r="K87" s="236"/>
      <c r="L87" s="236"/>
      <c r="M87" s="267"/>
      <c r="N87" s="132"/>
      <c r="O87" s="132"/>
      <c r="P87" s="132"/>
      <c r="Q87" s="132"/>
    </row>
    <row r="88" spans="1:17" ht="12.75" customHeight="1">
      <c r="B88" s="231" t="s">
        <v>138</v>
      </c>
      <c r="C88" s="232">
        <f>'9. Other capex'!G164</f>
        <v>11460678.912130859</v>
      </c>
      <c r="D88" s="233">
        <f>'9. Other capex'!H164</f>
        <v>12944134.487240583</v>
      </c>
      <c r="E88" s="233">
        <f>'9. Other capex'!I164</f>
        <v>4660413.5324243465</v>
      </c>
      <c r="F88" s="233">
        <f>'9. Other capex'!J164</f>
        <v>6262020.4365251083</v>
      </c>
      <c r="G88" s="252">
        <f>'9. Other capex'!K164</f>
        <v>3807098.3786001713</v>
      </c>
      <c r="H88" s="232">
        <f>'9. Other capex'!M164</f>
        <v>5353396.9499117658</v>
      </c>
      <c r="I88" s="233">
        <f>'9. Other capex'!N164</f>
        <v>3675374.187792921</v>
      </c>
      <c r="J88" s="233">
        <f>'9. Other capex'!O164</f>
        <v>7480767.9263472771</v>
      </c>
      <c r="K88" s="233">
        <f>'9. Other capex'!P164</f>
        <v>4744983.2897425666</v>
      </c>
      <c r="L88" s="233" t="e">
        <f>'9. Other capex'!#REF!</f>
        <v>#REF!</v>
      </c>
      <c r="M88" s="266">
        <f>'9. Other capex'!Q164</f>
        <v>0</v>
      </c>
      <c r="N88" s="132"/>
      <c r="O88" s="132"/>
      <c r="P88" s="132"/>
      <c r="Q88" s="132"/>
    </row>
    <row r="89" spans="1:17">
      <c r="B89" s="231" t="s">
        <v>139</v>
      </c>
      <c r="C89" s="232" t="e">
        <f>'9. Other capex'!#REF!</f>
        <v>#REF!</v>
      </c>
      <c r="D89" s="275" t="e">
        <f>'9. Other capex'!#REF!</f>
        <v>#REF!</v>
      </c>
      <c r="E89" s="275" t="e">
        <f>'9. Other capex'!#REF!</f>
        <v>#REF!</v>
      </c>
      <c r="F89" s="275" t="e">
        <f>'9. Other capex'!#REF!</f>
        <v>#REF!</v>
      </c>
      <c r="G89" s="276" t="e">
        <f>'9. Other capex'!#REF!</f>
        <v>#REF!</v>
      </c>
      <c r="H89" s="277" t="e">
        <f>'9. Other capex'!#REF!</f>
        <v>#REF!</v>
      </c>
      <c r="I89" s="275" t="e">
        <f>'9. Other capex'!#REF!</f>
        <v>#REF!</v>
      </c>
      <c r="J89" s="275" t="e">
        <f>'9. Other capex'!#REF!</f>
        <v>#REF!</v>
      </c>
      <c r="K89" s="275" t="e">
        <f>'9. Other capex'!#REF!</f>
        <v>#REF!</v>
      </c>
      <c r="L89" s="275" t="e">
        <f>'9. Other capex'!#REF!</f>
        <v>#REF!</v>
      </c>
      <c r="M89" s="1104" t="e">
        <f>'9. Other capex'!#REF!</f>
        <v>#REF!</v>
      </c>
      <c r="N89" s="132"/>
      <c r="O89" s="132"/>
      <c r="P89" s="132"/>
      <c r="Q89" s="132"/>
    </row>
    <row r="90" spans="1:17" ht="15.75" customHeight="1">
      <c r="A90" s="78"/>
      <c r="B90" s="231" t="s">
        <v>140</v>
      </c>
      <c r="C90" s="232" t="e">
        <f>'9. Other capex'!#REF!</f>
        <v>#REF!</v>
      </c>
      <c r="D90" s="239" t="e">
        <f>'9. Other capex'!#REF!</f>
        <v>#REF!</v>
      </c>
      <c r="E90" s="239" t="e">
        <f>'9. Other capex'!#REF!</f>
        <v>#REF!</v>
      </c>
      <c r="F90" s="239" t="e">
        <f>'9. Other capex'!#REF!</f>
        <v>#REF!</v>
      </c>
      <c r="G90" s="254" t="e">
        <f>'9. Other capex'!#REF!</f>
        <v>#REF!</v>
      </c>
      <c r="H90" s="232" t="e">
        <f>'9. Other capex'!#REF!</f>
        <v>#REF!</v>
      </c>
      <c r="I90" s="233" t="e">
        <f>'9. Other capex'!#REF!</f>
        <v>#REF!</v>
      </c>
      <c r="J90" s="233" t="e">
        <f>'9. Other capex'!#REF!</f>
        <v>#REF!</v>
      </c>
      <c r="K90" s="233" t="e">
        <f>'9. Other capex'!#REF!</f>
        <v>#REF!</v>
      </c>
      <c r="L90" s="233" t="e">
        <f>'9. Other capex'!#REF!</f>
        <v>#REF!</v>
      </c>
      <c r="M90" s="266" t="e">
        <f>'9. Other capex'!#REF!</f>
        <v>#REF!</v>
      </c>
      <c r="N90" s="132"/>
      <c r="O90" s="132"/>
      <c r="P90" s="132"/>
      <c r="Q90" s="132"/>
    </row>
    <row r="91" spans="1:17">
      <c r="B91" s="234" t="s">
        <v>64</v>
      </c>
      <c r="C91" s="235"/>
      <c r="D91" s="236"/>
      <c r="E91" s="236"/>
      <c r="F91" s="236"/>
      <c r="G91" s="253"/>
      <c r="H91" s="235"/>
      <c r="I91" s="236"/>
      <c r="J91" s="236"/>
      <c r="K91" s="236"/>
      <c r="L91" s="236"/>
      <c r="M91" s="267"/>
      <c r="N91" s="132"/>
      <c r="O91" s="132"/>
      <c r="P91" s="132"/>
      <c r="Q91" s="132"/>
    </row>
    <row r="92" spans="1:17">
      <c r="B92" s="231" t="s">
        <v>138</v>
      </c>
      <c r="C92" s="232" t="e">
        <f>#REF!</f>
        <v>#REF!</v>
      </c>
      <c r="D92" s="233" t="e">
        <f>#REF!</f>
        <v>#REF!</v>
      </c>
      <c r="E92" s="233" t="e">
        <f>#REF!</f>
        <v>#REF!</v>
      </c>
      <c r="F92" s="233" t="e">
        <f>#REF!</f>
        <v>#REF!</v>
      </c>
      <c r="G92" s="252" t="e">
        <f>#REF!</f>
        <v>#REF!</v>
      </c>
      <c r="H92" s="232" t="e">
        <f>#REF!</f>
        <v>#REF!</v>
      </c>
      <c r="I92" s="233" t="e">
        <f>#REF!</f>
        <v>#REF!</v>
      </c>
      <c r="J92" s="233" t="e">
        <f>#REF!</f>
        <v>#REF!</v>
      </c>
      <c r="K92" s="233" t="e">
        <f>#REF!</f>
        <v>#REF!</v>
      </c>
      <c r="L92" s="233" t="e">
        <f>#REF!</f>
        <v>#REF!</v>
      </c>
      <c r="M92" s="266" t="e">
        <f>#REF!</f>
        <v>#REF!</v>
      </c>
      <c r="N92" s="132"/>
      <c r="O92" s="132"/>
      <c r="P92" s="132"/>
      <c r="Q92" s="132"/>
    </row>
    <row r="93" spans="1:17">
      <c r="B93" s="231" t="s">
        <v>139</v>
      </c>
      <c r="C93" s="232" t="e">
        <f>#REF!</f>
        <v>#REF!</v>
      </c>
      <c r="D93" s="275" t="e">
        <f>#REF!</f>
        <v>#REF!</v>
      </c>
      <c r="E93" s="275" t="e">
        <f>#REF!</f>
        <v>#REF!</v>
      </c>
      <c r="F93" s="275" t="e">
        <f>#REF!</f>
        <v>#REF!</v>
      </c>
      <c r="G93" s="276" t="e">
        <f>#REF!</f>
        <v>#REF!</v>
      </c>
      <c r="H93" s="277" t="e">
        <f>#REF!</f>
        <v>#REF!</v>
      </c>
      <c r="I93" s="275" t="e">
        <f>#REF!</f>
        <v>#REF!</v>
      </c>
      <c r="J93" s="275" t="e">
        <f>#REF!</f>
        <v>#REF!</v>
      </c>
      <c r="K93" s="275" t="e">
        <f>#REF!</f>
        <v>#REF!</v>
      </c>
      <c r="L93" s="275" t="e">
        <f>#REF!</f>
        <v>#REF!</v>
      </c>
      <c r="M93" s="1104" t="e">
        <f>#REF!</f>
        <v>#REF!</v>
      </c>
      <c r="N93" s="132"/>
      <c r="O93" s="132"/>
      <c r="P93" s="132"/>
      <c r="Q93" s="132"/>
    </row>
    <row r="94" spans="1:17">
      <c r="B94" s="231" t="s">
        <v>140</v>
      </c>
      <c r="C94" s="232" t="e">
        <f>#REF!</f>
        <v>#REF!</v>
      </c>
      <c r="D94" s="239" t="e">
        <f>#REF!</f>
        <v>#REF!</v>
      </c>
      <c r="E94" s="239" t="e">
        <f>#REF!</f>
        <v>#REF!</v>
      </c>
      <c r="F94" s="239" t="e">
        <f>#REF!</f>
        <v>#REF!</v>
      </c>
      <c r="G94" s="254" t="e">
        <f>#REF!</f>
        <v>#REF!</v>
      </c>
      <c r="H94" s="232" t="e">
        <f>#REF!</f>
        <v>#REF!</v>
      </c>
      <c r="I94" s="233" t="e">
        <f>#REF!</f>
        <v>#REF!</v>
      </c>
      <c r="J94" s="233" t="e">
        <f>#REF!</f>
        <v>#REF!</v>
      </c>
      <c r="K94" s="233" t="e">
        <f>#REF!</f>
        <v>#REF!</v>
      </c>
      <c r="L94" s="233" t="e">
        <f>#REF!</f>
        <v>#REF!</v>
      </c>
      <c r="M94" s="266" t="e">
        <f>#REF!</f>
        <v>#REF!</v>
      </c>
      <c r="N94" s="132"/>
      <c r="O94" s="132"/>
      <c r="P94" s="132"/>
      <c r="Q94" s="132"/>
    </row>
    <row r="95" spans="1:17">
      <c r="B95" s="234" t="s">
        <v>89</v>
      </c>
      <c r="C95" s="235"/>
      <c r="D95" s="236"/>
      <c r="E95" s="236"/>
      <c r="F95" s="236"/>
      <c r="G95" s="253"/>
      <c r="H95" s="235"/>
      <c r="I95" s="236"/>
      <c r="J95" s="236"/>
      <c r="K95" s="236"/>
      <c r="L95" s="236"/>
      <c r="M95" s="267"/>
      <c r="N95" s="132"/>
      <c r="O95" s="132"/>
      <c r="P95" s="132"/>
      <c r="Q95" s="132"/>
    </row>
    <row r="96" spans="1:17">
      <c r="B96" s="231" t="s">
        <v>134</v>
      </c>
      <c r="C96" s="232">
        <f>'14. Overheads'!C90</f>
        <v>0.79999999999999993</v>
      </c>
      <c r="D96" s="233">
        <f>'14. Overheads'!D90</f>
        <v>0.79999999999999993</v>
      </c>
      <c r="E96" s="233">
        <f>'14. Overheads'!E90</f>
        <v>0.79999999999999993</v>
      </c>
      <c r="F96" s="233">
        <f>'14. Overheads'!F90</f>
        <v>0.79999999999999993</v>
      </c>
      <c r="G96" s="252">
        <f>'14. Overheads'!G90</f>
        <v>0.79999999999999993</v>
      </c>
      <c r="H96" s="232">
        <f>'14. Overheads'!I90</f>
        <v>0.79999999999999993</v>
      </c>
      <c r="I96" s="233">
        <f>'14. Overheads'!J90</f>
        <v>0.79999999999999993</v>
      </c>
      <c r="J96" s="233">
        <f>'14. Overheads'!K90</f>
        <v>0.79999999999999993</v>
      </c>
      <c r="K96" s="233">
        <f>'14. Overheads'!L90</f>
        <v>0.79999999999999993</v>
      </c>
      <c r="L96" s="233" t="e">
        <f>'14. Overheads'!#REF!</f>
        <v>#REF!</v>
      </c>
      <c r="M96" s="266"/>
      <c r="N96" s="132"/>
      <c r="O96" s="132"/>
      <c r="P96" s="132"/>
      <c r="Q96" s="132"/>
    </row>
    <row r="97" spans="2:19">
      <c r="B97" s="234" t="s">
        <v>159</v>
      </c>
      <c r="C97" s="277"/>
      <c r="D97" s="275"/>
      <c r="E97" s="275"/>
      <c r="F97" s="275"/>
      <c r="G97" s="276"/>
      <c r="H97" s="277"/>
      <c r="I97" s="275"/>
      <c r="J97" s="275"/>
      <c r="K97" s="275"/>
      <c r="L97" s="275"/>
      <c r="M97" s="1104"/>
      <c r="N97" s="132"/>
      <c r="O97" s="132"/>
      <c r="P97" s="132"/>
      <c r="Q97" s="132"/>
    </row>
    <row r="98" spans="2:19" ht="13.5" thickBot="1">
      <c r="B98" s="237" t="s">
        <v>19</v>
      </c>
      <c r="C98" s="238">
        <f>'15. Related party transactions'!I138</f>
        <v>0</v>
      </c>
      <c r="D98" s="239">
        <f>'15. Related party transactions'!J138</f>
        <v>0</v>
      </c>
      <c r="E98" s="239">
        <f>'15. Related party transactions'!K138</f>
        <v>0</v>
      </c>
      <c r="F98" s="239">
        <f>'15. Related party transactions'!L138</f>
        <v>0</v>
      </c>
      <c r="G98" s="254">
        <f>'15. Related party transactions'!M138</f>
        <v>0</v>
      </c>
      <c r="H98" s="232">
        <f>'15. Related party transactions'!N138</f>
        <v>0</v>
      </c>
      <c r="I98" s="233">
        <f>'15. Related party transactions'!O138</f>
        <v>0</v>
      </c>
      <c r="J98" s="233">
        <f>'15. Related party transactions'!Q138</f>
        <v>0</v>
      </c>
      <c r="K98" s="233">
        <f>'15. Related party transactions'!R138</f>
        <v>0</v>
      </c>
      <c r="L98" s="233" t="e">
        <f>'15. Related party transactions'!#REF!</f>
        <v>#REF!</v>
      </c>
      <c r="M98" s="266">
        <f>'15. Related party transactions'!S138</f>
        <v>0</v>
      </c>
      <c r="N98" s="132"/>
      <c r="O98" s="132"/>
      <c r="P98" s="132"/>
      <c r="Q98" s="132"/>
    </row>
    <row r="99" spans="2:19">
      <c r="B99" s="279" t="s">
        <v>210</v>
      </c>
      <c r="C99" s="241" t="e">
        <f>SUM(C64,C68,C72,C76,C87,C80,C84,C92)</f>
        <v>#REF!</v>
      </c>
      <c r="D99" s="242" t="e">
        <f t="shared" ref="D99:L99" si="10">SUM(D64,D68,D72,D76,D87,D80,D84,D92)</f>
        <v>#REF!</v>
      </c>
      <c r="E99" s="242" t="e">
        <f t="shared" si="10"/>
        <v>#REF!</v>
      </c>
      <c r="F99" s="242" t="e">
        <f t="shared" si="10"/>
        <v>#REF!</v>
      </c>
      <c r="G99" s="255" t="e">
        <f t="shared" si="10"/>
        <v>#REF!</v>
      </c>
      <c r="H99" s="241" t="e">
        <f t="shared" si="10"/>
        <v>#REF!</v>
      </c>
      <c r="I99" s="242" t="e">
        <f t="shared" si="10"/>
        <v>#REF!</v>
      </c>
      <c r="J99" s="242" t="e">
        <f t="shared" si="10"/>
        <v>#REF!</v>
      </c>
      <c r="K99" s="242" t="e">
        <f t="shared" si="10"/>
        <v>#REF!</v>
      </c>
      <c r="L99" s="242" t="e">
        <f t="shared" si="10"/>
        <v>#REF!</v>
      </c>
      <c r="M99" s="269" t="e">
        <f t="shared" ref="M99" si="11">SUM(M64,M68,M72,M76,M87,M80,M84,M92)</f>
        <v>#REF!</v>
      </c>
      <c r="N99" s="132"/>
      <c r="O99" s="132"/>
      <c r="P99" s="132"/>
      <c r="Q99" s="132"/>
      <c r="R99" s="132"/>
      <c r="S99" s="132"/>
    </row>
    <row r="100" spans="2:19">
      <c r="B100" s="280" t="s">
        <v>144</v>
      </c>
      <c r="C100" s="244" t="e">
        <f>SUM(C65,C69,C73,C77,C88,C81,C85,C93)</f>
        <v>#REF!</v>
      </c>
      <c r="D100" s="245" t="e">
        <f t="shared" ref="D100:L100" si="12">SUM(D65,D69,D73,D77,D88,D81,D85,D93)</f>
        <v>#REF!</v>
      </c>
      <c r="E100" s="245" t="e">
        <f t="shared" si="12"/>
        <v>#REF!</v>
      </c>
      <c r="F100" s="245" t="e">
        <f t="shared" si="12"/>
        <v>#REF!</v>
      </c>
      <c r="G100" s="256" t="e">
        <f t="shared" si="12"/>
        <v>#REF!</v>
      </c>
      <c r="H100" s="244" t="e">
        <f t="shared" si="12"/>
        <v>#REF!</v>
      </c>
      <c r="I100" s="245" t="e">
        <f t="shared" si="12"/>
        <v>#REF!</v>
      </c>
      <c r="J100" s="245" t="e">
        <f t="shared" si="12"/>
        <v>#REF!</v>
      </c>
      <c r="K100" s="245" t="e">
        <f t="shared" si="12"/>
        <v>#REF!</v>
      </c>
      <c r="L100" s="245" t="e">
        <f t="shared" si="12"/>
        <v>#REF!</v>
      </c>
      <c r="M100" s="270" t="e">
        <f t="shared" ref="M100" si="13">SUM(M65,M69,M73,M77,M88,M81,M85,M93)</f>
        <v>#REF!</v>
      </c>
      <c r="N100" s="132"/>
      <c r="O100" s="132"/>
      <c r="P100" s="132"/>
      <c r="Q100" s="132"/>
    </row>
    <row r="101" spans="2:19">
      <c r="B101" s="280" t="s">
        <v>211</v>
      </c>
      <c r="C101" s="244" t="e">
        <f>SUM(C66,C70,C74,C78,C89,C82,C90,C94)</f>
        <v>#REF!</v>
      </c>
      <c r="D101" s="245" t="e">
        <f t="shared" ref="D101:L101" si="14">SUM(D66,D70,D74,D78,D89,D82,D90,D94)</f>
        <v>#REF!</v>
      </c>
      <c r="E101" s="245" t="e">
        <f t="shared" si="14"/>
        <v>#REF!</v>
      </c>
      <c r="F101" s="245" t="e">
        <f t="shared" si="14"/>
        <v>#REF!</v>
      </c>
      <c r="G101" s="256" t="e">
        <f t="shared" si="14"/>
        <v>#REF!</v>
      </c>
      <c r="H101" s="244" t="e">
        <f t="shared" si="14"/>
        <v>#REF!</v>
      </c>
      <c r="I101" s="245" t="e">
        <f t="shared" si="14"/>
        <v>#REF!</v>
      </c>
      <c r="J101" s="245" t="e">
        <f t="shared" si="14"/>
        <v>#REF!</v>
      </c>
      <c r="K101" s="245" t="e">
        <f t="shared" si="14"/>
        <v>#REF!</v>
      </c>
      <c r="L101" s="245" t="e">
        <f t="shared" si="14"/>
        <v>#REF!</v>
      </c>
      <c r="M101" s="270" t="e">
        <f t="shared" ref="M101" si="15">SUM(M66,M70,M74,M78,M89,M82,M90,M94)</f>
        <v>#REF!</v>
      </c>
      <c r="N101" s="132"/>
      <c r="O101" s="132"/>
      <c r="P101" s="132"/>
      <c r="Q101" s="132"/>
    </row>
    <row r="102" spans="2:19">
      <c r="B102" s="280" t="s">
        <v>212</v>
      </c>
      <c r="C102" s="244" t="e">
        <f t="shared" ref="C102" si="16">C101+C96</f>
        <v>#REF!</v>
      </c>
      <c r="D102" s="245" t="e">
        <f t="shared" ref="D102" si="17">D101+D96</f>
        <v>#REF!</v>
      </c>
      <c r="E102" s="245" t="e">
        <f t="shared" ref="E102" si="18">E101+E96</f>
        <v>#REF!</v>
      </c>
      <c r="F102" s="245" t="e">
        <f t="shared" ref="F102" si="19">F101+F96</f>
        <v>#REF!</v>
      </c>
      <c r="G102" s="256" t="e">
        <f t="shared" ref="G102" si="20">G101+G96</f>
        <v>#REF!</v>
      </c>
      <c r="H102" s="244" t="e">
        <f t="shared" ref="H102" si="21">H101+H96</f>
        <v>#REF!</v>
      </c>
      <c r="I102" s="245" t="e">
        <f t="shared" ref="I102" si="22">I101+I96</f>
        <v>#REF!</v>
      </c>
      <c r="J102" s="245" t="e">
        <f t="shared" ref="J102" si="23">J101+J96</f>
        <v>#REF!</v>
      </c>
      <c r="K102" s="245" t="e">
        <f t="shared" ref="K102" si="24">K101+K96</f>
        <v>#REF!</v>
      </c>
      <c r="L102" s="245" t="e">
        <f t="shared" ref="L102:M102" si="25">L101+L96</f>
        <v>#REF!</v>
      </c>
      <c r="M102" s="270" t="e">
        <f t="shared" si="25"/>
        <v>#REF!</v>
      </c>
      <c r="N102" s="132"/>
      <c r="O102" s="132"/>
      <c r="P102" s="132"/>
      <c r="Q102" s="132"/>
    </row>
    <row r="103" spans="2:19">
      <c r="B103" s="280" t="s">
        <v>213</v>
      </c>
      <c r="C103" s="244" t="e">
        <f t="shared" ref="C103" si="26">C102+C98</f>
        <v>#REF!</v>
      </c>
      <c r="D103" s="245" t="e">
        <f t="shared" ref="D103" si="27">D102+D98</f>
        <v>#REF!</v>
      </c>
      <c r="E103" s="245" t="e">
        <f t="shared" ref="E103" si="28">E102+E98</f>
        <v>#REF!</v>
      </c>
      <c r="F103" s="245" t="e">
        <f t="shared" ref="F103" si="29">F102+F98</f>
        <v>#REF!</v>
      </c>
      <c r="G103" s="256" t="e">
        <f t="shared" ref="G103" si="30">G102+G98</f>
        <v>#REF!</v>
      </c>
      <c r="H103" s="244" t="e">
        <f t="shared" ref="H103" si="31">H102+H98</f>
        <v>#REF!</v>
      </c>
      <c r="I103" s="245" t="e">
        <f t="shared" ref="I103" si="32">I102+I98</f>
        <v>#REF!</v>
      </c>
      <c r="J103" s="245" t="e">
        <f t="shared" ref="J103" si="33">J102+J98</f>
        <v>#REF!</v>
      </c>
      <c r="K103" s="245" t="e">
        <f t="shared" ref="K103" si="34">K102+K98</f>
        <v>#REF!</v>
      </c>
      <c r="L103" s="245" t="e">
        <f t="shared" ref="L103:M103" si="35">L102+L98</f>
        <v>#REF!</v>
      </c>
      <c r="M103" s="270" t="e">
        <f t="shared" si="35"/>
        <v>#REF!</v>
      </c>
      <c r="N103" s="132"/>
      <c r="O103" s="132"/>
      <c r="P103" s="132"/>
      <c r="Q103" s="132"/>
    </row>
    <row r="104" spans="2:19">
      <c r="B104" s="246" t="s">
        <v>141</v>
      </c>
      <c r="C104" s="247"/>
      <c r="D104" s="248"/>
      <c r="E104" s="248"/>
      <c r="F104" s="248"/>
      <c r="G104" s="257"/>
      <c r="H104" s="247"/>
      <c r="I104" s="483"/>
      <c r="J104" s="483"/>
      <c r="K104" s="483"/>
      <c r="L104" s="483"/>
      <c r="M104" s="484"/>
      <c r="N104" s="132"/>
      <c r="O104" s="132"/>
      <c r="P104" s="132"/>
      <c r="Q104" s="132"/>
    </row>
    <row r="105" spans="2:19" ht="13.5" thickBot="1">
      <c r="B105" s="281" t="s">
        <v>214</v>
      </c>
      <c r="C105" s="250" t="e">
        <f t="shared" ref="C105:L105" si="36">C103-C104</f>
        <v>#REF!</v>
      </c>
      <c r="D105" s="251" t="e">
        <f t="shared" si="36"/>
        <v>#REF!</v>
      </c>
      <c r="E105" s="251" t="e">
        <f t="shared" si="36"/>
        <v>#REF!</v>
      </c>
      <c r="F105" s="251" t="e">
        <f t="shared" si="36"/>
        <v>#REF!</v>
      </c>
      <c r="G105" s="258" t="e">
        <f t="shared" si="36"/>
        <v>#REF!</v>
      </c>
      <c r="H105" s="250" t="e">
        <f t="shared" si="36"/>
        <v>#REF!</v>
      </c>
      <c r="I105" s="251" t="e">
        <f t="shared" si="36"/>
        <v>#REF!</v>
      </c>
      <c r="J105" s="251" t="e">
        <f t="shared" si="36"/>
        <v>#REF!</v>
      </c>
      <c r="K105" s="251" t="e">
        <f t="shared" si="36"/>
        <v>#REF!</v>
      </c>
      <c r="L105" s="251" t="e">
        <f t="shared" si="36"/>
        <v>#REF!</v>
      </c>
      <c r="M105" s="272" t="e">
        <f t="shared" ref="M105" si="37">M103-M104</f>
        <v>#REF!</v>
      </c>
      <c r="N105" s="132"/>
      <c r="O105" s="132"/>
      <c r="P105" s="132"/>
      <c r="Q105" s="132"/>
    </row>
    <row r="106" spans="2:19">
      <c r="H106" s="145"/>
      <c r="I106" s="145"/>
      <c r="J106" s="145"/>
      <c r="K106" s="145"/>
      <c r="L106" s="145"/>
      <c r="M106" s="91"/>
      <c r="N106" s="91"/>
      <c r="O106" s="91"/>
      <c r="P106" s="91"/>
      <c r="Q106" s="91"/>
    </row>
  </sheetData>
  <mergeCells count="15">
    <mergeCell ref="B59:B62"/>
    <mergeCell ref="C59:G59"/>
    <mergeCell ref="H59:M59"/>
    <mergeCell ref="B6:G6"/>
    <mergeCell ref="B10:B11"/>
    <mergeCell ref="C10:G10"/>
    <mergeCell ref="H10:M10"/>
    <mergeCell ref="C61:M61"/>
    <mergeCell ref="H60:M60"/>
    <mergeCell ref="C60:G60"/>
    <mergeCell ref="N10:R10"/>
    <mergeCell ref="C11:K11"/>
    <mergeCell ref="L11:R11"/>
    <mergeCell ref="C12:K12"/>
    <mergeCell ref="L12:R12"/>
  </mergeCells>
  <pageMargins left="0.75" right="0.75" top="1" bottom="1" header="0.5" footer="0.5"/>
  <pageSetup paperSize="9" orientation="portrait" horizontalDpi="4294967293" r:id="rId1"/>
  <headerFooter alignWithMargins="0"/>
  <customProperties>
    <customPr name="layoutContexts" r:id="rId2"/>
    <customPr name="SaveUndoMode" r:id="rId3"/>
  </customProperties>
  <drawing r:id="rId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autoPageBreaks="0"/>
  </sheetPr>
  <dimension ref="A1:AR271"/>
  <sheetViews>
    <sheetView showGridLines="0" topLeftCell="A21" zoomScale="85" zoomScaleNormal="85" workbookViewId="0">
      <pane xSplit="2" ySplit="3" topLeftCell="G219" activePane="bottomRight" state="frozen"/>
      <selection activeCell="A21" sqref="A21"/>
      <selection pane="topRight" activeCell="C21" sqref="C21"/>
      <selection pane="bottomLeft" activeCell="A24" sqref="A24"/>
      <selection pane="bottomRight" activeCell="L235" sqref="L235"/>
    </sheetView>
  </sheetViews>
  <sheetFormatPr defaultRowHeight="12.75"/>
  <cols>
    <col min="1" max="1" width="16.28515625" customWidth="1"/>
    <col min="2" max="2" width="85.42578125" customWidth="1"/>
    <col min="3" max="17" width="13.7109375" customWidth="1"/>
    <col min="18" max="18" width="4.7109375" customWidth="1"/>
    <col min="19" max="23" width="13.7109375" customWidth="1"/>
    <col min="24" max="24" width="17" customWidth="1"/>
    <col min="25" max="29" width="13.7109375" customWidth="1"/>
    <col min="30" max="30" width="13.85546875" customWidth="1"/>
    <col min="34" max="41" width="13.7109375" style="1266" customWidth="1"/>
  </cols>
  <sheetData>
    <row r="1" spans="1:43" ht="20.25">
      <c r="A1" s="159"/>
      <c r="B1" s="2272" t="str">
        <f>IF(dms_DataQuality="backcast",INDEX(dms_Worksheet_List,MATCH(dms_Model,dms_Model_List))&amp;" BACKCAST",INDEX(dms_Worksheet_List,MATCH(dms_Model,dms_Model_List)))</f>
        <v>REGULATORY REPORTING STATEMENT</v>
      </c>
      <c r="C1" s="157"/>
      <c r="D1" s="157"/>
      <c r="E1" s="157"/>
      <c r="F1" s="157"/>
      <c r="G1" s="157"/>
      <c r="H1" s="157"/>
      <c r="I1" s="157"/>
      <c r="J1" s="157"/>
      <c r="K1" s="157"/>
      <c r="L1" s="157"/>
      <c r="M1" s="157"/>
      <c r="N1" s="157"/>
      <c r="O1" s="157"/>
      <c r="P1" s="157"/>
      <c r="Q1" s="157"/>
      <c r="R1" s="157"/>
      <c r="S1" s="157"/>
      <c r="T1" s="157"/>
      <c r="U1" s="157"/>
      <c r="V1" s="157"/>
      <c r="W1" s="157"/>
      <c r="X1" s="157"/>
      <c r="Y1" s="157"/>
      <c r="Z1" s="157"/>
      <c r="AA1" s="157"/>
      <c r="AB1" s="157"/>
      <c r="AC1" s="157"/>
      <c r="AD1" s="157"/>
      <c r="AE1" s="219"/>
      <c r="AF1" s="219"/>
      <c r="AG1" s="219"/>
      <c r="AH1" s="219"/>
      <c r="AI1" s="219"/>
      <c r="AJ1" s="219"/>
      <c r="AK1" s="219"/>
      <c r="AL1" s="219"/>
      <c r="AM1" s="219"/>
      <c r="AN1" s="219"/>
      <c r="AO1" s="219"/>
    </row>
    <row r="2" spans="1:43" ht="20.25">
      <c r="A2" s="159"/>
      <c r="B2" s="2277" t="str">
        <f>INDEX(dms_TradingNameFull_List,MATCH(dms_TradingName,dms_TradingName_List))</f>
        <v>Multinet Gas (DB No.1) Pty Ltd (ACN 086 026 986), Multinet Gas (DB No.2) Pty Ltd (ACN 086 230 122)</v>
      </c>
      <c r="C2" s="157"/>
      <c r="D2" s="157"/>
      <c r="E2" s="157"/>
      <c r="F2" s="157"/>
      <c r="G2" s="157"/>
      <c r="H2" s="157"/>
      <c r="I2" s="157"/>
      <c r="J2" s="157"/>
      <c r="K2" s="157"/>
      <c r="L2" s="157"/>
      <c r="M2" s="157"/>
      <c r="N2" s="157"/>
      <c r="O2" s="157"/>
      <c r="P2" s="157"/>
      <c r="Q2" s="157"/>
      <c r="R2" s="157"/>
      <c r="S2" s="157"/>
      <c r="T2" s="157"/>
      <c r="U2" s="157"/>
      <c r="V2" s="157"/>
      <c r="W2" s="157"/>
      <c r="X2" s="157"/>
      <c r="Y2" s="157"/>
      <c r="Z2" s="157"/>
      <c r="AA2" s="157"/>
      <c r="AB2" s="157"/>
      <c r="AC2" s="157"/>
      <c r="AD2" s="157"/>
      <c r="AE2" s="219"/>
      <c r="AF2" s="219"/>
      <c r="AG2" s="219"/>
      <c r="AH2" s="219"/>
      <c r="AI2" s="219"/>
      <c r="AJ2" s="219"/>
      <c r="AK2" s="219"/>
      <c r="AL2" s="219"/>
      <c r="AM2" s="219"/>
      <c r="AN2" s="219"/>
      <c r="AO2" s="219"/>
    </row>
    <row r="3" spans="1:43" ht="20.25">
      <c r="A3" s="159"/>
      <c r="B3" s="2277" t="str">
        <f ca="1">IF(SUM(dms_SingleYear_Model)&gt;0,CRY,CONCATENATE(FRCP_y1," to ",dms_MultiYear_FinalYear_Result))</f>
        <v>2018 to 2022</v>
      </c>
      <c r="C3" s="162" t="str">
        <f>CONCATENATE(LEFT(FRCP_y1,4),"-",LEFT(FRCP_y5,2),RIGHT(FRCP_y5,2))</f>
        <v>2018-2022</v>
      </c>
      <c r="D3" s="161"/>
      <c r="E3" s="161"/>
      <c r="F3" s="161"/>
      <c r="G3" s="161"/>
      <c r="H3" s="161"/>
      <c r="I3" s="161"/>
      <c r="J3" s="161"/>
      <c r="K3" s="161"/>
      <c r="L3" s="161"/>
      <c r="M3" s="161"/>
      <c r="N3" s="161"/>
      <c r="O3" s="161"/>
      <c r="P3" s="161"/>
      <c r="Q3" s="161"/>
      <c r="R3" s="161"/>
      <c r="S3" s="161"/>
      <c r="T3" s="161"/>
      <c r="U3" s="161"/>
      <c r="V3" s="161"/>
      <c r="W3" s="161"/>
      <c r="X3" s="161"/>
      <c r="Y3" s="161"/>
      <c r="Z3" s="161"/>
      <c r="AA3" s="161"/>
      <c r="AB3" s="161"/>
      <c r="AC3" s="161"/>
      <c r="AD3" s="161"/>
      <c r="AE3" s="1265"/>
      <c r="AF3" s="1265"/>
      <c r="AG3" s="1265"/>
      <c r="AH3" s="1265"/>
      <c r="AI3" s="1265"/>
      <c r="AJ3" s="1265"/>
      <c r="AK3" s="1265"/>
      <c r="AL3" s="1265"/>
      <c r="AM3" s="1265"/>
      <c r="AN3" s="1265"/>
      <c r="AO3" s="1265"/>
    </row>
    <row r="4" spans="1:43" ht="20.25">
      <c r="A4" s="159"/>
      <c r="B4" s="10" t="s">
        <v>447</v>
      </c>
      <c r="C4" s="12"/>
      <c r="D4" s="12"/>
      <c r="E4" s="12"/>
      <c r="F4" s="12"/>
      <c r="G4" s="12"/>
      <c r="H4" s="12"/>
      <c r="I4" s="12"/>
      <c r="J4" s="12"/>
      <c r="K4" s="12"/>
      <c r="L4" s="12"/>
      <c r="M4" s="12"/>
      <c r="N4" s="12"/>
      <c r="O4" s="12"/>
      <c r="P4" s="12"/>
      <c r="Q4" s="12"/>
      <c r="R4" s="12"/>
      <c r="S4" s="12"/>
      <c r="T4" s="12"/>
      <c r="U4" s="12"/>
      <c r="V4" s="12"/>
      <c r="W4" s="12"/>
      <c r="X4" s="12"/>
      <c r="Y4" s="12"/>
      <c r="Z4" s="12"/>
      <c r="AA4" s="12"/>
      <c r="AB4" s="12"/>
      <c r="AC4" s="12"/>
      <c r="AD4" s="12"/>
      <c r="AE4" s="12"/>
      <c r="AF4" s="12"/>
      <c r="AG4" s="12"/>
      <c r="AH4" s="12"/>
      <c r="AI4" s="12"/>
      <c r="AJ4" s="12"/>
      <c r="AK4" s="12"/>
      <c r="AL4" s="12"/>
      <c r="AM4" s="12"/>
      <c r="AN4" s="12"/>
      <c r="AO4" s="12"/>
    </row>
    <row r="5" spans="1:43">
      <c r="A5" s="1268"/>
      <c r="B5" s="1268"/>
      <c r="C5" s="1268"/>
      <c r="D5" s="1268"/>
      <c r="E5" s="1268"/>
      <c r="F5" s="1268"/>
      <c r="G5" s="1268"/>
      <c r="H5" s="1268"/>
      <c r="I5" s="1268"/>
      <c r="J5" s="1268"/>
      <c r="K5" s="1268"/>
      <c r="L5" s="1268"/>
      <c r="M5" s="1268"/>
      <c r="N5" s="1268"/>
      <c r="O5" s="1268"/>
      <c r="P5" s="1268"/>
      <c r="Q5" s="1268"/>
      <c r="R5" s="1268"/>
      <c r="S5" s="1268"/>
      <c r="T5" s="1268"/>
      <c r="U5" s="1268"/>
      <c r="V5" s="1268"/>
      <c r="W5" s="1268"/>
      <c r="X5" s="1268"/>
      <c r="Y5" s="1268"/>
      <c r="Z5" s="1268"/>
      <c r="AA5" s="1268"/>
      <c r="AB5" s="1268"/>
      <c r="AC5" s="1268"/>
      <c r="AH5"/>
      <c r="AI5"/>
      <c r="AJ5"/>
      <c r="AK5"/>
      <c r="AL5"/>
      <c r="AM5"/>
      <c r="AN5"/>
      <c r="AO5"/>
    </row>
    <row r="6" spans="1:43">
      <c r="A6" s="1268"/>
      <c r="B6" s="1268"/>
      <c r="C6" s="1268"/>
      <c r="D6" s="1268"/>
      <c r="E6" s="1268"/>
      <c r="F6" s="1268"/>
      <c r="G6" s="1268"/>
      <c r="H6" s="1268"/>
      <c r="I6" s="1268"/>
      <c r="J6" s="1268"/>
      <c r="K6" s="1268"/>
      <c r="L6" s="1268"/>
      <c r="M6" s="1268"/>
      <c r="N6" s="1268"/>
      <c r="O6" s="1268"/>
      <c r="P6" s="1268"/>
      <c r="Q6" s="1268"/>
      <c r="R6" s="1268"/>
      <c r="S6" s="1268"/>
      <c r="T6" s="1268"/>
      <c r="U6" s="1268"/>
      <c r="V6" s="1268"/>
      <c r="W6" s="1268"/>
      <c r="X6" s="1268"/>
      <c r="Y6" s="1268"/>
      <c r="Z6" s="1268"/>
      <c r="AA6" s="1268"/>
      <c r="AB6" s="1268"/>
      <c r="AC6" s="1268"/>
      <c r="AH6"/>
      <c r="AI6"/>
      <c r="AJ6"/>
      <c r="AK6"/>
      <c r="AL6"/>
      <c r="AM6"/>
      <c r="AN6"/>
      <c r="AO6"/>
    </row>
    <row r="7" spans="1:43" ht="50.25" customHeight="1">
      <c r="A7" s="299"/>
      <c r="B7" s="4163" t="s">
        <v>455</v>
      </c>
      <c r="C7" s="4163"/>
      <c r="D7" s="4163"/>
      <c r="E7" s="4163"/>
      <c r="F7" s="4163"/>
      <c r="G7" s="299"/>
      <c r="H7" s="299"/>
      <c r="I7" s="299"/>
      <c r="J7" s="299"/>
      <c r="K7" s="299"/>
      <c r="L7" s="299"/>
      <c r="M7" s="299"/>
      <c r="N7" s="299"/>
      <c r="O7" s="299"/>
      <c r="P7" s="299"/>
      <c r="Q7" s="299"/>
      <c r="R7" s="1268"/>
      <c r="S7" s="299"/>
      <c r="T7" s="299"/>
      <c r="U7" s="299"/>
      <c r="V7" s="299"/>
      <c r="W7" s="299"/>
      <c r="X7" s="299"/>
      <c r="Y7" s="299"/>
      <c r="Z7" s="299"/>
      <c r="AA7" s="299"/>
      <c r="AB7" s="299"/>
      <c r="AC7" s="299"/>
      <c r="AD7" s="299"/>
      <c r="AH7"/>
      <c r="AI7"/>
      <c r="AJ7"/>
      <c r="AK7"/>
      <c r="AL7" s="299"/>
      <c r="AM7" s="299"/>
      <c r="AN7" s="299"/>
      <c r="AO7" s="299"/>
    </row>
    <row r="8" spans="1:43" ht="20.25" customHeight="1">
      <c r="A8" s="299"/>
      <c r="B8" s="4163" t="s">
        <v>1354</v>
      </c>
      <c r="C8" s="4163"/>
      <c r="D8" s="4163"/>
      <c r="E8" s="4163"/>
      <c r="F8" s="4163"/>
      <c r="G8" s="299"/>
      <c r="H8" s="299"/>
      <c r="I8" s="299"/>
      <c r="J8" s="299"/>
      <c r="K8" s="299"/>
      <c r="L8" s="299"/>
      <c r="M8" s="299"/>
      <c r="N8" s="299"/>
      <c r="O8" s="299"/>
      <c r="P8" s="299"/>
      <c r="Q8" s="299"/>
      <c r="R8" s="1268"/>
      <c r="S8" s="299"/>
      <c r="T8" s="299"/>
      <c r="U8" s="299"/>
      <c r="V8" s="299"/>
      <c r="W8" s="299"/>
      <c r="X8" s="299"/>
      <c r="Y8" s="299"/>
      <c r="Z8" s="299"/>
      <c r="AA8" s="299"/>
      <c r="AB8" s="299"/>
      <c r="AC8" s="299"/>
      <c r="AD8" s="299"/>
      <c r="AH8"/>
      <c r="AI8"/>
      <c r="AJ8"/>
      <c r="AK8"/>
      <c r="AL8" s="299"/>
      <c r="AM8" s="299"/>
      <c r="AN8" s="299"/>
      <c r="AO8" s="299"/>
    </row>
    <row r="9" spans="1:43" ht="42" customHeight="1">
      <c r="A9" s="299"/>
      <c r="B9" s="4163" t="str">
        <f>CONCATENATE("As set out in cl.6.1 of the ",dms_TradingName," RIN, for tables 4.1 to 4.3, where the requested data is captured in the ", dms_TradingName," capex model it is not required to be reentered in the RIN template tables.  If the requested data has not been provided in the  ",dms_TradingName,"  RIN please enter into the tables. This may require the insertion of new lines in each table.")</f>
        <v>As set out in cl.6.1 of the Multinet Gas RIN, for tables 4.1 to 4.3, where the requested data is captured in the Multinet Gas capex model it is not required to be reentered in the RIN template tables.  If the requested data has not been provided in the  Multinet Gas  RIN please enter into the tables. This may require the insertion of new lines in each table.</v>
      </c>
      <c r="C9" s="4163"/>
      <c r="D9" s="4163"/>
      <c r="E9" s="4163"/>
      <c r="F9" s="4163"/>
      <c r="G9" s="299"/>
      <c r="H9" s="299"/>
      <c r="I9" s="299"/>
      <c r="J9" s="299"/>
      <c r="K9" s="299"/>
      <c r="L9" s="299"/>
      <c r="M9" s="299"/>
      <c r="N9" s="299"/>
      <c r="O9" s="299"/>
      <c r="P9" s="299"/>
      <c r="Q9" s="299"/>
      <c r="R9" s="1268"/>
      <c r="S9" s="299"/>
      <c r="T9" s="299"/>
      <c r="U9" s="299"/>
      <c r="V9" s="299"/>
      <c r="W9" s="299"/>
      <c r="X9" s="299"/>
      <c r="Y9" s="299"/>
      <c r="Z9" s="299"/>
      <c r="AA9" s="299"/>
      <c r="AB9" s="299"/>
      <c r="AC9" s="299"/>
      <c r="AD9" s="299"/>
      <c r="AH9"/>
      <c r="AI9"/>
      <c r="AJ9"/>
      <c r="AK9"/>
      <c r="AL9" s="299"/>
      <c r="AM9" s="299"/>
      <c r="AN9" s="299"/>
      <c r="AO9" s="299"/>
    </row>
    <row r="10" spans="1:43" ht="42" customHeight="1">
      <c r="A10" s="299"/>
      <c r="B10" s="4163" t="s">
        <v>445</v>
      </c>
      <c r="C10" s="4163"/>
      <c r="D10" s="4163"/>
      <c r="E10" s="4163"/>
      <c r="F10" s="4163"/>
      <c r="G10" s="299"/>
      <c r="H10" s="299"/>
      <c r="I10" s="299"/>
      <c r="J10" s="299"/>
      <c r="K10" s="299"/>
      <c r="L10" s="299"/>
      <c r="M10" s="299"/>
      <c r="N10" s="299"/>
      <c r="O10" s="299"/>
      <c r="P10" s="299"/>
      <c r="Q10" s="299"/>
      <c r="R10" s="1268"/>
      <c r="S10" s="299"/>
      <c r="T10" s="299"/>
      <c r="U10" s="299"/>
      <c r="V10" s="299"/>
      <c r="W10" s="299"/>
      <c r="X10" s="299"/>
      <c r="Y10" s="299"/>
      <c r="Z10" s="299"/>
      <c r="AA10" s="299"/>
      <c r="AB10" s="299"/>
      <c r="AC10" s="299"/>
      <c r="AD10" s="299"/>
      <c r="AH10"/>
      <c r="AI10"/>
      <c r="AJ10"/>
      <c r="AK10"/>
      <c r="AL10" s="299"/>
      <c r="AM10" s="299"/>
      <c r="AN10" s="299"/>
      <c r="AO10" s="299"/>
    </row>
    <row r="11" spans="1:43" ht="42" customHeight="1">
      <c r="A11" s="299"/>
      <c r="B11" s="4163" t="str">
        <f>CONCATENATE("Subject to cl.6.1 of the ", dms_TradingName, " RIN, where linked/adjustable overhead expenditure and related party margin expenditure is not provided in the ", dms_TradingName, " capex model, overhead expenditure and related party margin expenditure should be linked to allocations derived in tabs '14. Overheads' and '15. Related party transactions'.")</f>
        <v>Subject to cl.6.1 of the Multinet Gas RIN, where linked/adjustable overhead expenditure and related party margin expenditure is not provided in the Multinet Gas capex model, overhead expenditure and related party margin expenditure should be linked to allocations derived in tabs '14. Overheads' and '15. Related party transactions'.</v>
      </c>
      <c r="C11" s="4163"/>
      <c r="D11" s="4163"/>
      <c r="E11" s="4163"/>
      <c r="F11" s="4163"/>
      <c r="G11" s="299"/>
      <c r="H11" s="299"/>
      <c r="I11" s="299"/>
      <c r="J11" s="299"/>
      <c r="K11" s="299"/>
      <c r="L11" s="299"/>
      <c r="M11" s="299"/>
      <c r="N11" s="299"/>
      <c r="O11" s="299"/>
      <c r="P11" s="299"/>
      <c r="Q11" s="299"/>
      <c r="R11" s="1268"/>
      <c r="S11" s="299"/>
      <c r="T11" s="299"/>
      <c r="U11" s="299"/>
      <c r="V11" s="299"/>
      <c r="W11" s="299"/>
      <c r="X11" s="299"/>
      <c r="Y11" s="299"/>
      <c r="Z11" s="299"/>
      <c r="AA11" s="299"/>
      <c r="AB11" s="299"/>
      <c r="AC11" s="299"/>
      <c r="AD11" s="299"/>
      <c r="AH11"/>
      <c r="AI11"/>
      <c r="AJ11"/>
      <c r="AK11"/>
      <c r="AL11" s="299"/>
      <c r="AM11" s="299"/>
      <c r="AN11" s="299"/>
      <c r="AO11" s="299"/>
    </row>
    <row r="12" spans="1:43" ht="42" customHeight="1">
      <c r="A12" s="299"/>
      <c r="B12" s="4163" t="s">
        <v>161</v>
      </c>
      <c r="C12" s="4163"/>
      <c r="D12" s="4163"/>
      <c r="E12" s="4163"/>
      <c r="F12" s="4163"/>
      <c r="G12" s="299"/>
      <c r="H12" s="299"/>
      <c r="I12" s="299"/>
      <c r="J12" s="299"/>
      <c r="K12" s="299"/>
      <c r="L12" s="299"/>
      <c r="M12" s="299"/>
      <c r="N12" s="299"/>
      <c r="O12" s="299"/>
      <c r="P12" s="299"/>
      <c r="Q12" s="299"/>
      <c r="R12" s="1268"/>
      <c r="S12" s="299"/>
      <c r="T12" s="299"/>
      <c r="U12" s="299"/>
      <c r="V12" s="299"/>
      <c r="W12" s="299"/>
      <c r="X12" s="299"/>
      <c r="Y12" s="299"/>
      <c r="Z12" s="299"/>
      <c r="AA12" s="299"/>
      <c r="AB12" s="299"/>
      <c r="AC12" s="299"/>
      <c r="AD12" s="299"/>
      <c r="AH12"/>
      <c r="AI12"/>
      <c r="AJ12"/>
      <c r="AK12"/>
      <c r="AL12" s="299"/>
      <c r="AM12" s="299"/>
      <c r="AN12" s="299"/>
      <c r="AO12" s="299"/>
    </row>
    <row r="13" spans="1:43" ht="33.75" customHeight="1">
      <c r="A13" s="299"/>
      <c r="B13" s="4163" t="s">
        <v>602</v>
      </c>
      <c r="C13" s="4163"/>
      <c r="D13" s="4163"/>
      <c r="E13" s="4163"/>
      <c r="F13" s="4163"/>
      <c r="G13" s="299"/>
      <c r="H13" s="299"/>
      <c r="I13" s="299"/>
      <c r="J13" s="299"/>
      <c r="K13" s="299"/>
      <c r="L13" s="299"/>
      <c r="M13" s="299"/>
      <c r="N13" s="299"/>
      <c r="O13" s="299"/>
      <c r="P13" s="299"/>
      <c r="Q13" s="299"/>
      <c r="R13" s="1268"/>
      <c r="S13" s="299"/>
      <c r="T13" s="299"/>
      <c r="U13" s="299"/>
      <c r="V13" s="299"/>
      <c r="W13" s="299"/>
      <c r="X13" s="299"/>
      <c r="Y13" s="299"/>
      <c r="Z13" s="299"/>
      <c r="AA13" s="299"/>
      <c r="AB13" s="299"/>
      <c r="AC13" s="299"/>
      <c r="AD13" s="299"/>
      <c r="AH13"/>
      <c r="AI13"/>
      <c r="AJ13"/>
      <c r="AK13"/>
      <c r="AL13" s="299"/>
      <c r="AM13" s="299"/>
      <c r="AN13" s="299"/>
      <c r="AO13" s="299"/>
    </row>
    <row r="14" spans="1:43">
      <c r="A14" s="1268"/>
      <c r="B14" s="1268"/>
      <c r="C14" s="1268"/>
      <c r="D14" s="1268"/>
      <c r="E14" s="1268"/>
      <c r="F14" s="1268"/>
      <c r="G14" s="1268"/>
      <c r="H14" s="1268"/>
      <c r="I14" s="1268"/>
      <c r="J14" s="1268"/>
      <c r="K14" s="1268"/>
      <c r="L14" s="1268"/>
      <c r="M14" s="1268"/>
      <c r="N14" s="1268"/>
      <c r="O14" s="1268"/>
      <c r="P14" s="1268"/>
      <c r="Q14" s="1268"/>
      <c r="R14" s="1268"/>
      <c r="S14" s="1268"/>
      <c r="T14" s="1268"/>
      <c r="U14" s="1268"/>
      <c r="V14" s="1268"/>
      <c r="W14" s="1268"/>
      <c r="X14" s="1268"/>
      <c r="Y14" s="1268"/>
      <c r="Z14" s="1268"/>
      <c r="AA14" s="1268"/>
      <c r="AB14" s="1268"/>
      <c r="AC14" s="1268"/>
      <c r="AD14" s="1268"/>
      <c r="AH14" s="1268"/>
      <c r="AI14" s="1268"/>
      <c r="AJ14" s="1268"/>
      <c r="AK14" s="1268"/>
      <c r="AL14" s="1268"/>
      <c r="AM14" s="1268"/>
      <c r="AN14" s="1268"/>
      <c r="AO14" s="1268"/>
    </row>
    <row r="15" spans="1:43" ht="13.5" thickBot="1">
      <c r="A15" s="1268"/>
      <c r="B15" s="1268"/>
      <c r="C15" s="1268"/>
      <c r="D15" s="1268"/>
      <c r="E15" s="1268"/>
      <c r="F15" s="1268"/>
      <c r="G15" s="1268"/>
      <c r="H15" s="1268"/>
      <c r="I15" s="1268"/>
      <c r="J15" s="1268"/>
      <c r="K15" s="1268"/>
      <c r="L15" s="1268"/>
      <c r="M15" s="1268"/>
      <c r="N15" s="1268"/>
      <c r="O15" s="1268"/>
      <c r="P15" s="1268"/>
      <c r="Q15" s="1268"/>
      <c r="R15" s="1268"/>
      <c r="S15" s="1268"/>
      <c r="T15" s="1268"/>
      <c r="U15" s="1268"/>
      <c r="V15" s="1268"/>
      <c r="W15" s="1268"/>
      <c r="X15" s="1268"/>
      <c r="Y15" s="1268"/>
      <c r="Z15" s="1268"/>
      <c r="AA15" s="1268"/>
      <c r="AB15" s="1268"/>
      <c r="AC15" s="1268"/>
      <c r="AD15" s="1268"/>
      <c r="AH15" s="1268"/>
      <c r="AI15" s="1268"/>
      <c r="AJ15" s="1268"/>
      <c r="AK15" s="1268"/>
      <c r="AL15" s="1268"/>
      <c r="AM15" s="1268"/>
      <c r="AN15" s="1268"/>
      <c r="AO15" s="1268"/>
    </row>
    <row r="16" spans="1:43" s="227" customFormat="1" ht="36.75" customHeight="1" thickBot="1">
      <c r="A16" s="865"/>
      <c r="B16" s="769" t="s">
        <v>503</v>
      </c>
      <c r="C16" s="769"/>
      <c r="D16" s="769"/>
      <c r="E16" s="769"/>
      <c r="F16" s="769"/>
      <c r="G16" s="769"/>
      <c r="H16" s="769"/>
      <c r="I16" s="769"/>
      <c r="J16" s="769"/>
      <c r="K16" s="769"/>
      <c r="L16" s="769"/>
      <c r="M16" s="769"/>
      <c r="N16" s="769"/>
      <c r="O16" s="769"/>
      <c r="P16" s="769"/>
      <c r="Q16" s="1303"/>
      <c r="R16" s="1268"/>
      <c r="S16" s="769"/>
      <c r="T16" s="769"/>
      <c r="U16" s="769"/>
      <c r="V16" s="769"/>
      <c r="W16" s="769"/>
      <c r="X16" s="769"/>
      <c r="Y16" s="769"/>
      <c r="Z16" s="769"/>
      <c r="AA16" s="769"/>
      <c r="AB16" s="769"/>
      <c r="AC16" s="769"/>
      <c r="AD16" s="769"/>
      <c r="AE16"/>
      <c r="AG16"/>
      <c r="AH16"/>
      <c r="AI16"/>
      <c r="AJ16"/>
      <c r="AK16"/>
      <c r="AL16"/>
      <c r="AM16"/>
      <c r="AN16"/>
      <c r="AO16"/>
      <c r="AP16"/>
      <c r="AQ16"/>
    </row>
    <row r="17" spans="1:44" s="227" customFormat="1" ht="36.75" customHeight="1" thickBot="1">
      <c r="A17" s="865"/>
      <c r="B17" s="1367" t="s">
        <v>354</v>
      </c>
      <c r="C17" s="1370"/>
      <c r="D17" s="1370"/>
      <c r="E17" s="1370"/>
      <c r="F17" s="1370"/>
      <c r="G17" s="1370"/>
      <c r="H17" s="1370"/>
      <c r="I17" s="1370"/>
      <c r="J17" s="1370"/>
      <c r="K17" s="1370"/>
      <c r="L17" s="1370"/>
      <c r="M17" s="1370"/>
      <c r="N17" s="1370"/>
      <c r="O17" s="1370"/>
      <c r="P17" s="1370"/>
      <c r="Q17" s="1371"/>
      <c r="R17" s="1268"/>
      <c r="S17" s="1943"/>
      <c r="T17" s="1944"/>
      <c r="U17" s="1944"/>
      <c r="V17" s="1944"/>
      <c r="W17" s="1944"/>
      <c r="X17" s="1944"/>
      <c r="Y17" s="1944"/>
      <c r="Z17" s="1944"/>
      <c r="AA17" s="1944"/>
      <c r="AB17" s="1944"/>
      <c r="AC17" s="1944"/>
      <c r="AD17" s="1944"/>
      <c r="AE17"/>
      <c r="AG17"/>
      <c r="AH17"/>
      <c r="AI17"/>
      <c r="AJ17"/>
      <c r="AK17"/>
      <c r="AL17"/>
      <c r="AM17"/>
      <c r="AN17"/>
      <c r="AO17"/>
      <c r="AP17"/>
      <c r="AQ17"/>
      <c r="AR17"/>
    </row>
    <row r="18" spans="1:44" ht="18" customHeight="1">
      <c r="A18" s="1268"/>
      <c r="B18" s="1042"/>
      <c r="C18" s="4164" t="s">
        <v>36</v>
      </c>
      <c r="D18" s="4165"/>
      <c r="E18" s="4165"/>
      <c r="F18" s="4165"/>
      <c r="G18" s="4165"/>
      <c r="H18" s="4166" t="s">
        <v>37</v>
      </c>
      <c r="I18" s="4166"/>
      <c r="J18" s="4166"/>
      <c r="K18" s="4166"/>
      <c r="L18" s="4166"/>
      <c r="M18" s="4167" t="s">
        <v>75</v>
      </c>
      <c r="N18" s="4165"/>
      <c r="O18" s="4165"/>
      <c r="P18" s="4165"/>
      <c r="Q18" s="4168"/>
      <c r="R18" s="1268"/>
      <c r="S18" s="4158" t="s">
        <v>36</v>
      </c>
      <c r="T18" s="4159"/>
      <c r="U18" s="4159"/>
      <c r="V18" s="4159"/>
      <c r="W18" s="4159"/>
      <c r="X18" s="4159"/>
      <c r="Y18" s="4147" t="s">
        <v>37</v>
      </c>
      <c r="Z18" s="4147"/>
      <c r="AA18" s="4147"/>
      <c r="AB18" s="4147"/>
      <c r="AC18" s="4147"/>
      <c r="AD18" s="4148"/>
      <c r="AH18"/>
      <c r="AI18"/>
      <c r="AJ18"/>
      <c r="AK18"/>
      <c r="AL18"/>
      <c r="AM18"/>
      <c r="AN18"/>
      <c r="AO18"/>
    </row>
    <row r="19" spans="1:44" ht="15">
      <c r="A19" s="285"/>
      <c r="B19" s="1043"/>
      <c r="C19" s="4149" t="s">
        <v>357</v>
      </c>
      <c r="D19" s="4150"/>
      <c r="E19" s="4150"/>
      <c r="F19" s="4150"/>
      <c r="G19" s="4150"/>
      <c r="H19" s="4150"/>
      <c r="I19" s="4150"/>
      <c r="J19" s="4150"/>
      <c r="K19" s="4150"/>
      <c r="L19" s="4150"/>
      <c r="M19" s="4150"/>
      <c r="N19" s="4150"/>
      <c r="O19" s="4150"/>
      <c r="P19" s="4150"/>
      <c r="Q19" s="4151"/>
      <c r="R19" s="1268"/>
      <c r="S19" s="4160" t="s">
        <v>357</v>
      </c>
      <c r="T19" s="4161"/>
      <c r="U19" s="4161"/>
      <c r="V19" s="4161"/>
      <c r="W19" s="4161"/>
      <c r="X19" s="4161"/>
      <c r="Y19" s="4161"/>
      <c r="Z19" s="4161"/>
      <c r="AA19" s="4161"/>
      <c r="AB19" s="4161"/>
      <c r="AC19" s="4161"/>
      <c r="AD19" s="4162"/>
      <c r="AH19"/>
      <c r="AI19"/>
      <c r="AJ19"/>
      <c r="AK19"/>
      <c r="AL19"/>
      <c r="AM19"/>
      <c r="AN19"/>
      <c r="AO19"/>
    </row>
    <row r="20" spans="1:44" ht="30" customHeight="1">
      <c r="A20" s="1268"/>
      <c r="B20" s="1044"/>
      <c r="C20" s="4152" t="s">
        <v>56</v>
      </c>
      <c r="D20" s="4153"/>
      <c r="E20" s="4153"/>
      <c r="F20" s="4153"/>
      <c r="G20" s="4153"/>
      <c r="H20" s="4153"/>
      <c r="I20" s="4153"/>
      <c r="J20" s="4154"/>
      <c r="K20" s="4155" t="s">
        <v>57</v>
      </c>
      <c r="L20" s="4156"/>
      <c r="M20" s="4156"/>
      <c r="N20" s="4156"/>
      <c r="O20" s="4156"/>
      <c r="P20" s="4156"/>
      <c r="Q20" s="4157"/>
      <c r="R20" s="1268"/>
      <c r="S20" s="4160" t="s">
        <v>76</v>
      </c>
      <c r="T20" s="4161"/>
      <c r="U20" s="4161"/>
      <c r="V20" s="4161"/>
      <c r="W20" s="4161"/>
      <c r="X20" s="4161"/>
      <c r="Y20" s="4161"/>
      <c r="Z20" s="4161"/>
      <c r="AA20" s="4161"/>
      <c r="AB20" s="4161"/>
      <c r="AC20" s="4161"/>
      <c r="AD20" s="4162"/>
      <c r="AH20"/>
      <c r="AI20"/>
      <c r="AJ20"/>
      <c r="AK20"/>
      <c r="AL20"/>
      <c r="AM20"/>
      <c r="AN20"/>
      <c r="AO20"/>
    </row>
    <row r="21" spans="1:44" ht="60.75" thickBot="1">
      <c r="A21" s="287"/>
      <c r="B21" s="3503"/>
      <c r="C21" s="3504">
        <f t="array" ref="C21:G21">PRCP</f>
        <v>2008</v>
      </c>
      <c r="D21" s="288">
        <v>2009</v>
      </c>
      <c r="E21" s="288">
        <v>2010</v>
      </c>
      <c r="F21" s="288">
        <v>2011</v>
      </c>
      <c r="G21" s="288">
        <v>2012</v>
      </c>
      <c r="H21" s="289">
        <f>CRCP_y1</f>
        <v>2013</v>
      </c>
      <c r="I21" s="289">
        <f>CRCP_y2</f>
        <v>2014</v>
      </c>
      <c r="J21" s="289">
        <f>CRCP_y3</f>
        <v>2015</v>
      </c>
      <c r="K21" s="289">
        <f>CRCP_y4</f>
        <v>2016</v>
      </c>
      <c r="L21" s="289">
        <f>CRCP_y5</f>
        <v>2017</v>
      </c>
      <c r="M21" s="288" t="str">
        <f t="array" ref="M21:Q21">FRCP</f>
        <v>2018</v>
      </c>
      <c r="N21" s="288">
        <v>2019</v>
      </c>
      <c r="O21" s="288">
        <v>2020</v>
      </c>
      <c r="P21" s="288">
        <v>2021</v>
      </c>
      <c r="Q21" s="8">
        <v>2022</v>
      </c>
      <c r="R21" s="1268"/>
      <c r="S21" s="1945">
        <f t="array" ref="S21:W21">PRCP</f>
        <v>2008</v>
      </c>
      <c r="T21" s="290">
        <v>2009</v>
      </c>
      <c r="U21" s="290">
        <v>2010</v>
      </c>
      <c r="V21" s="290">
        <v>2011</v>
      </c>
      <c r="W21" s="290">
        <v>2012</v>
      </c>
      <c r="X21" s="1942" t="s">
        <v>676</v>
      </c>
      <c r="Y21" s="291">
        <f>CRCP_y1</f>
        <v>2013</v>
      </c>
      <c r="Z21" s="291">
        <f>CRCP_y2</f>
        <v>2014</v>
      </c>
      <c r="AA21" s="291">
        <f>CRCP_y3</f>
        <v>2015</v>
      </c>
      <c r="AB21" s="291">
        <f>CRCP_y4</f>
        <v>2016</v>
      </c>
      <c r="AC21" s="291">
        <f>CRCP_y5</f>
        <v>2017</v>
      </c>
      <c r="AD21" s="1946" t="s">
        <v>676</v>
      </c>
      <c r="AH21"/>
      <c r="AI21"/>
      <c r="AJ21"/>
      <c r="AK21"/>
      <c r="AL21"/>
      <c r="AM21"/>
      <c r="AN21"/>
      <c r="AO21"/>
    </row>
    <row r="22" spans="1:44" ht="13.5" thickBot="1">
      <c r="A22" s="1268"/>
      <c r="B22" s="1268"/>
      <c r="C22" s="1268"/>
      <c r="D22" s="1268"/>
      <c r="E22" s="1268"/>
      <c r="F22" s="1268"/>
      <c r="G22" s="1268"/>
      <c r="H22" s="1268"/>
      <c r="I22" s="1268"/>
      <c r="J22" s="1268"/>
      <c r="K22" s="1268"/>
      <c r="L22" s="1268"/>
      <c r="M22" s="1268"/>
      <c r="N22" s="1268"/>
      <c r="O22" s="1268"/>
      <c r="P22" s="1268"/>
      <c r="Q22" s="1268"/>
      <c r="R22" s="1268"/>
      <c r="S22" s="1268"/>
      <c r="T22" s="1268"/>
      <c r="U22" s="1268"/>
      <c r="V22" s="1268"/>
      <c r="W22" s="1268"/>
      <c r="X22" s="1268"/>
      <c r="Y22" s="1268"/>
      <c r="Z22" s="1268"/>
      <c r="AA22" s="1268"/>
      <c r="AB22" s="1268"/>
      <c r="AC22" s="1268"/>
      <c r="AD22" s="1268"/>
      <c r="AH22"/>
      <c r="AI22"/>
      <c r="AJ22"/>
      <c r="AK22"/>
      <c r="AL22"/>
      <c r="AM22"/>
      <c r="AN22"/>
      <c r="AO22"/>
    </row>
    <row r="23" spans="1:44" ht="16.5" thickBot="1">
      <c r="A23" s="1268"/>
      <c r="B23" s="292" t="s">
        <v>355</v>
      </c>
      <c r="C23" s="306"/>
      <c r="D23" s="306"/>
      <c r="E23" s="306"/>
      <c r="F23" s="306"/>
      <c r="G23" s="306"/>
      <c r="H23" s="306"/>
      <c r="I23" s="306"/>
      <c r="J23" s="306"/>
      <c r="K23" s="306"/>
      <c r="L23" s="306"/>
      <c r="M23" s="306"/>
      <c r="N23" s="306"/>
      <c r="O23" s="306"/>
      <c r="P23" s="306"/>
      <c r="Q23" s="307"/>
      <c r="R23" s="1268"/>
      <c r="S23" s="292"/>
      <c r="T23" s="306"/>
      <c r="U23" s="306"/>
      <c r="V23" s="306"/>
      <c r="W23" s="306"/>
      <c r="X23" s="306"/>
      <c r="Y23" s="306"/>
      <c r="Z23" s="306"/>
      <c r="AA23" s="306"/>
      <c r="AB23" s="306"/>
      <c r="AC23" s="306"/>
      <c r="AD23" s="307"/>
      <c r="AH23"/>
      <c r="AI23"/>
      <c r="AJ23"/>
      <c r="AK23"/>
      <c r="AL23"/>
      <c r="AM23"/>
      <c r="AN23"/>
      <c r="AO23"/>
    </row>
    <row r="24" spans="1:44">
      <c r="A24" s="299"/>
      <c r="B24" s="1" t="s">
        <v>579</v>
      </c>
      <c r="C24" s="3505"/>
      <c r="D24" s="295"/>
      <c r="E24" s="295"/>
      <c r="F24" s="295"/>
      <c r="G24" s="316"/>
      <c r="H24" s="3505"/>
      <c r="I24" s="295"/>
      <c r="J24" s="295"/>
      <c r="K24" s="295"/>
      <c r="L24" s="316"/>
      <c r="M24" s="1056"/>
      <c r="N24" s="295"/>
      <c r="O24" s="295"/>
      <c r="P24" s="295"/>
      <c r="Q24" s="316"/>
      <c r="R24" s="1268"/>
      <c r="S24" s="3505"/>
      <c r="T24" s="295"/>
      <c r="U24" s="295"/>
      <c r="V24" s="295"/>
      <c r="W24" s="295"/>
      <c r="X24" s="295" t="s">
        <v>401</v>
      </c>
      <c r="Y24" s="295"/>
      <c r="Z24" s="295"/>
      <c r="AA24" s="295"/>
      <c r="AB24" s="295"/>
      <c r="AC24" s="295"/>
      <c r="AD24" s="316" t="e">
        <f t="shared" ref="AD24:AD31" si="0">SUM(H24:L24)/SUM(Y24:AC24)-1</f>
        <v>#DIV/0!</v>
      </c>
      <c r="AH24"/>
      <c r="AI24"/>
      <c r="AJ24"/>
      <c r="AK24"/>
      <c r="AL24"/>
      <c r="AM24"/>
      <c r="AN24"/>
      <c r="AO24"/>
    </row>
    <row r="25" spans="1:44">
      <c r="A25" s="299"/>
      <c r="B25" s="2" t="s">
        <v>471</v>
      </c>
      <c r="C25" s="294">
        <v>7537</v>
      </c>
      <c r="D25" s="488">
        <v>7743</v>
      </c>
      <c r="E25" s="488">
        <v>6890</v>
      </c>
      <c r="F25" s="488">
        <v>7670</v>
      </c>
      <c r="G25" s="317">
        <v>7922.3435616085499</v>
      </c>
      <c r="H25" s="294">
        <v>7592</v>
      </c>
      <c r="I25" s="488">
        <v>8230</v>
      </c>
      <c r="J25" s="488">
        <v>9115</v>
      </c>
      <c r="K25" s="488">
        <f>9406</f>
        <v>9406</v>
      </c>
      <c r="L25" s="317">
        <v>8669</v>
      </c>
      <c r="M25" s="1047">
        <v>8633</v>
      </c>
      <c r="N25" s="488">
        <v>8173</v>
      </c>
      <c r="O25" s="488">
        <v>7741</v>
      </c>
      <c r="P25" s="488">
        <v>7888</v>
      </c>
      <c r="Q25" s="317">
        <v>8169</v>
      </c>
      <c r="R25" s="1268"/>
      <c r="S25" s="294"/>
      <c r="T25" s="488"/>
      <c r="U25" s="488"/>
      <c r="V25" s="488"/>
      <c r="W25" s="488"/>
      <c r="X25" s="488" t="e">
        <f t="shared" ref="X25:X31" si="1">SUM(C25:G25)/SUM(S25:W25)-1</f>
        <v>#DIV/0!</v>
      </c>
      <c r="Y25" s="488"/>
      <c r="Z25" s="488"/>
      <c r="AA25" s="488"/>
      <c r="AB25" s="488"/>
      <c r="AC25" s="488"/>
      <c r="AD25" s="317" t="e">
        <f t="shared" si="0"/>
        <v>#DIV/0!</v>
      </c>
      <c r="AH25"/>
      <c r="AI25"/>
      <c r="AJ25"/>
      <c r="AK25"/>
      <c r="AL25"/>
      <c r="AM25"/>
      <c r="AN25"/>
      <c r="AO25"/>
    </row>
    <row r="26" spans="1:44">
      <c r="A26" s="299"/>
      <c r="B26" s="2" t="s">
        <v>582</v>
      </c>
      <c r="C26" s="294"/>
      <c r="D26" s="488"/>
      <c r="E26" s="488"/>
      <c r="F26" s="488"/>
      <c r="G26" s="317"/>
      <c r="H26" s="294"/>
      <c r="I26" s="488"/>
      <c r="J26" s="488"/>
      <c r="K26" s="488"/>
      <c r="L26" s="317"/>
      <c r="M26" s="1047"/>
      <c r="N26" s="488"/>
      <c r="O26" s="488"/>
      <c r="P26" s="488"/>
      <c r="Q26" s="317"/>
      <c r="R26" s="1268"/>
      <c r="S26" s="294"/>
      <c r="T26" s="488"/>
      <c r="U26" s="488"/>
      <c r="V26" s="488"/>
      <c r="W26" s="488"/>
      <c r="X26" s="488" t="e">
        <f t="shared" si="1"/>
        <v>#DIV/0!</v>
      </c>
      <c r="Y26" s="488"/>
      <c r="Z26" s="488"/>
      <c r="AA26" s="488"/>
      <c r="AB26" s="488"/>
      <c r="AC26" s="488"/>
      <c r="AD26" s="317" t="e">
        <f t="shared" si="0"/>
        <v>#DIV/0!</v>
      </c>
      <c r="AH26"/>
      <c r="AI26"/>
      <c r="AJ26"/>
      <c r="AK26"/>
      <c r="AL26"/>
      <c r="AM26"/>
      <c r="AN26"/>
      <c r="AO26"/>
    </row>
    <row r="27" spans="1:44">
      <c r="A27" s="299"/>
      <c r="B27" s="3646" t="s">
        <v>472</v>
      </c>
      <c r="C27" s="294">
        <v>263</v>
      </c>
      <c r="D27" s="488">
        <v>169</v>
      </c>
      <c r="E27" s="488">
        <v>153</v>
      </c>
      <c r="F27" s="488">
        <v>120</v>
      </c>
      <c r="G27" s="317">
        <v>195.87502631850799</v>
      </c>
      <c r="H27" s="294">
        <v>406</v>
      </c>
      <c r="I27" s="488">
        <v>439</v>
      </c>
      <c r="J27" s="488">
        <v>455</v>
      </c>
      <c r="K27" s="488">
        <v>645</v>
      </c>
      <c r="L27" s="317">
        <v>414</v>
      </c>
      <c r="M27" s="1047">
        <v>420</v>
      </c>
      <c r="N27" s="488">
        <v>418</v>
      </c>
      <c r="O27" s="488">
        <v>431</v>
      </c>
      <c r="P27" s="488">
        <v>443</v>
      </c>
      <c r="Q27" s="317">
        <v>436</v>
      </c>
      <c r="R27" s="1268"/>
      <c r="S27" s="294"/>
      <c r="T27" s="488"/>
      <c r="U27" s="488"/>
      <c r="V27" s="488"/>
      <c r="W27" s="488"/>
      <c r="X27" s="488" t="e">
        <f t="shared" si="1"/>
        <v>#DIV/0!</v>
      </c>
      <c r="Y27" s="488"/>
      <c r="Z27" s="488"/>
      <c r="AA27" s="488"/>
      <c r="AB27" s="488"/>
      <c r="AC27" s="488"/>
      <c r="AD27" s="317" t="e">
        <f t="shared" si="0"/>
        <v>#DIV/0!</v>
      </c>
      <c r="AH27"/>
      <c r="AI27"/>
      <c r="AJ27"/>
      <c r="AK27"/>
      <c r="AL27"/>
      <c r="AM27"/>
      <c r="AN27"/>
      <c r="AO27"/>
    </row>
    <row r="28" spans="1:44">
      <c r="A28" s="299"/>
      <c r="B28" s="3646" t="s">
        <v>473</v>
      </c>
      <c r="C28" s="294"/>
      <c r="D28" s="488"/>
      <c r="E28" s="488"/>
      <c r="F28" s="488"/>
      <c r="G28" s="317"/>
      <c r="H28" s="294">
        <v>7</v>
      </c>
      <c r="I28" s="488">
        <v>6</v>
      </c>
      <c r="J28" s="488">
        <v>14</v>
      </c>
      <c r="K28" s="488">
        <v>9</v>
      </c>
      <c r="L28" s="317"/>
      <c r="M28" s="1047"/>
      <c r="N28" s="488"/>
      <c r="O28" s="488"/>
      <c r="P28" s="488"/>
      <c r="Q28" s="317"/>
      <c r="R28" s="1268"/>
      <c r="S28" s="294"/>
      <c r="T28" s="488"/>
      <c r="U28" s="488"/>
      <c r="V28" s="488"/>
      <c r="W28" s="488"/>
      <c r="X28" s="488" t="e">
        <f t="shared" si="1"/>
        <v>#DIV/0!</v>
      </c>
      <c r="Y28" s="488"/>
      <c r="Z28" s="488"/>
      <c r="AA28" s="488"/>
      <c r="AB28" s="488"/>
      <c r="AC28" s="488"/>
      <c r="AD28" s="317" t="e">
        <f t="shared" si="0"/>
        <v>#DIV/0!</v>
      </c>
      <c r="AH28"/>
      <c r="AI28"/>
      <c r="AJ28"/>
      <c r="AK28"/>
      <c r="AL28"/>
      <c r="AM28"/>
      <c r="AN28"/>
      <c r="AO28"/>
    </row>
    <row r="29" spans="1:44">
      <c r="A29" s="299"/>
      <c r="B29" s="3106" t="s">
        <v>124</v>
      </c>
      <c r="C29" s="296">
        <f>SUM(C24:C28)</f>
        <v>7800</v>
      </c>
      <c r="D29" s="492">
        <f t="shared" ref="D29:W29" si="2">SUM(D24:D28)</f>
        <v>7912</v>
      </c>
      <c r="E29" s="492">
        <f t="shared" si="2"/>
        <v>7043</v>
      </c>
      <c r="F29" s="492">
        <f t="shared" si="2"/>
        <v>7790</v>
      </c>
      <c r="G29" s="318">
        <f t="shared" si="2"/>
        <v>8118.2185879270583</v>
      </c>
      <c r="H29" s="296">
        <f t="shared" si="2"/>
        <v>8005</v>
      </c>
      <c r="I29" s="492">
        <f t="shared" si="2"/>
        <v>8675</v>
      </c>
      <c r="J29" s="492">
        <f t="shared" si="2"/>
        <v>9584</v>
      </c>
      <c r="K29" s="492">
        <f t="shared" si="2"/>
        <v>10060</v>
      </c>
      <c r="L29" s="318">
        <f t="shared" si="2"/>
        <v>9083</v>
      </c>
      <c r="M29" s="1055">
        <f t="shared" si="2"/>
        <v>9053</v>
      </c>
      <c r="N29" s="492">
        <f t="shared" si="2"/>
        <v>8591</v>
      </c>
      <c r="O29" s="492">
        <f t="shared" si="2"/>
        <v>8172</v>
      </c>
      <c r="P29" s="492">
        <f t="shared" si="2"/>
        <v>8331</v>
      </c>
      <c r="Q29" s="318">
        <f t="shared" si="2"/>
        <v>8605</v>
      </c>
      <c r="R29" s="1268"/>
      <c r="S29" s="296">
        <f>SUM(S24:S28)</f>
        <v>0</v>
      </c>
      <c r="T29" s="492">
        <f t="shared" si="2"/>
        <v>0</v>
      </c>
      <c r="U29" s="492">
        <f t="shared" si="2"/>
        <v>0</v>
      </c>
      <c r="V29" s="492">
        <f t="shared" si="2"/>
        <v>0</v>
      </c>
      <c r="W29" s="492">
        <f t="shared" si="2"/>
        <v>0</v>
      </c>
      <c r="X29" s="492" t="e">
        <f t="shared" si="1"/>
        <v>#DIV/0!</v>
      </c>
      <c r="Y29" s="492">
        <f>SUM(Y24:Y28)</f>
        <v>0</v>
      </c>
      <c r="Z29" s="492">
        <f>SUM(Z24:Z28)</f>
        <v>0</v>
      </c>
      <c r="AA29" s="492">
        <f>SUM(AA24:AA28)</f>
        <v>0</v>
      </c>
      <c r="AB29" s="492">
        <f>SUM(AB24:AB28)</f>
        <v>0</v>
      </c>
      <c r="AC29" s="492">
        <f>SUM(AC24:AC28)</f>
        <v>0</v>
      </c>
      <c r="AD29" s="318" t="e">
        <f t="shared" si="0"/>
        <v>#DIV/0!</v>
      </c>
      <c r="AH29"/>
      <c r="AI29"/>
      <c r="AJ29"/>
      <c r="AK29"/>
      <c r="AL29"/>
      <c r="AM29"/>
      <c r="AN29"/>
      <c r="AO29"/>
    </row>
    <row r="30" spans="1:44">
      <c r="A30" s="299"/>
      <c r="B30" s="3646" t="s">
        <v>171</v>
      </c>
      <c r="C30" s="297"/>
      <c r="D30" s="493"/>
      <c r="E30" s="493"/>
      <c r="F30" s="493"/>
      <c r="G30" s="319"/>
      <c r="H30" s="297"/>
      <c r="I30" s="493"/>
      <c r="J30" s="493"/>
      <c r="K30" s="493"/>
      <c r="L30" s="319"/>
      <c r="M30" s="1048"/>
      <c r="N30" s="493"/>
      <c r="O30" s="493"/>
      <c r="P30" s="493"/>
      <c r="Q30" s="319"/>
      <c r="R30" s="1268"/>
      <c r="S30" s="297"/>
      <c r="T30" s="493"/>
      <c r="U30" s="493"/>
      <c r="V30" s="493"/>
      <c r="W30" s="493"/>
      <c r="X30" s="493" t="e">
        <f t="shared" si="1"/>
        <v>#DIV/0!</v>
      </c>
      <c r="Y30" s="493"/>
      <c r="Z30" s="493"/>
      <c r="AA30" s="493"/>
      <c r="AB30" s="493"/>
      <c r="AC30" s="493"/>
      <c r="AD30" s="319" t="e">
        <f t="shared" si="0"/>
        <v>#DIV/0!</v>
      </c>
      <c r="AH30"/>
      <c r="AI30"/>
      <c r="AJ30"/>
      <c r="AK30"/>
      <c r="AL30"/>
      <c r="AM30"/>
      <c r="AN30"/>
      <c r="AO30"/>
    </row>
    <row r="31" spans="1:44" ht="13.5" thickBot="1">
      <c r="A31" s="299"/>
      <c r="B31" s="3106" t="s">
        <v>123</v>
      </c>
      <c r="C31" s="3506">
        <f t="shared" ref="C31:W31" si="3">C29-C30</f>
        <v>7800</v>
      </c>
      <c r="D31" s="298">
        <f t="shared" si="3"/>
        <v>7912</v>
      </c>
      <c r="E31" s="298">
        <f t="shared" si="3"/>
        <v>7043</v>
      </c>
      <c r="F31" s="298">
        <f t="shared" si="3"/>
        <v>7790</v>
      </c>
      <c r="G31" s="373">
        <f t="shared" si="3"/>
        <v>8118.2185879270583</v>
      </c>
      <c r="H31" s="3506">
        <f t="shared" si="3"/>
        <v>8005</v>
      </c>
      <c r="I31" s="298">
        <f t="shared" si="3"/>
        <v>8675</v>
      </c>
      <c r="J31" s="298">
        <f t="shared" si="3"/>
        <v>9584</v>
      </c>
      <c r="K31" s="298">
        <f t="shared" si="3"/>
        <v>10060</v>
      </c>
      <c r="L31" s="373">
        <f t="shared" si="3"/>
        <v>9083</v>
      </c>
      <c r="M31" s="1057">
        <f t="shared" si="3"/>
        <v>9053</v>
      </c>
      <c r="N31" s="298">
        <f t="shared" si="3"/>
        <v>8591</v>
      </c>
      <c r="O31" s="298">
        <f t="shared" si="3"/>
        <v>8172</v>
      </c>
      <c r="P31" s="298">
        <f t="shared" si="3"/>
        <v>8331</v>
      </c>
      <c r="Q31" s="373">
        <f t="shared" si="3"/>
        <v>8605</v>
      </c>
      <c r="R31" s="1268"/>
      <c r="S31" s="3506">
        <f t="shared" si="3"/>
        <v>0</v>
      </c>
      <c r="T31" s="298">
        <f t="shared" si="3"/>
        <v>0</v>
      </c>
      <c r="U31" s="298">
        <f t="shared" si="3"/>
        <v>0</v>
      </c>
      <c r="V31" s="298">
        <f t="shared" si="3"/>
        <v>0</v>
      </c>
      <c r="W31" s="298">
        <f t="shared" si="3"/>
        <v>0</v>
      </c>
      <c r="X31" s="298" t="e">
        <f t="shared" si="1"/>
        <v>#DIV/0!</v>
      </c>
      <c r="Y31" s="298">
        <f>Y29-Y30</f>
        <v>0</v>
      </c>
      <c r="Z31" s="298">
        <f>Z29-Z30</f>
        <v>0</v>
      </c>
      <c r="AA31" s="298">
        <f>AA29-AA30</f>
        <v>0</v>
      </c>
      <c r="AB31" s="298">
        <f>AB29-AB30</f>
        <v>0</v>
      </c>
      <c r="AC31" s="298">
        <f>AC29-AC30</f>
        <v>0</v>
      </c>
      <c r="AD31" s="373" t="e">
        <f t="shared" si="0"/>
        <v>#DIV/0!</v>
      </c>
      <c r="AH31"/>
      <c r="AI31"/>
      <c r="AJ31"/>
      <c r="AK31"/>
      <c r="AL31"/>
      <c r="AM31"/>
      <c r="AN31"/>
      <c r="AO31"/>
    </row>
    <row r="32" spans="1:44" ht="31.5" customHeight="1" thickBot="1">
      <c r="A32" s="775"/>
      <c r="B32" s="1472" t="s">
        <v>127</v>
      </c>
      <c r="C32" s="300"/>
      <c r="D32" s="1099"/>
      <c r="E32" s="1099"/>
      <c r="F32" s="1099"/>
      <c r="G32" s="1099"/>
      <c r="H32" s="1099"/>
      <c r="I32" s="1099"/>
      <c r="J32" s="1099"/>
      <c r="K32" s="1099"/>
      <c r="L32" s="1099"/>
      <c r="M32" s="1099"/>
      <c r="N32" s="1099"/>
      <c r="O32" s="1099"/>
      <c r="P32" s="1099"/>
      <c r="Q32" s="1100"/>
      <c r="R32" s="1268"/>
      <c r="S32" s="300"/>
      <c r="T32" s="1099"/>
      <c r="U32" s="1099"/>
      <c r="V32" s="1099"/>
      <c r="W32" s="1099"/>
      <c r="X32" s="1099"/>
      <c r="Y32" s="1099"/>
      <c r="Z32" s="1099"/>
      <c r="AA32" s="1099"/>
      <c r="AB32" s="1099"/>
      <c r="AC32" s="1099"/>
      <c r="AD32" s="1100"/>
      <c r="AH32"/>
      <c r="AI32"/>
      <c r="AJ32"/>
      <c r="AK32"/>
      <c r="AL32"/>
      <c r="AM32"/>
      <c r="AN32"/>
      <c r="AO32"/>
    </row>
    <row r="33" spans="1:41" ht="13.5" thickBot="1">
      <c r="A33" s="1268"/>
      <c r="B33" s="1268"/>
      <c r="C33" s="1268"/>
      <c r="D33" s="1268"/>
      <c r="E33" s="1268"/>
      <c r="F33" s="1268"/>
      <c r="G33" s="1268"/>
      <c r="H33" s="1268"/>
      <c r="I33" s="1268"/>
      <c r="J33" s="1268"/>
      <c r="K33" s="1268"/>
      <c r="L33" s="1268"/>
      <c r="M33" s="1268"/>
      <c r="N33" s="1268"/>
      <c r="O33" s="1268"/>
      <c r="P33" s="1268"/>
      <c r="Q33" s="1268"/>
      <c r="R33" s="1268"/>
      <c r="S33" s="1268"/>
      <c r="T33" s="1268"/>
      <c r="U33" s="1268"/>
      <c r="V33" s="1268"/>
      <c r="W33" s="1268"/>
      <c r="X33" s="1268"/>
      <c r="Y33" s="1268"/>
      <c r="Z33" s="1268"/>
      <c r="AA33" s="1268"/>
      <c r="AB33" s="1268"/>
      <c r="AC33" s="1268"/>
      <c r="AD33" s="1268"/>
      <c r="AH33"/>
      <c r="AI33"/>
      <c r="AJ33"/>
      <c r="AK33"/>
      <c r="AL33"/>
      <c r="AM33"/>
      <c r="AN33"/>
      <c r="AO33"/>
    </row>
    <row r="34" spans="1:41" ht="16.5" thickBot="1">
      <c r="A34" s="865"/>
      <c r="B34" s="292" t="s">
        <v>580</v>
      </c>
      <c r="C34" s="308"/>
      <c r="D34" s="308"/>
      <c r="E34" s="308"/>
      <c r="F34" s="308"/>
      <c r="G34" s="308"/>
      <c r="H34" s="308"/>
      <c r="I34" s="308"/>
      <c r="J34" s="308"/>
      <c r="K34" s="308"/>
      <c r="L34" s="308"/>
      <c r="M34" s="308"/>
      <c r="N34" s="308"/>
      <c r="O34" s="308"/>
      <c r="P34" s="308"/>
      <c r="Q34" s="308"/>
      <c r="R34" s="1268"/>
      <c r="S34" s="308"/>
      <c r="T34" s="308"/>
      <c r="U34" s="308"/>
      <c r="V34" s="308"/>
      <c r="W34" s="308"/>
      <c r="X34" s="308"/>
      <c r="Y34" s="308"/>
      <c r="Z34" s="308"/>
      <c r="AA34" s="308"/>
      <c r="AB34" s="308"/>
      <c r="AC34" s="308"/>
      <c r="AD34" s="309"/>
      <c r="AH34"/>
      <c r="AI34"/>
      <c r="AJ34"/>
      <c r="AK34"/>
      <c r="AL34"/>
      <c r="AM34"/>
      <c r="AN34"/>
      <c r="AO34"/>
    </row>
    <row r="35" spans="1:41">
      <c r="A35" s="299"/>
      <c r="B35" s="3106" t="s">
        <v>348</v>
      </c>
      <c r="C35" s="1758"/>
      <c r="D35" s="310"/>
      <c r="E35" s="310"/>
      <c r="F35" s="310"/>
      <c r="G35" s="371"/>
      <c r="H35" s="1758"/>
      <c r="I35" s="310"/>
      <c r="J35" s="310"/>
      <c r="K35" s="310"/>
      <c r="L35" s="371"/>
      <c r="M35" s="1045"/>
      <c r="N35" s="310"/>
      <c r="O35" s="310"/>
      <c r="P35" s="310"/>
      <c r="Q35" s="371"/>
      <c r="R35" s="1268"/>
      <c r="S35" s="3507"/>
      <c r="T35" s="311"/>
      <c r="U35" s="311"/>
      <c r="V35" s="311"/>
      <c r="W35" s="311"/>
      <c r="X35" s="982"/>
      <c r="Y35" s="311"/>
      <c r="Z35" s="311"/>
      <c r="AA35" s="311"/>
      <c r="AB35" s="311"/>
      <c r="AC35" s="311"/>
      <c r="AD35" s="312"/>
      <c r="AH35"/>
      <c r="AI35"/>
      <c r="AJ35"/>
      <c r="AK35"/>
      <c r="AL35"/>
      <c r="AM35"/>
      <c r="AN35"/>
      <c r="AO35"/>
    </row>
    <row r="36" spans="1:41">
      <c r="A36" s="299"/>
      <c r="B36" s="3646" t="str">
        <f>B24</f>
        <v>Electricity to gas</v>
      </c>
      <c r="C36" s="486"/>
      <c r="D36" s="485"/>
      <c r="E36" s="485"/>
      <c r="F36" s="485"/>
      <c r="G36" s="487"/>
      <c r="H36" s="486"/>
      <c r="I36" s="485"/>
      <c r="J36" s="485"/>
      <c r="K36" s="485"/>
      <c r="L36" s="487"/>
      <c r="M36" s="444"/>
      <c r="N36" s="485"/>
      <c r="O36" s="485"/>
      <c r="P36" s="485"/>
      <c r="Q36" s="487"/>
      <c r="R36" s="1268"/>
      <c r="S36" s="486"/>
      <c r="T36" s="485"/>
      <c r="U36" s="485"/>
      <c r="V36" s="485"/>
      <c r="W36" s="485"/>
      <c r="X36" s="983" t="e">
        <f>SUM(C36:G36)/SUM(S36:W36)-1</f>
        <v>#DIV/0!</v>
      </c>
      <c r="Y36" s="302"/>
      <c r="Z36" s="302"/>
      <c r="AA36" s="302"/>
      <c r="AB36" s="302"/>
      <c r="AC36" s="302"/>
      <c r="AD36" s="313" t="e">
        <f>SUM(H36:L36)/SUM(Y36:AC36)-1</f>
        <v>#DIV/0!</v>
      </c>
      <c r="AH36"/>
      <c r="AI36"/>
      <c r="AJ36"/>
      <c r="AK36"/>
      <c r="AL36"/>
      <c r="AM36"/>
      <c r="AN36"/>
      <c r="AO36"/>
    </row>
    <row r="37" spans="1:41">
      <c r="A37" s="299"/>
      <c r="B37" s="3646" t="str">
        <f>B25</f>
        <v>New homes</v>
      </c>
      <c r="C37" s="486"/>
      <c r="D37" s="485"/>
      <c r="E37" s="485"/>
      <c r="F37" s="485"/>
      <c r="G37" s="487"/>
      <c r="H37" s="486">
        <v>1.3603793466807166</v>
      </c>
      <c r="I37" s="485">
        <v>1.5221142162818955</v>
      </c>
      <c r="J37" s="485">
        <v>2.1936368623148654</v>
      </c>
      <c r="K37" s="485">
        <v>2.8749853544229644</v>
      </c>
      <c r="L37" s="487">
        <v>2.8749567424155034</v>
      </c>
      <c r="M37" s="444">
        <v>2.8752461484999419</v>
      </c>
      <c r="N37" s="485">
        <v>2.8748317631224762</v>
      </c>
      <c r="O37" s="485">
        <v>2.8753391034750031</v>
      </c>
      <c r="P37" s="485">
        <v>2.8751267748478702</v>
      </c>
      <c r="Q37" s="487">
        <v>2.8750153017505204</v>
      </c>
      <c r="R37" s="1268"/>
      <c r="S37" s="486"/>
      <c r="T37" s="485"/>
      <c r="U37" s="485"/>
      <c r="V37" s="485"/>
      <c r="W37" s="485"/>
      <c r="X37" s="983" t="e">
        <f>SUM(C37:G37)/SUM(S37:W37)-1</f>
        <v>#DIV/0!</v>
      </c>
      <c r="Y37" s="302"/>
      <c r="Z37" s="302"/>
      <c r="AA37" s="302"/>
      <c r="AB37" s="302"/>
      <c r="AC37" s="302"/>
      <c r="AD37" s="313" t="e">
        <f>SUM(H37:L37)/SUM(Y37:AC37)-1</f>
        <v>#DIV/0!</v>
      </c>
      <c r="AH37"/>
      <c r="AI37"/>
      <c r="AJ37"/>
      <c r="AK37"/>
      <c r="AL37"/>
      <c r="AM37"/>
      <c r="AN37"/>
      <c r="AO37"/>
    </row>
    <row r="38" spans="1:41">
      <c r="A38" s="299"/>
      <c r="B38" s="3646" t="str">
        <f>B26</f>
        <v>New medium density / high rise</v>
      </c>
      <c r="C38" s="486"/>
      <c r="D38" s="485"/>
      <c r="E38" s="485"/>
      <c r="F38" s="485"/>
      <c r="G38" s="487"/>
      <c r="H38" s="486"/>
      <c r="I38" s="485"/>
      <c r="J38" s="485"/>
      <c r="K38" s="485"/>
      <c r="L38" s="487"/>
      <c r="M38" s="444"/>
      <c r="N38" s="485"/>
      <c r="O38" s="485"/>
      <c r="P38" s="485"/>
      <c r="Q38" s="487"/>
      <c r="R38" s="1268"/>
      <c r="S38" s="486"/>
      <c r="T38" s="485"/>
      <c r="U38" s="485"/>
      <c r="V38" s="485"/>
      <c r="W38" s="485"/>
      <c r="X38" s="983" t="e">
        <f>SUM(C38:G38)/SUM(S38:W38)-1</f>
        <v>#DIV/0!</v>
      </c>
      <c r="Y38" s="302"/>
      <c r="Z38" s="302"/>
      <c r="AA38" s="302"/>
      <c r="AB38" s="302"/>
      <c r="AC38" s="302"/>
      <c r="AD38" s="313" t="e">
        <f>SUM(H38:L38)/SUM(Y38:AC38)-1</f>
        <v>#DIV/0!</v>
      </c>
      <c r="AH38"/>
      <c r="AI38"/>
      <c r="AJ38"/>
      <c r="AK38"/>
      <c r="AL38"/>
      <c r="AM38"/>
      <c r="AN38"/>
      <c r="AO38"/>
    </row>
    <row r="39" spans="1:41">
      <c r="A39" s="299"/>
      <c r="B39" s="3646" t="str">
        <f>B27</f>
        <v>I&amp;C tariff</v>
      </c>
      <c r="C39" s="486"/>
      <c r="D39" s="485"/>
      <c r="E39" s="485"/>
      <c r="F39" s="485"/>
      <c r="G39" s="487"/>
      <c r="H39" s="486">
        <v>2.8004926108374386</v>
      </c>
      <c r="I39" s="485">
        <v>2.845102505694761</v>
      </c>
      <c r="J39" s="485">
        <v>4.2153846153846155</v>
      </c>
      <c r="K39" s="485">
        <v>5.1756097560975611</v>
      </c>
      <c r="L39" s="487">
        <v>5.1714975845410631</v>
      </c>
      <c r="M39" s="444">
        <v>5.166666666666667</v>
      </c>
      <c r="N39" s="485">
        <v>5.1698564593301439</v>
      </c>
      <c r="O39" s="485">
        <v>5.169373549883991</v>
      </c>
      <c r="P39" s="485">
        <v>5.1715575620767495</v>
      </c>
      <c r="Q39" s="487">
        <v>5.1674311926605503</v>
      </c>
      <c r="R39" s="1268"/>
      <c r="S39" s="486"/>
      <c r="T39" s="485"/>
      <c r="U39" s="485"/>
      <c r="V39" s="485"/>
      <c r="W39" s="485"/>
      <c r="X39" s="983" t="e">
        <f>SUM(C39:G39)/SUM(S39:W39)-1</f>
        <v>#DIV/0!</v>
      </c>
      <c r="Y39" s="302"/>
      <c r="Z39" s="302"/>
      <c r="AA39" s="302"/>
      <c r="AB39" s="302"/>
      <c r="AC39" s="302"/>
      <c r="AD39" s="313" t="e">
        <f>SUM(H39:L39)/SUM(Y39:AC39)-1</f>
        <v>#DIV/0!</v>
      </c>
      <c r="AH39"/>
      <c r="AI39"/>
      <c r="AJ39"/>
      <c r="AK39"/>
      <c r="AL39"/>
      <c r="AM39"/>
      <c r="AN39"/>
      <c r="AO39"/>
    </row>
    <row r="40" spans="1:41">
      <c r="A40" s="299"/>
      <c r="B40" s="3646" t="str">
        <f>B28</f>
        <v>I&amp;C contract</v>
      </c>
      <c r="C40" s="486"/>
      <c r="D40" s="485"/>
      <c r="E40" s="485"/>
      <c r="F40" s="485"/>
      <c r="G40" s="487"/>
      <c r="H40" s="486"/>
      <c r="I40" s="485"/>
      <c r="J40" s="485"/>
      <c r="K40" s="485"/>
      <c r="L40" s="487"/>
      <c r="M40" s="444"/>
      <c r="N40" s="485"/>
      <c r="O40" s="485"/>
      <c r="P40" s="485"/>
      <c r="Q40" s="487"/>
      <c r="R40" s="1268"/>
      <c r="S40" s="486"/>
      <c r="T40" s="485"/>
      <c r="U40" s="485"/>
      <c r="V40" s="485"/>
      <c r="W40" s="485"/>
      <c r="X40" s="983" t="e">
        <f>SUM(C40:G40)/SUM(S40:W40)-1</f>
        <v>#DIV/0!</v>
      </c>
      <c r="Y40" s="302"/>
      <c r="Z40" s="302"/>
      <c r="AA40" s="302"/>
      <c r="AB40" s="302"/>
      <c r="AC40" s="302"/>
      <c r="AD40" s="313" t="e">
        <f>SUM(H40:L40)/SUM(Y40:AC40)-1</f>
        <v>#DIV/0!</v>
      </c>
      <c r="AH40"/>
      <c r="AI40"/>
      <c r="AJ40"/>
      <c r="AK40"/>
      <c r="AL40"/>
      <c r="AM40"/>
      <c r="AN40"/>
      <c r="AO40"/>
    </row>
    <row r="41" spans="1:41">
      <c r="A41" s="299"/>
      <c r="B41" s="3106" t="s">
        <v>448</v>
      </c>
      <c r="C41" s="314"/>
      <c r="D41" s="303"/>
      <c r="E41" s="303"/>
      <c r="F41" s="303"/>
      <c r="G41" s="372"/>
      <c r="H41" s="314"/>
      <c r="I41" s="303"/>
      <c r="J41" s="303"/>
      <c r="K41" s="303"/>
      <c r="L41" s="372"/>
      <c r="M41" s="1046"/>
      <c r="N41" s="303"/>
      <c r="O41" s="303"/>
      <c r="P41" s="303"/>
      <c r="Q41" s="372"/>
      <c r="R41" s="1268"/>
      <c r="S41" s="305"/>
      <c r="T41" s="304"/>
      <c r="U41" s="304"/>
      <c r="V41" s="304"/>
      <c r="W41" s="304"/>
      <c r="X41" s="984"/>
      <c r="Y41" s="304"/>
      <c r="Z41" s="304"/>
      <c r="AA41" s="304"/>
      <c r="AB41" s="304"/>
      <c r="AC41" s="304"/>
      <c r="AD41" s="315"/>
      <c r="AH41"/>
      <c r="AI41"/>
      <c r="AJ41"/>
      <c r="AK41"/>
      <c r="AL41"/>
      <c r="AM41"/>
      <c r="AN41"/>
      <c r="AO41"/>
    </row>
    <row r="42" spans="1:41">
      <c r="A42" s="299"/>
      <c r="B42" s="3646" t="str">
        <f>B24</f>
        <v>Electricity to gas</v>
      </c>
      <c r="C42" s="486"/>
      <c r="D42" s="485"/>
      <c r="E42" s="485"/>
      <c r="F42" s="485"/>
      <c r="G42" s="487"/>
      <c r="H42" s="486"/>
      <c r="I42" s="485"/>
      <c r="J42" s="485"/>
      <c r="K42" s="485"/>
      <c r="L42" s="487"/>
      <c r="M42" s="444"/>
      <c r="N42" s="485"/>
      <c r="O42" s="485"/>
      <c r="P42" s="485"/>
      <c r="Q42" s="487"/>
      <c r="R42" s="1268"/>
      <c r="S42" s="486"/>
      <c r="T42" s="485"/>
      <c r="U42" s="485"/>
      <c r="V42" s="485"/>
      <c r="W42" s="485"/>
      <c r="X42" s="983" t="e">
        <f>SUM(C42:G42)/SUM(S42:W42)-1</f>
        <v>#DIV/0!</v>
      </c>
      <c r="Y42" s="302"/>
      <c r="Z42" s="302"/>
      <c r="AA42" s="302"/>
      <c r="AB42" s="302"/>
      <c r="AC42" s="302"/>
      <c r="AD42" s="313" t="e">
        <f>SUM(H42:L42)/SUM(Y42:AC42)-1</f>
        <v>#DIV/0!</v>
      </c>
      <c r="AH42"/>
      <c r="AI42"/>
      <c r="AJ42"/>
      <c r="AK42"/>
      <c r="AL42"/>
      <c r="AM42"/>
      <c r="AN42"/>
      <c r="AO42"/>
    </row>
    <row r="43" spans="1:41">
      <c r="A43" s="299"/>
      <c r="B43" s="3646" t="str">
        <f>B25</f>
        <v>New homes</v>
      </c>
      <c r="C43" s="486"/>
      <c r="D43" s="485"/>
      <c r="E43" s="485"/>
      <c r="F43" s="485"/>
      <c r="G43" s="487"/>
      <c r="H43" s="486">
        <v>1.2220758693361433</v>
      </c>
      <c r="I43" s="485">
        <v>1.0685297691373026</v>
      </c>
      <c r="J43" s="485">
        <v>1.0981897970378498</v>
      </c>
      <c r="K43" s="485">
        <v>1.1210310486233157</v>
      </c>
      <c r="L43" s="487">
        <v>1.1213519437074633</v>
      </c>
      <c r="M43" s="444">
        <v>1.1215104830302329</v>
      </c>
      <c r="N43" s="485">
        <v>1.1211305518169583</v>
      </c>
      <c r="O43" s="485">
        <v>1.1213021573440125</v>
      </c>
      <c r="P43" s="485">
        <v>1.1213235294117647</v>
      </c>
      <c r="Q43" s="487">
        <v>1.1211898641204554</v>
      </c>
      <c r="R43" s="1268"/>
      <c r="S43" s="486"/>
      <c r="T43" s="485"/>
      <c r="U43" s="485"/>
      <c r="V43" s="485"/>
      <c r="W43" s="485"/>
      <c r="X43" s="983" t="e">
        <f>SUM(C43:G43)/SUM(S43:W43)-1</f>
        <v>#DIV/0!</v>
      </c>
      <c r="Y43" s="302"/>
      <c r="Z43" s="302"/>
      <c r="AA43" s="302"/>
      <c r="AB43" s="302"/>
      <c r="AC43" s="302"/>
      <c r="AD43" s="313" t="e">
        <f>SUM(H43:L43)/SUM(Y43:AC43)-1</f>
        <v>#DIV/0!</v>
      </c>
      <c r="AH43"/>
      <c r="AI43"/>
      <c r="AJ43"/>
      <c r="AK43"/>
      <c r="AL43"/>
      <c r="AM43"/>
      <c r="AN43"/>
      <c r="AO43"/>
    </row>
    <row r="44" spans="1:41">
      <c r="A44" s="299"/>
      <c r="B44" s="3646" t="str">
        <f>B26</f>
        <v>New medium density / high rise</v>
      </c>
      <c r="C44" s="486"/>
      <c r="D44" s="485"/>
      <c r="E44" s="485"/>
      <c r="F44" s="485"/>
      <c r="G44" s="487"/>
      <c r="H44" s="486"/>
      <c r="I44" s="485"/>
      <c r="J44" s="485"/>
      <c r="K44" s="485"/>
      <c r="L44" s="487"/>
      <c r="M44" s="444"/>
      <c r="N44" s="485"/>
      <c r="O44" s="485"/>
      <c r="P44" s="485"/>
      <c r="Q44" s="487"/>
      <c r="R44" s="1268"/>
      <c r="S44" s="486"/>
      <c r="T44" s="485"/>
      <c r="U44" s="485"/>
      <c r="V44" s="485"/>
      <c r="W44" s="485"/>
      <c r="X44" s="983" t="e">
        <f>SUM(C44:G44)/SUM(S44:W44)-1</f>
        <v>#DIV/0!</v>
      </c>
      <c r="Y44" s="302"/>
      <c r="Z44" s="302"/>
      <c r="AA44" s="302"/>
      <c r="AB44" s="302"/>
      <c r="AC44" s="302"/>
      <c r="AD44" s="313" t="e">
        <f>SUM(H44:L44)/SUM(Y44:AC44)-1</f>
        <v>#DIV/0!</v>
      </c>
      <c r="AH44"/>
      <c r="AI44"/>
      <c r="AJ44"/>
      <c r="AK44"/>
      <c r="AL44"/>
      <c r="AM44"/>
      <c r="AN44"/>
      <c r="AO44"/>
    </row>
    <row r="45" spans="1:41">
      <c r="A45" s="299"/>
      <c r="B45" s="3646" t="str">
        <f>B27</f>
        <v>I&amp;C tariff</v>
      </c>
      <c r="C45" s="486"/>
      <c r="D45" s="485"/>
      <c r="E45" s="485"/>
      <c r="F45" s="485"/>
      <c r="G45" s="487"/>
      <c r="H45" s="486">
        <v>0.47783251231527096</v>
      </c>
      <c r="I45" s="485">
        <v>0.63325740318906609</v>
      </c>
      <c r="J45" s="485">
        <v>0.72307692307692306</v>
      </c>
      <c r="K45" s="485">
        <v>0.69512195121951215</v>
      </c>
      <c r="L45" s="487">
        <v>0.69565217391304346</v>
      </c>
      <c r="M45" s="444">
        <v>0.69523809523809521</v>
      </c>
      <c r="N45" s="485">
        <v>0.69617224880382778</v>
      </c>
      <c r="O45" s="485">
        <v>0.69605568445475641</v>
      </c>
      <c r="P45" s="485">
        <v>0.69525959367945822</v>
      </c>
      <c r="Q45" s="487">
        <v>0.69495412844036697</v>
      </c>
      <c r="R45" s="1268"/>
      <c r="S45" s="486"/>
      <c r="T45" s="485"/>
      <c r="U45" s="485"/>
      <c r="V45" s="485"/>
      <c r="W45" s="485"/>
      <c r="X45" s="983" t="e">
        <f>SUM(C45:G45)/SUM(S45:W45)-1</f>
        <v>#DIV/0!</v>
      </c>
      <c r="Y45" s="302"/>
      <c r="Z45" s="302"/>
      <c r="AA45" s="302"/>
      <c r="AB45" s="302"/>
      <c r="AC45" s="302"/>
      <c r="AD45" s="313" t="e">
        <f>SUM(H45:L45)/SUM(Y45:AC45)-1</f>
        <v>#DIV/0!</v>
      </c>
      <c r="AH45"/>
      <c r="AI45"/>
      <c r="AJ45"/>
      <c r="AK45"/>
      <c r="AL45"/>
      <c r="AM45"/>
      <c r="AN45"/>
      <c r="AO45"/>
    </row>
    <row r="46" spans="1:41">
      <c r="A46" s="299"/>
      <c r="B46" s="3646" t="str">
        <f>B28</f>
        <v>I&amp;C contract</v>
      </c>
      <c r="C46" s="486"/>
      <c r="D46" s="485"/>
      <c r="E46" s="485"/>
      <c r="F46" s="485"/>
      <c r="G46" s="487"/>
      <c r="H46" s="486"/>
      <c r="I46" s="485"/>
      <c r="J46" s="485"/>
      <c r="K46" s="485"/>
      <c r="L46" s="487"/>
      <c r="M46" s="444"/>
      <c r="N46" s="485"/>
      <c r="O46" s="485"/>
      <c r="P46" s="485"/>
      <c r="Q46" s="487"/>
      <c r="R46" s="1268"/>
      <c r="S46" s="486"/>
      <c r="T46" s="485"/>
      <c r="U46" s="485"/>
      <c r="V46" s="485"/>
      <c r="W46" s="485"/>
      <c r="X46" s="983" t="e">
        <f>SUM(C46:G46)/SUM(S46:W46)-1</f>
        <v>#DIV/0!</v>
      </c>
      <c r="Y46" s="302"/>
      <c r="Z46" s="302"/>
      <c r="AA46" s="302"/>
      <c r="AB46" s="302"/>
      <c r="AC46" s="302"/>
      <c r="AD46" s="313" t="e">
        <f>SUM(H46:L46)/SUM(Y46:AC46)-1</f>
        <v>#DIV/0!</v>
      </c>
      <c r="AH46"/>
      <c r="AI46"/>
      <c r="AJ46"/>
      <c r="AK46"/>
      <c r="AL46"/>
      <c r="AM46"/>
      <c r="AN46"/>
      <c r="AO46"/>
    </row>
    <row r="47" spans="1:41">
      <c r="A47" s="299"/>
      <c r="B47" s="3106" t="s">
        <v>349</v>
      </c>
      <c r="C47" s="314"/>
      <c r="D47" s="303"/>
      <c r="E47" s="303"/>
      <c r="F47" s="303"/>
      <c r="G47" s="372"/>
      <c r="H47" s="314"/>
      <c r="I47" s="303"/>
      <c r="J47" s="303"/>
      <c r="K47" s="303"/>
      <c r="L47" s="372"/>
      <c r="M47" s="1046"/>
      <c r="N47" s="303"/>
      <c r="O47" s="303"/>
      <c r="P47" s="303"/>
      <c r="Q47" s="372"/>
      <c r="R47" s="1268"/>
      <c r="S47" s="305"/>
      <c r="T47" s="304"/>
      <c r="U47" s="304"/>
      <c r="V47" s="304"/>
      <c r="W47" s="304"/>
      <c r="X47" s="984"/>
      <c r="Y47" s="304"/>
      <c r="Z47" s="304"/>
      <c r="AA47" s="304"/>
      <c r="AB47" s="304"/>
      <c r="AC47" s="304"/>
      <c r="AD47" s="315"/>
      <c r="AH47"/>
      <c r="AI47"/>
      <c r="AJ47"/>
      <c r="AK47"/>
      <c r="AL47"/>
      <c r="AM47"/>
      <c r="AN47"/>
      <c r="AO47"/>
    </row>
    <row r="48" spans="1:41">
      <c r="A48" s="299"/>
      <c r="B48" s="3646" t="str">
        <f>B24</f>
        <v>Electricity to gas</v>
      </c>
      <c r="C48" s="486"/>
      <c r="D48" s="485"/>
      <c r="E48" s="485"/>
      <c r="F48" s="485"/>
      <c r="G48" s="487"/>
      <c r="H48" s="486"/>
      <c r="I48" s="485"/>
      <c r="J48" s="485"/>
      <c r="K48" s="485"/>
      <c r="L48" s="487"/>
      <c r="M48" s="444"/>
      <c r="N48" s="485"/>
      <c r="O48" s="485"/>
      <c r="P48" s="485"/>
      <c r="Q48" s="487"/>
      <c r="R48" s="1268"/>
      <c r="S48" s="486"/>
      <c r="T48" s="485"/>
      <c r="U48" s="485"/>
      <c r="V48" s="485"/>
      <c r="W48" s="485"/>
      <c r="X48" s="983" t="e">
        <f>SUM(C48:G48)/SUM(S48:W48)-1</f>
        <v>#DIV/0!</v>
      </c>
      <c r="Y48" s="302"/>
      <c r="Z48" s="302"/>
      <c r="AA48" s="302"/>
      <c r="AB48" s="302"/>
      <c r="AC48" s="302"/>
      <c r="AD48" s="313" t="e">
        <f>SUM(H48:L48)/SUM(Y48:AC48)-1</f>
        <v>#DIV/0!</v>
      </c>
      <c r="AH48"/>
      <c r="AI48"/>
      <c r="AJ48"/>
      <c r="AK48"/>
      <c r="AL48"/>
      <c r="AM48"/>
      <c r="AN48"/>
      <c r="AO48"/>
    </row>
    <row r="49" spans="1:43">
      <c r="A49" s="299"/>
      <c r="B49" s="3646" t="str">
        <f>B25</f>
        <v>New homes</v>
      </c>
      <c r="C49" s="486"/>
      <c r="D49" s="485"/>
      <c r="E49" s="485"/>
      <c r="F49" s="485"/>
      <c r="G49" s="487"/>
      <c r="H49" s="486">
        <v>1</v>
      </c>
      <c r="I49" s="485">
        <v>1</v>
      </c>
      <c r="J49" s="485">
        <v>1</v>
      </c>
      <c r="K49" s="485">
        <v>1</v>
      </c>
      <c r="L49" s="487">
        <v>1</v>
      </c>
      <c r="M49" s="444">
        <v>1</v>
      </c>
      <c r="N49" s="485">
        <v>1</v>
      </c>
      <c r="O49" s="485">
        <v>1</v>
      </c>
      <c r="P49" s="485">
        <v>1</v>
      </c>
      <c r="Q49" s="487">
        <v>1</v>
      </c>
      <c r="R49" s="1268"/>
      <c r="S49" s="486"/>
      <c r="T49" s="485"/>
      <c r="U49" s="485"/>
      <c r="V49" s="485"/>
      <c r="W49" s="485"/>
      <c r="X49" s="983" t="e">
        <f>SUM(C49:G49)/SUM(S49:W49)-1</f>
        <v>#DIV/0!</v>
      </c>
      <c r="Y49" s="302"/>
      <c r="Z49" s="302"/>
      <c r="AA49" s="302"/>
      <c r="AB49" s="302"/>
      <c r="AC49" s="302"/>
      <c r="AD49" s="313" t="e">
        <f>SUM(H49:L49)/SUM(Y49:AC49)-1</f>
        <v>#DIV/0!</v>
      </c>
      <c r="AH49"/>
      <c r="AI49"/>
      <c r="AJ49"/>
      <c r="AK49"/>
      <c r="AL49"/>
      <c r="AM49"/>
      <c r="AN49"/>
      <c r="AO49"/>
    </row>
    <row r="50" spans="1:43">
      <c r="A50" s="299"/>
      <c r="B50" s="3646" t="str">
        <f>B26</f>
        <v>New medium density / high rise</v>
      </c>
      <c r="C50" s="486"/>
      <c r="D50" s="485"/>
      <c r="E50" s="485"/>
      <c r="F50" s="485"/>
      <c r="G50" s="487"/>
      <c r="H50" s="486"/>
      <c r="I50" s="485"/>
      <c r="J50" s="485"/>
      <c r="K50" s="485"/>
      <c r="L50" s="487"/>
      <c r="M50" s="444"/>
      <c r="N50" s="485"/>
      <c r="O50" s="485"/>
      <c r="P50" s="485"/>
      <c r="Q50" s="487"/>
      <c r="R50" s="1268"/>
      <c r="S50" s="486"/>
      <c r="T50" s="485"/>
      <c r="U50" s="485"/>
      <c r="V50" s="485"/>
      <c r="W50" s="485"/>
      <c r="X50" s="983" t="e">
        <f>SUM(C50:G50)/SUM(S50:W50)-1</f>
        <v>#DIV/0!</v>
      </c>
      <c r="Y50" s="302"/>
      <c r="Z50" s="302"/>
      <c r="AA50" s="302"/>
      <c r="AB50" s="302"/>
      <c r="AC50" s="302"/>
      <c r="AD50" s="313" t="e">
        <f>SUM(H50:L50)/SUM(Y50:AC50)-1</f>
        <v>#DIV/0!</v>
      </c>
      <c r="AH50"/>
      <c r="AI50"/>
      <c r="AJ50"/>
      <c r="AK50"/>
      <c r="AL50"/>
      <c r="AM50"/>
      <c r="AN50"/>
      <c r="AO50"/>
    </row>
    <row r="51" spans="1:43">
      <c r="A51" s="299"/>
      <c r="B51" s="3646" t="str">
        <f>B27</f>
        <v>I&amp;C tariff</v>
      </c>
      <c r="C51" s="486"/>
      <c r="D51" s="485"/>
      <c r="E51" s="485"/>
      <c r="F51" s="485"/>
      <c r="G51" s="487"/>
      <c r="H51" s="486">
        <v>1</v>
      </c>
      <c r="I51" s="485">
        <v>1</v>
      </c>
      <c r="J51" s="485">
        <v>1</v>
      </c>
      <c r="K51" s="485">
        <v>1</v>
      </c>
      <c r="L51" s="487">
        <v>1</v>
      </c>
      <c r="M51" s="444">
        <v>1</v>
      </c>
      <c r="N51" s="485">
        <v>1</v>
      </c>
      <c r="O51" s="485">
        <v>1</v>
      </c>
      <c r="P51" s="485">
        <v>1</v>
      </c>
      <c r="Q51" s="487">
        <v>1</v>
      </c>
      <c r="R51" s="1268"/>
      <c r="S51" s="486"/>
      <c r="T51" s="485"/>
      <c r="U51" s="485"/>
      <c r="V51" s="485"/>
      <c r="W51" s="485"/>
      <c r="X51" s="983" t="e">
        <f>SUM(C51:G51)/SUM(S51:W51)-1</f>
        <v>#DIV/0!</v>
      </c>
      <c r="Y51" s="302"/>
      <c r="Z51" s="302"/>
      <c r="AA51" s="302"/>
      <c r="AB51" s="302"/>
      <c r="AC51" s="302"/>
      <c r="AD51" s="313" t="e">
        <f>SUM(H51:L51)/SUM(Y51:AC51)-1</f>
        <v>#DIV/0!</v>
      </c>
      <c r="AH51"/>
      <c r="AI51"/>
      <c r="AJ51"/>
      <c r="AK51"/>
      <c r="AL51"/>
      <c r="AM51"/>
      <c r="AN51"/>
      <c r="AO51"/>
    </row>
    <row r="52" spans="1:43" ht="13.5" thickBot="1">
      <c r="A52" s="299"/>
      <c r="B52" s="3646" t="str">
        <f>B28</f>
        <v>I&amp;C contract</v>
      </c>
      <c r="C52" s="486"/>
      <c r="D52" s="485"/>
      <c r="E52" s="485"/>
      <c r="F52" s="485"/>
      <c r="G52" s="487"/>
      <c r="H52" s="486"/>
      <c r="I52" s="485"/>
      <c r="J52" s="485"/>
      <c r="K52" s="485"/>
      <c r="L52" s="487"/>
      <c r="M52" s="444"/>
      <c r="N52" s="485"/>
      <c r="O52" s="485"/>
      <c r="P52" s="485"/>
      <c r="Q52" s="487"/>
      <c r="R52" s="1268"/>
      <c r="S52" s="486"/>
      <c r="T52" s="485"/>
      <c r="U52" s="485"/>
      <c r="V52" s="485"/>
      <c r="W52" s="485"/>
      <c r="X52" s="983" t="e">
        <f>SUM(C52:G52)/SUM(S52:W52)-1</f>
        <v>#DIV/0!</v>
      </c>
      <c r="Y52" s="302"/>
      <c r="Z52" s="302"/>
      <c r="AA52" s="302"/>
      <c r="AB52" s="302"/>
      <c r="AC52" s="302"/>
      <c r="AD52" s="313" t="e">
        <f>SUM(H52:L52)/SUM(Y52:AC52)-1</f>
        <v>#DIV/0!</v>
      </c>
      <c r="AH52"/>
      <c r="AI52"/>
      <c r="AJ52"/>
      <c r="AK52"/>
      <c r="AL52"/>
      <c r="AM52"/>
      <c r="AN52"/>
      <c r="AO52"/>
    </row>
    <row r="53" spans="1:43" s="170" customFormat="1" ht="31.5" customHeight="1" thickBot="1">
      <c r="A53" s="775"/>
      <c r="B53" s="1472" t="s">
        <v>127</v>
      </c>
      <c r="C53" s="300"/>
      <c r="D53" s="1099"/>
      <c r="E53" s="1099"/>
      <c r="F53" s="1099"/>
      <c r="G53" s="1099"/>
      <c r="H53" s="1099"/>
      <c r="I53" s="1099"/>
      <c r="J53" s="1099"/>
      <c r="K53" s="1099"/>
      <c r="L53" s="1099"/>
      <c r="M53" s="1099"/>
      <c r="N53" s="1099"/>
      <c r="O53" s="1099"/>
      <c r="P53" s="1099"/>
      <c r="Q53" s="1100"/>
      <c r="R53" s="1268"/>
      <c r="S53" s="300"/>
      <c r="T53" s="1099"/>
      <c r="U53" s="1099"/>
      <c r="V53" s="1099"/>
      <c r="W53" s="1099"/>
      <c r="X53" s="1099"/>
      <c r="Y53" s="1099"/>
      <c r="Z53" s="1099"/>
      <c r="AA53" s="1099"/>
      <c r="AB53" s="1099"/>
      <c r="AC53" s="1099"/>
      <c r="AD53" s="1100"/>
      <c r="AE53"/>
      <c r="AG53"/>
      <c r="AH53"/>
      <c r="AI53"/>
      <c r="AJ53"/>
      <c r="AK53"/>
      <c r="AL53"/>
      <c r="AM53"/>
      <c r="AN53"/>
      <c r="AO53"/>
      <c r="AP53"/>
      <c r="AQ53"/>
    </row>
    <row r="54" spans="1:43" ht="13.5" thickBot="1">
      <c r="A54" s="1268"/>
      <c r="B54" s="1268"/>
      <c r="C54" s="1268"/>
      <c r="D54" s="1268"/>
      <c r="E54" s="1268"/>
      <c r="F54" s="1268"/>
      <c r="G54" s="1268"/>
      <c r="H54" s="1268"/>
      <c r="I54" s="1268"/>
      <c r="J54" s="1268"/>
      <c r="K54" s="1268"/>
      <c r="L54" s="1268"/>
      <c r="M54" s="1268"/>
      <c r="N54" s="1268"/>
      <c r="O54" s="1268"/>
      <c r="P54" s="1268"/>
      <c r="Q54" s="1268"/>
      <c r="R54" s="1268"/>
      <c r="S54" s="1268"/>
      <c r="T54" s="1268"/>
      <c r="U54" s="1268"/>
      <c r="V54" s="1268"/>
      <c r="W54" s="1268"/>
      <c r="X54" s="1268"/>
      <c r="Y54" s="1268"/>
      <c r="Z54" s="1268"/>
      <c r="AA54" s="1268"/>
      <c r="AB54" s="1268"/>
      <c r="AC54" s="1268"/>
      <c r="AD54" s="1268"/>
      <c r="AH54" s="1268"/>
      <c r="AI54" s="1268"/>
      <c r="AJ54" s="1268"/>
      <c r="AK54" s="1268"/>
      <c r="AL54" s="1268"/>
      <c r="AM54" s="1268"/>
      <c r="AN54" s="1268"/>
      <c r="AO54" s="1268"/>
    </row>
    <row r="55" spans="1:43" s="227" customFormat="1" ht="36.75" customHeight="1" thickBot="1">
      <c r="A55" s="865"/>
      <c r="B55" s="1367" t="s">
        <v>587</v>
      </c>
      <c r="C55" s="1370"/>
      <c r="D55" s="1370"/>
      <c r="E55" s="1370"/>
      <c r="F55" s="1370"/>
      <c r="G55" s="1370"/>
      <c r="H55" s="1370"/>
      <c r="I55" s="1370"/>
      <c r="J55" s="1370"/>
      <c r="K55" s="1370"/>
      <c r="L55" s="1370"/>
      <c r="M55" s="1370"/>
      <c r="N55" s="1370"/>
      <c r="O55" s="1370"/>
      <c r="P55" s="1370"/>
      <c r="Q55" s="1371"/>
      <c r="R55" s="1268"/>
      <c r="S55" s="1367"/>
      <c r="T55" s="1370"/>
      <c r="U55" s="1370"/>
      <c r="V55" s="1370"/>
      <c r="W55" s="1370"/>
      <c r="X55" s="1370"/>
      <c r="Y55" s="1370"/>
      <c r="Z55" s="1370"/>
      <c r="AA55" s="1370"/>
      <c r="AB55" s="1370"/>
      <c r="AC55" s="1370"/>
      <c r="AD55" s="1371"/>
      <c r="AE55" s="1266"/>
      <c r="AH55" s="1367" t="s">
        <v>674</v>
      </c>
      <c r="AI55" s="1370"/>
      <c r="AJ55" s="1370"/>
      <c r="AK55" s="1370"/>
      <c r="AL55" s="1370"/>
      <c r="AM55" s="1370"/>
      <c r="AN55" s="1370"/>
      <c r="AO55" s="1371"/>
    </row>
    <row r="56" spans="1:43" ht="35.25" customHeight="1">
      <c r="A56" s="1268"/>
      <c r="B56" s="1042"/>
      <c r="C56" s="4142" t="s">
        <v>36</v>
      </c>
      <c r="D56" s="4137"/>
      <c r="E56" s="4137"/>
      <c r="F56" s="4137"/>
      <c r="G56" s="4137"/>
      <c r="H56" s="4144" t="s">
        <v>37</v>
      </c>
      <c r="I56" s="4144"/>
      <c r="J56" s="4144"/>
      <c r="K56" s="4144"/>
      <c r="L56" s="4144"/>
      <c r="M56" s="4143" t="s">
        <v>75</v>
      </c>
      <c r="N56" s="4137"/>
      <c r="O56" s="4137"/>
      <c r="P56" s="4137"/>
      <c r="Q56" s="4140"/>
      <c r="R56" s="1268"/>
      <c r="S56" s="4142" t="s">
        <v>36</v>
      </c>
      <c r="T56" s="4143"/>
      <c r="U56" s="4143"/>
      <c r="V56" s="4143"/>
      <c r="W56" s="4143"/>
      <c r="X56" s="4143"/>
      <c r="Y56" s="4144" t="s">
        <v>37</v>
      </c>
      <c r="Z56" s="4144"/>
      <c r="AA56" s="4144"/>
      <c r="AB56" s="4144"/>
      <c r="AC56" s="4144"/>
      <c r="AD56" s="4145"/>
      <c r="AH56" s="4142" t="s">
        <v>36</v>
      </c>
      <c r="AI56" s="4137"/>
      <c r="AJ56" s="4137"/>
      <c r="AK56" s="4137"/>
      <c r="AL56" s="4137"/>
      <c r="AM56" s="4171" t="s">
        <v>37</v>
      </c>
      <c r="AN56" s="4172"/>
      <c r="AO56" s="4173"/>
    </row>
    <row r="57" spans="1:43" ht="15" customHeight="1">
      <c r="A57" s="285"/>
      <c r="B57" s="1043"/>
      <c r="C57" s="4125" t="s">
        <v>569</v>
      </c>
      <c r="D57" s="4126"/>
      <c r="E57" s="4126"/>
      <c r="F57" s="4126"/>
      <c r="G57" s="4126"/>
      <c r="H57" s="4126"/>
      <c r="I57" s="4126"/>
      <c r="J57" s="4127"/>
      <c r="K57" s="4128" t="str">
        <f>CONCATENATE("$0's, real ",dms_DollarReal)</f>
        <v>$0's, real December 2017</v>
      </c>
      <c r="L57" s="4129"/>
      <c r="M57" s="4129"/>
      <c r="N57" s="4129"/>
      <c r="O57" s="4129"/>
      <c r="P57" s="4129"/>
      <c r="Q57" s="4130"/>
      <c r="R57" s="1268"/>
      <c r="S57" s="4131" t="str">
        <f>CONCATENATE("$0's, real ",dms_DollarReal)</f>
        <v>$0's, real December 2017</v>
      </c>
      <c r="T57" s="4132"/>
      <c r="U57" s="4132"/>
      <c r="V57" s="4132"/>
      <c r="W57" s="4132"/>
      <c r="X57" s="1096" t="s">
        <v>120</v>
      </c>
      <c r="Y57" s="4133" t="str">
        <f>CONCATENATE("$0's, real ",dms_DollarReal)</f>
        <v>$0's, real December 2017</v>
      </c>
      <c r="Z57" s="4133"/>
      <c r="AA57" s="4133"/>
      <c r="AB57" s="4133"/>
      <c r="AC57" s="4133"/>
      <c r="AD57" s="1316" t="s">
        <v>120</v>
      </c>
      <c r="AH57" s="4125" t="str">
        <f>CONCATENATE("$0's, real ",dms_DollarReal)</f>
        <v>$0's, real December 2017</v>
      </c>
      <c r="AI57" s="4126"/>
      <c r="AJ57" s="4126"/>
      <c r="AK57" s="4126"/>
      <c r="AL57" s="4126"/>
      <c r="AM57" s="4126"/>
      <c r="AN57" s="4126"/>
      <c r="AO57" s="4169"/>
    </row>
    <row r="58" spans="1:43" ht="30">
      <c r="A58" s="1268"/>
      <c r="B58" s="1044"/>
      <c r="C58" s="4134" t="s">
        <v>56</v>
      </c>
      <c r="D58" s="4135"/>
      <c r="E58" s="4135"/>
      <c r="F58" s="4135"/>
      <c r="G58" s="4135"/>
      <c r="H58" s="4135"/>
      <c r="I58" s="4135"/>
      <c r="J58" s="4146"/>
      <c r="K58" s="4128" t="s">
        <v>57</v>
      </c>
      <c r="L58" s="4129"/>
      <c r="M58" s="4129"/>
      <c r="N58" s="4129"/>
      <c r="O58" s="4129"/>
      <c r="P58" s="4129"/>
      <c r="Q58" s="4130"/>
      <c r="R58" s="1268"/>
      <c r="S58" s="4131" t="s">
        <v>76</v>
      </c>
      <c r="T58" s="4132"/>
      <c r="U58" s="4132"/>
      <c r="V58" s="4132"/>
      <c r="W58" s="4132"/>
      <c r="X58" s="1096" t="s">
        <v>347</v>
      </c>
      <c r="Y58" s="4133" t="s">
        <v>76</v>
      </c>
      <c r="Z58" s="4133"/>
      <c r="AA58" s="4133"/>
      <c r="AB58" s="4133"/>
      <c r="AC58" s="4133"/>
      <c r="AD58" s="1316" t="s">
        <v>347</v>
      </c>
      <c r="AH58" s="4134" t="s">
        <v>56</v>
      </c>
      <c r="AI58" s="4135"/>
      <c r="AJ58" s="4135"/>
      <c r="AK58" s="4135"/>
      <c r="AL58" s="4135"/>
      <c r="AM58" s="4135"/>
      <c r="AN58" s="4135"/>
      <c r="AO58" s="4170"/>
    </row>
    <row r="59" spans="1:43" ht="15.75" thickBot="1">
      <c r="A59" s="287"/>
      <c r="B59" s="3175"/>
      <c r="C59" s="1521">
        <f t="array" ref="C59:G59">PRCP</f>
        <v>2008</v>
      </c>
      <c r="D59" s="374">
        <v>2009</v>
      </c>
      <c r="E59" s="374">
        <v>2010</v>
      </c>
      <c r="F59" s="374">
        <v>2011</v>
      </c>
      <c r="G59" s="374">
        <v>2012</v>
      </c>
      <c r="H59" s="376">
        <f>CRCP_y1</f>
        <v>2013</v>
      </c>
      <c r="I59" s="376">
        <f>CRCP_y2</f>
        <v>2014</v>
      </c>
      <c r="J59" s="376">
        <f>CRCP_y3</f>
        <v>2015</v>
      </c>
      <c r="K59" s="376">
        <f>CRCP_y4</f>
        <v>2016</v>
      </c>
      <c r="L59" s="376">
        <f>CRCP_y5</f>
        <v>2017</v>
      </c>
      <c r="M59" s="374" t="str">
        <f t="array" ref="M59:Q59">FRCP</f>
        <v>2018</v>
      </c>
      <c r="N59" s="374">
        <v>2019</v>
      </c>
      <c r="O59" s="374">
        <v>2020</v>
      </c>
      <c r="P59" s="374">
        <v>2021</v>
      </c>
      <c r="Q59" s="470">
        <v>2022</v>
      </c>
      <c r="R59" s="1268"/>
      <c r="S59" s="1521">
        <f t="array" ref="S59:W59">PRCP</f>
        <v>2008</v>
      </c>
      <c r="T59" s="374">
        <v>2009</v>
      </c>
      <c r="U59" s="374">
        <v>2010</v>
      </c>
      <c r="V59" s="374">
        <v>2011</v>
      </c>
      <c r="W59" s="374">
        <v>2012</v>
      </c>
      <c r="X59" s="1097" t="s">
        <v>118</v>
      </c>
      <c r="Y59" s="376">
        <f>CRCP_y1</f>
        <v>2013</v>
      </c>
      <c r="Z59" s="376">
        <f>CRCP_y2</f>
        <v>2014</v>
      </c>
      <c r="AA59" s="376">
        <f>CRCP_y3</f>
        <v>2015</v>
      </c>
      <c r="AB59" s="376">
        <f>CRCP_y4</f>
        <v>2016</v>
      </c>
      <c r="AC59" s="376">
        <f>CRCP_y5</f>
        <v>2017</v>
      </c>
      <c r="AD59" s="1317" t="s">
        <v>118</v>
      </c>
      <c r="AH59" s="1521">
        <f t="array" ref="AH59:AL59">PRCP</f>
        <v>2008</v>
      </c>
      <c r="AI59" s="374">
        <v>2009</v>
      </c>
      <c r="AJ59" s="374">
        <v>2010</v>
      </c>
      <c r="AK59" s="374">
        <v>2011</v>
      </c>
      <c r="AL59" s="374">
        <v>2012</v>
      </c>
      <c r="AM59" s="376">
        <f>CRCP_y1</f>
        <v>2013</v>
      </c>
      <c r="AN59" s="376">
        <f>CRCP_y2</f>
        <v>2014</v>
      </c>
      <c r="AO59" s="568">
        <f>CRCP_y3</f>
        <v>2015</v>
      </c>
    </row>
    <row r="60" spans="1:43" ht="13.5" thickBot="1">
      <c r="A60" s="1268"/>
      <c r="B60" s="1268"/>
      <c r="C60" s="1268"/>
      <c r="D60" s="1268"/>
      <c r="E60" s="1268"/>
      <c r="F60" s="1268"/>
      <c r="G60" s="1268"/>
      <c r="H60" s="1268"/>
      <c r="I60" s="1268"/>
      <c r="J60" s="1268"/>
      <c r="K60" s="1268"/>
      <c r="L60" s="1268"/>
      <c r="M60" s="1268"/>
      <c r="N60" s="1268"/>
      <c r="O60" s="1268"/>
      <c r="P60" s="1268"/>
      <c r="Q60" s="1268"/>
      <c r="R60" s="1268"/>
      <c r="S60" s="1268"/>
      <c r="T60" s="1268"/>
      <c r="U60" s="1268"/>
      <c r="V60" s="1268"/>
      <c r="W60" s="1268"/>
      <c r="X60" s="1268"/>
      <c r="Y60" s="1268"/>
      <c r="Z60" s="1268"/>
      <c r="AA60" s="1268"/>
      <c r="AB60" s="1268"/>
      <c r="AC60" s="1268"/>
      <c r="AD60" s="1268"/>
      <c r="AH60" s="1268"/>
      <c r="AI60" s="1268"/>
      <c r="AJ60" s="1268"/>
      <c r="AK60" s="1268"/>
      <c r="AL60" s="1268"/>
      <c r="AM60" s="1268"/>
      <c r="AN60" s="1268"/>
      <c r="AO60" s="1268"/>
    </row>
    <row r="61" spans="1:43" ht="16.5" thickBot="1">
      <c r="A61" s="866"/>
      <c r="B61" s="292" t="s">
        <v>581</v>
      </c>
      <c r="C61" s="306"/>
      <c r="D61" s="306"/>
      <c r="E61" s="306"/>
      <c r="F61" s="306"/>
      <c r="G61" s="306"/>
      <c r="H61" s="306"/>
      <c r="I61" s="306"/>
      <c r="J61" s="306"/>
      <c r="K61" s="306"/>
      <c r="L61" s="306"/>
      <c r="M61" s="306"/>
      <c r="N61" s="306"/>
      <c r="O61" s="306"/>
      <c r="P61" s="306"/>
      <c r="Q61" s="307"/>
      <c r="R61" s="1268"/>
      <c r="S61" s="292"/>
      <c r="T61" s="306"/>
      <c r="U61" s="306"/>
      <c r="V61" s="306"/>
      <c r="W61" s="306"/>
      <c r="X61" s="306"/>
      <c r="Y61" s="306"/>
      <c r="Z61" s="306"/>
      <c r="AA61" s="306"/>
      <c r="AB61" s="306"/>
      <c r="AC61" s="306"/>
      <c r="AD61" s="307"/>
      <c r="AH61" s="292"/>
      <c r="AI61" s="306"/>
      <c r="AJ61" s="306"/>
      <c r="AK61" s="306"/>
      <c r="AL61" s="306"/>
      <c r="AM61" s="306"/>
      <c r="AN61" s="306"/>
      <c r="AO61" s="307"/>
    </row>
    <row r="62" spans="1:43">
      <c r="A62" s="299"/>
      <c r="B62" s="3106" t="s">
        <v>350</v>
      </c>
      <c r="C62" s="1758"/>
      <c r="D62" s="310"/>
      <c r="E62" s="310"/>
      <c r="F62" s="310"/>
      <c r="G62" s="371"/>
      <c r="H62" s="1758"/>
      <c r="I62" s="310"/>
      <c r="J62" s="310"/>
      <c r="K62" s="310"/>
      <c r="L62" s="310"/>
      <c r="M62" s="1758"/>
      <c r="N62" s="310"/>
      <c r="O62" s="310"/>
      <c r="P62" s="310"/>
      <c r="Q62" s="371"/>
      <c r="R62" s="1268"/>
      <c r="S62" s="3507"/>
      <c r="T62" s="311"/>
      <c r="U62" s="311"/>
      <c r="V62" s="311"/>
      <c r="W62" s="312"/>
      <c r="X62" s="1324"/>
      <c r="Y62" s="3507"/>
      <c r="Z62" s="311"/>
      <c r="AA62" s="311"/>
      <c r="AB62" s="311"/>
      <c r="AC62" s="311"/>
      <c r="AD62" s="1327"/>
      <c r="AH62" s="1758"/>
      <c r="AI62" s="310"/>
      <c r="AJ62" s="310"/>
      <c r="AK62" s="310"/>
      <c r="AL62" s="371"/>
      <c r="AM62" s="1758"/>
      <c r="AN62" s="310"/>
      <c r="AO62" s="371"/>
    </row>
    <row r="63" spans="1:43">
      <c r="A63" s="299"/>
      <c r="B63" s="3646" t="str">
        <f>B24</f>
        <v>Electricity to gas</v>
      </c>
      <c r="C63" s="486"/>
      <c r="D63" s="485"/>
      <c r="E63" s="485"/>
      <c r="F63" s="485"/>
      <c r="G63" s="487"/>
      <c r="H63" s="486"/>
      <c r="I63" s="485"/>
      <c r="J63" s="485"/>
      <c r="K63" s="485"/>
      <c r="L63" s="487"/>
      <c r="M63" s="486"/>
      <c r="N63" s="485"/>
      <c r="O63" s="485"/>
      <c r="P63" s="485"/>
      <c r="Q63" s="487"/>
      <c r="R63" s="1268"/>
      <c r="S63" s="486"/>
      <c r="T63" s="485"/>
      <c r="U63" s="485"/>
      <c r="V63" s="485"/>
      <c r="W63" s="487"/>
      <c r="X63" s="1325" t="e">
        <f>SUM(C63:G63)/SUM(S63:W63)-1</f>
        <v>#DIV/0!</v>
      </c>
      <c r="Y63" s="1095"/>
      <c r="Z63" s="302"/>
      <c r="AA63" s="302"/>
      <c r="AB63" s="302"/>
      <c r="AC63" s="302"/>
      <c r="AD63" s="1328" t="e">
        <f>SUM(H63:L63)/SUM(Y63:AC63)-1</f>
        <v>#DIV/0!</v>
      </c>
      <c r="AH63" s="489"/>
      <c r="AI63" s="490"/>
      <c r="AJ63" s="490"/>
      <c r="AK63" s="490"/>
      <c r="AL63" s="491"/>
      <c r="AM63" s="489"/>
      <c r="AN63" s="490"/>
      <c r="AO63" s="491"/>
    </row>
    <row r="64" spans="1:43">
      <c r="A64" s="299"/>
      <c r="B64" s="3646" t="str">
        <f>B25</f>
        <v>New homes</v>
      </c>
      <c r="C64" s="486"/>
      <c r="D64" s="485"/>
      <c r="E64" s="485"/>
      <c r="F64" s="485"/>
      <c r="G64" s="487"/>
      <c r="H64" s="486">
        <f>'[3]4. Connections market expansn'!H64*1</f>
        <v>286.16337089890902</v>
      </c>
      <c r="I64" s="485">
        <f>'[3]4. Connections market expansn'!I64*1</f>
        <v>108.94327953126745</v>
      </c>
      <c r="J64" s="485">
        <f>'[3]4. Connections market expansn'!J64*1</f>
        <v>96.786846382755257</v>
      </c>
      <c r="K64" s="485">
        <v>72.226875885195867</v>
      </c>
      <c r="L64" s="487">
        <v>72.223010021200679</v>
      </c>
      <c r="M64" s="486">
        <v>72.219179728267875</v>
      </c>
      <c r="N64" s="485">
        <v>72.222044821632423</v>
      </c>
      <c r="O64" s="485">
        <v>72.21774825503708</v>
      </c>
      <c r="P64" s="485">
        <v>72.221206348463753</v>
      </c>
      <c r="Q64" s="487">
        <v>72.221332077609787</v>
      </c>
      <c r="R64" s="1268"/>
      <c r="S64" s="486"/>
      <c r="T64" s="485"/>
      <c r="U64" s="485"/>
      <c r="V64" s="485"/>
      <c r="W64" s="487"/>
      <c r="X64" s="1325" t="e">
        <f>SUM(C64:G64)/SUM(S64:W64)-1</f>
        <v>#DIV/0!</v>
      </c>
      <c r="Y64" s="1095"/>
      <c r="Z64" s="302"/>
      <c r="AA64" s="302"/>
      <c r="AB64" s="302"/>
      <c r="AC64" s="302"/>
      <c r="AD64" s="1328" t="e">
        <f>SUM(H64:L64)/SUM(Y64:AC64)-1</f>
        <v>#DIV/0!</v>
      </c>
      <c r="AH64" s="489"/>
      <c r="AI64" s="490"/>
      <c r="AJ64" s="490"/>
      <c r="AK64" s="490"/>
      <c r="AL64" s="491"/>
      <c r="AM64" s="489"/>
      <c r="AN64" s="490"/>
      <c r="AO64" s="491"/>
    </row>
    <row r="65" spans="1:41">
      <c r="A65" s="299"/>
      <c r="B65" s="3646" t="str">
        <f>B26</f>
        <v>New medium density / high rise</v>
      </c>
      <c r="C65" s="486"/>
      <c r="D65" s="485"/>
      <c r="E65" s="485"/>
      <c r="F65" s="485"/>
      <c r="G65" s="487"/>
      <c r="H65" s="486"/>
      <c r="I65" s="485"/>
      <c r="J65" s="485"/>
      <c r="K65" s="485"/>
      <c r="L65" s="487"/>
      <c r="M65" s="486"/>
      <c r="N65" s="485"/>
      <c r="O65" s="485"/>
      <c r="P65" s="485"/>
      <c r="Q65" s="487"/>
      <c r="R65" s="1268"/>
      <c r="S65" s="486"/>
      <c r="T65" s="485"/>
      <c r="U65" s="485"/>
      <c r="V65" s="485"/>
      <c r="W65" s="487"/>
      <c r="X65" s="1325" t="e">
        <f>SUM(C65:G65)/SUM(S65:W65)-1</f>
        <v>#DIV/0!</v>
      </c>
      <c r="Y65" s="1095"/>
      <c r="Z65" s="302"/>
      <c r="AA65" s="302"/>
      <c r="AB65" s="302"/>
      <c r="AC65" s="302"/>
      <c r="AD65" s="1328" t="e">
        <f>SUM(H65:L65)/SUM(Y65:AC65)-1</f>
        <v>#DIV/0!</v>
      </c>
      <c r="AH65" s="489"/>
      <c r="AI65" s="490"/>
      <c r="AJ65" s="490"/>
      <c r="AK65" s="490"/>
      <c r="AL65" s="491"/>
      <c r="AM65" s="489"/>
      <c r="AN65" s="490"/>
      <c r="AO65" s="491"/>
    </row>
    <row r="66" spans="1:41">
      <c r="A66" s="299"/>
      <c r="B66" s="3646" t="str">
        <f>B27</f>
        <v>I&amp;C tariff</v>
      </c>
      <c r="C66" s="486"/>
      <c r="D66" s="485"/>
      <c r="E66" s="485"/>
      <c r="F66" s="485"/>
      <c r="G66" s="487"/>
      <c r="H66" s="486">
        <f>'[3]4. Connections market expansn'!H66*1</f>
        <v>100.00851537710074</v>
      </c>
      <c r="I66" s="485">
        <f>'[3]4. Connections market expansn'!I66*1</f>
        <v>196.88396989350628</v>
      </c>
      <c r="J66" s="485">
        <f>'[3]4. Connections market expansn'!J66*1</f>
        <v>596.06635738115085</v>
      </c>
      <c r="K66" s="485">
        <v>394.24057864178172</v>
      </c>
      <c r="L66" s="487">
        <v>394.00470773319654</v>
      </c>
      <c r="M66" s="486">
        <v>394.03524003693383</v>
      </c>
      <c r="N66" s="485">
        <v>394.11214979028296</v>
      </c>
      <c r="O66" s="485">
        <v>393.94220942933441</v>
      </c>
      <c r="P66" s="485">
        <v>394.0762834881802</v>
      </c>
      <c r="Q66" s="487">
        <v>394.02171222924113</v>
      </c>
      <c r="R66" s="1268"/>
      <c r="S66" s="486"/>
      <c r="T66" s="485"/>
      <c r="U66" s="485"/>
      <c r="V66" s="485"/>
      <c r="W66" s="487"/>
      <c r="X66" s="1325" t="e">
        <f>SUM(C66:G66)/SUM(S66:W66)-1</f>
        <v>#DIV/0!</v>
      </c>
      <c r="Y66" s="1095"/>
      <c r="Z66" s="302"/>
      <c r="AA66" s="302"/>
      <c r="AB66" s="302"/>
      <c r="AC66" s="302"/>
      <c r="AD66" s="1328" t="e">
        <f>SUM(H66:L66)/SUM(Y66:AC66)-1</f>
        <v>#DIV/0!</v>
      </c>
      <c r="AH66" s="489"/>
      <c r="AI66" s="490"/>
      <c r="AJ66" s="490"/>
      <c r="AK66" s="490"/>
      <c r="AL66" s="491"/>
      <c r="AM66" s="489"/>
      <c r="AN66" s="490"/>
      <c r="AO66" s="491"/>
    </row>
    <row r="67" spans="1:41">
      <c r="A67" s="299"/>
      <c r="B67" s="3646" t="str">
        <f>B28</f>
        <v>I&amp;C contract</v>
      </c>
      <c r="C67" s="486"/>
      <c r="D67" s="485"/>
      <c r="E67" s="485"/>
      <c r="F67" s="485"/>
      <c r="G67" s="487"/>
      <c r="H67" s="486"/>
      <c r="I67" s="485"/>
      <c r="J67" s="485"/>
      <c r="K67" s="485"/>
      <c r="L67" s="487"/>
      <c r="M67" s="486"/>
      <c r="N67" s="485"/>
      <c r="O67" s="485"/>
      <c r="P67" s="485"/>
      <c r="Q67" s="487"/>
      <c r="R67" s="1268"/>
      <c r="S67" s="486"/>
      <c r="T67" s="485"/>
      <c r="U67" s="485"/>
      <c r="V67" s="485"/>
      <c r="W67" s="487"/>
      <c r="X67" s="1325" t="e">
        <f>SUM(C67:G67)/SUM(S67:W67)-1</f>
        <v>#DIV/0!</v>
      </c>
      <c r="Y67" s="1095"/>
      <c r="Z67" s="302"/>
      <c r="AA67" s="302"/>
      <c r="AB67" s="302"/>
      <c r="AC67" s="302"/>
      <c r="AD67" s="1328" t="e">
        <f>SUM(H67:L67)/SUM(Y67:AC67)-1</f>
        <v>#DIV/0!</v>
      </c>
      <c r="AH67" s="489"/>
      <c r="AI67" s="490"/>
      <c r="AJ67" s="490"/>
      <c r="AK67" s="490"/>
      <c r="AL67" s="491"/>
      <c r="AM67" s="489"/>
      <c r="AN67" s="490"/>
      <c r="AO67" s="491"/>
    </row>
    <row r="68" spans="1:41">
      <c r="A68" s="299"/>
      <c r="B68" s="3106" t="s">
        <v>351</v>
      </c>
      <c r="C68" s="314"/>
      <c r="D68" s="303"/>
      <c r="E68" s="303"/>
      <c r="F68" s="303"/>
      <c r="G68" s="372"/>
      <c r="H68" s="314"/>
      <c r="I68" s="303"/>
      <c r="J68" s="303"/>
      <c r="K68" s="303"/>
      <c r="L68" s="372"/>
      <c r="M68" s="314"/>
      <c r="N68" s="303"/>
      <c r="O68" s="303"/>
      <c r="P68" s="303"/>
      <c r="Q68" s="372"/>
      <c r="R68" s="1268"/>
      <c r="S68" s="305"/>
      <c r="T68" s="304"/>
      <c r="U68" s="304"/>
      <c r="V68" s="304"/>
      <c r="W68" s="315"/>
      <c r="X68" s="1326"/>
      <c r="Y68" s="305"/>
      <c r="Z68" s="304"/>
      <c r="AA68" s="304"/>
      <c r="AB68" s="304"/>
      <c r="AC68" s="304"/>
      <c r="AD68" s="1329"/>
      <c r="AH68" s="314"/>
      <c r="AI68" s="303"/>
      <c r="AJ68" s="303"/>
      <c r="AK68" s="303"/>
      <c r="AL68" s="372"/>
      <c r="AM68" s="314"/>
      <c r="AN68" s="303"/>
      <c r="AO68" s="372"/>
    </row>
    <row r="69" spans="1:41">
      <c r="A69" s="299"/>
      <c r="B69" s="3646" t="str">
        <f>B24</f>
        <v>Electricity to gas</v>
      </c>
      <c r="C69" s="486"/>
      <c r="D69" s="485"/>
      <c r="E69" s="485"/>
      <c r="F69" s="485"/>
      <c r="G69" s="487"/>
      <c r="H69" s="486"/>
      <c r="I69" s="485"/>
      <c r="J69" s="485"/>
      <c r="K69" s="485"/>
      <c r="L69" s="487"/>
      <c r="M69" s="486"/>
      <c r="N69" s="485"/>
      <c r="O69" s="485"/>
      <c r="P69" s="485"/>
      <c r="Q69" s="487"/>
      <c r="R69" s="1268"/>
      <c r="S69" s="486"/>
      <c r="T69" s="485"/>
      <c r="U69" s="485"/>
      <c r="V69" s="485"/>
      <c r="W69" s="487"/>
      <c r="X69" s="1325" t="e">
        <f>SUM(C69:G69)/SUM(S69:W69)-1</f>
        <v>#DIV/0!</v>
      </c>
      <c r="Y69" s="1095"/>
      <c r="Z69" s="302"/>
      <c r="AA69" s="302"/>
      <c r="AB69" s="302"/>
      <c r="AC69" s="302"/>
      <c r="AD69" s="1328" t="e">
        <f>SUM(H69:L69)/SUM(Y69:AC69)-1</f>
        <v>#DIV/0!</v>
      </c>
      <c r="AH69" s="489"/>
      <c r="AI69" s="490"/>
      <c r="AJ69" s="490"/>
      <c r="AK69" s="490"/>
      <c r="AL69" s="491"/>
      <c r="AM69" s="489"/>
      <c r="AN69" s="490"/>
      <c r="AO69" s="491"/>
    </row>
    <row r="70" spans="1:41">
      <c r="A70" s="299"/>
      <c r="B70" s="3646" t="str">
        <f>B25</f>
        <v>New homes</v>
      </c>
      <c r="C70" s="486"/>
      <c r="D70" s="485"/>
      <c r="E70" s="485"/>
      <c r="F70" s="485"/>
      <c r="G70" s="487"/>
      <c r="H70" s="486">
        <f>'[3]4. Connections market expansn'!H70*1</f>
        <v>1139.4701213083154</v>
      </c>
      <c r="I70" s="485">
        <f>'[3]4. Connections market expansn'!I70*1</f>
        <v>1507.718030475324</v>
      </c>
      <c r="J70" s="485">
        <f>'[3]4. Connections market expansn'!J70*1</f>
        <v>1461.9102967032968</v>
      </c>
      <c r="K70" s="485">
        <v>1484.6910663777912</v>
      </c>
      <c r="L70" s="487">
        <v>1484.1719808309974</v>
      </c>
      <c r="M70" s="486">
        <v>1484.0328484104539</v>
      </c>
      <c r="N70" s="485">
        <v>1484.3806932393286</v>
      </c>
      <c r="O70" s="485">
        <v>1484.3271305181991</v>
      </c>
      <c r="P70" s="485">
        <v>1484.2603013803198</v>
      </c>
      <c r="Q70" s="487">
        <v>1484.3822811897762</v>
      </c>
      <c r="R70" s="1268"/>
      <c r="S70" s="486"/>
      <c r="T70" s="485"/>
      <c r="U70" s="485"/>
      <c r="V70" s="485"/>
      <c r="W70" s="487"/>
      <c r="X70" s="1325" t="e">
        <f>SUM(C70:G70)/SUM(S70:W70)-1</f>
        <v>#DIV/0!</v>
      </c>
      <c r="Y70" s="1095"/>
      <c r="Z70" s="302"/>
      <c r="AA70" s="302"/>
      <c r="AB70" s="302"/>
      <c r="AC70" s="302"/>
      <c r="AD70" s="1328" t="e">
        <f>SUM(H70:L70)/SUM(Y70:AC70)-1</f>
        <v>#DIV/0!</v>
      </c>
      <c r="AH70" s="489"/>
      <c r="AI70" s="490"/>
      <c r="AJ70" s="490"/>
      <c r="AK70" s="490"/>
      <c r="AL70" s="491"/>
      <c r="AM70" s="489"/>
      <c r="AN70" s="490"/>
      <c r="AO70" s="491"/>
    </row>
    <row r="71" spans="1:41">
      <c r="A71" s="299"/>
      <c r="B71" s="3646" t="str">
        <f>B26</f>
        <v>New medium density / high rise</v>
      </c>
      <c r="C71" s="486"/>
      <c r="D71" s="485"/>
      <c r="E71" s="485"/>
      <c r="F71" s="485"/>
      <c r="G71" s="487"/>
      <c r="H71" s="486"/>
      <c r="I71" s="485"/>
      <c r="J71" s="485"/>
      <c r="K71" s="485"/>
      <c r="L71" s="487"/>
      <c r="M71" s="486"/>
      <c r="N71" s="485"/>
      <c r="O71" s="485"/>
      <c r="P71" s="485"/>
      <c r="Q71" s="487"/>
      <c r="R71" s="1268"/>
      <c r="S71" s="486"/>
      <c r="T71" s="485"/>
      <c r="U71" s="485"/>
      <c r="V71" s="485"/>
      <c r="W71" s="487"/>
      <c r="X71" s="1325" t="e">
        <f>SUM(C71:G71)/SUM(S71:W71)-1</f>
        <v>#DIV/0!</v>
      </c>
      <c r="Y71" s="1095"/>
      <c r="Z71" s="302"/>
      <c r="AA71" s="302"/>
      <c r="AB71" s="302"/>
      <c r="AC71" s="302"/>
      <c r="AD71" s="1328" t="e">
        <f>SUM(H71:L71)/SUM(Y71:AC71)-1</f>
        <v>#DIV/0!</v>
      </c>
      <c r="AH71" s="489"/>
      <c r="AI71" s="490"/>
      <c r="AJ71" s="490"/>
      <c r="AK71" s="490"/>
      <c r="AL71" s="491"/>
      <c r="AM71" s="489"/>
      <c r="AN71" s="490"/>
      <c r="AO71" s="491"/>
    </row>
    <row r="72" spans="1:41">
      <c r="A72" s="299"/>
      <c r="B72" s="3646" t="str">
        <f>B27</f>
        <v>I&amp;C tariff</v>
      </c>
      <c r="C72" s="486"/>
      <c r="D72" s="485"/>
      <c r="E72" s="485"/>
      <c r="F72" s="485"/>
      <c r="G72" s="487"/>
      <c r="H72" s="486">
        <f>'[3]4. Connections market expansn'!H72*1</f>
        <v>4592.0363936660788</v>
      </c>
      <c r="I72" s="485">
        <f>'[3]4. Connections market expansn'!I72*1</f>
        <v>4158.1892446043166</v>
      </c>
      <c r="J72" s="485">
        <f>'[3]4. Connections market expansn'!J72*1</f>
        <v>3998.7294832826747</v>
      </c>
      <c r="K72" s="485">
        <v>4407.4396538497685</v>
      </c>
      <c r="L72" s="487">
        <v>4397.9483240676982</v>
      </c>
      <c r="M72" s="486">
        <v>4396.7976416787878</v>
      </c>
      <c r="N72" s="485">
        <v>4394.4662468364577</v>
      </c>
      <c r="O72" s="485">
        <v>4392.8965869784788</v>
      </c>
      <c r="P72" s="485">
        <v>4401.2820738532446</v>
      </c>
      <c r="Q72" s="487">
        <v>4399.094066879783</v>
      </c>
      <c r="R72" s="1268"/>
      <c r="S72" s="486"/>
      <c r="T72" s="485"/>
      <c r="U72" s="485"/>
      <c r="V72" s="485"/>
      <c r="W72" s="487"/>
      <c r="X72" s="1325" t="e">
        <f>SUM(C72:G72)/SUM(S72:W72)-1</f>
        <v>#DIV/0!</v>
      </c>
      <c r="Y72" s="1095"/>
      <c r="Z72" s="302"/>
      <c r="AA72" s="302"/>
      <c r="AB72" s="302"/>
      <c r="AC72" s="302"/>
      <c r="AD72" s="1328" t="e">
        <f>SUM(H72:L72)/SUM(Y72:AC72)-1</f>
        <v>#DIV/0!</v>
      </c>
      <c r="AH72" s="489"/>
      <c r="AI72" s="490"/>
      <c r="AJ72" s="490"/>
      <c r="AK72" s="490"/>
      <c r="AL72" s="491"/>
      <c r="AM72" s="489"/>
      <c r="AN72" s="490"/>
      <c r="AO72" s="491"/>
    </row>
    <row r="73" spans="1:41">
      <c r="A73" s="299"/>
      <c r="B73" s="3646" t="str">
        <f>B28</f>
        <v>I&amp;C contract</v>
      </c>
      <c r="C73" s="486"/>
      <c r="D73" s="485"/>
      <c r="E73" s="485"/>
      <c r="F73" s="485"/>
      <c r="G73" s="487"/>
      <c r="H73" s="486"/>
      <c r="I73" s="485"/>
      <c r="J73" s="485"/>
      <c r="K73" s="485"/>
      <c r="L73" s="487"/>
      <c r="M73" s="486"/>
      <c r="N73" s="485"/>
      <c r="O73" s="485"/>
      <c r="P73" s="485"/>
      <c r="Q73" s="487"/>
      <c r="R73" s="1268"/>
      <c r="S73" s="486"/>
      <c r="T73" s="485"/>
      <c r="U73" s="485"/>
      <c r="V73" s="485"/>
      <c r="W73" s="487"/>
      <c r="X73" s="1325" t="e">
        <f>SUM(C73:G73)/SUM(S73:W73)-1</f>
        <v>#DIV/0!</v>
      </c>
      <c r="Y73" s="1095"/>
      <c r="Z73" s="302"/>
      <c r="AA73" s="302"/>
      <c r="AB73" s="302"/>
      <c r="AC73" s="302"/>
      <c r="AD73" s="1328" t="e">
        <f>SUM(H73:L73)/SUM(Y73:AC73)-1</f>
        <v>#DIV/0!</v>
      </c>
      <c r="AH73" s="489"/>
      <c r="AI73" s="490"/>
      <c r="AJ73" s="490"/>
      <c r="AK73" s="490"/>
      <c r="AL73" s="491"/>
      <c r="AM73" s="489"/>
      <c r="AN73" s="490"/>
      <c r="AO73" s="491"/>
    </row>
    <row r="74" spans="1:41">
      <c r="A74" s="299"/>
      <c r="B74" s="3106" t="s">
        <v>349</v>
      </c>
      <c r="C74" s="314"/>
      <c r="D74" s="303"/>
      <c r="E74" s="303"/>
      <c r="F74" s="303"/>
      <c r="G74" s="372"/>
      <c r="H74" s="314"/>
      <c r="I74" s="303"/>
      <c r="J74" s="303"/>
      <c r="K74" s="303"/>
      <c r="L74" s="372"/>
      <c r="M74" s="314"/>
      <c r="N74" s="303"/>
      <c r="O74" s="303"/>
      <c r="P74" s="303"/>
      <c r="Q74" s="372"/>
      <c r="R74" s="1268"/>
      <c r="S74" s="305"/>
      <c r="T74" s="304"/>
      <c r="U74" s="304"/>
      <c r="V74" s="304"/>
      <c r="W74" s="315"/>
      <c r="X74" s="1326"/>
      <c r="Y74" s="305"/>
      <c r="Z74" s="304"/>
      <c r="AA74" s="304"/>
      <c r="AB74" s="304"/>
      <c r="AC74" s="304"/>
      <c r="AD74" s="1329"/>
      <c r="AH74" s="314"/>
      <c r="AI74" s="303"/>
      <c r="AJ74" s="303"/>
      <c r="AK74" s="303"/>
      <c r="AL74" s="372"/>
      <c r="AM74" s="314"/>
      <c r="AN74" s="303"/>
      <c r="AO74" s="372"/>
    </row>
    <row r="75" spans="1:41">
      <c r="A75" s="299"/>
      <c r="B75" s="3646" t="str">
        <f>B24</f>
        <v>Electricity to gas</v>
      </c>
      <c r="C75" s="486"/>
      <c r="D75" s="485"/>
      <c r="E75" s="485"/>
      <c r="F75" s="485"/>
      <c r="G75" s="487"/>
      <c r="H75" s="486"/>
      <c r="I75" s="485"/>
      <c r="J75" s="485"/>
      <c r="K75" s="485"/>
      <c r="L75" s="487"/>
      <c r="M75" s="486"/>
      <c r="N75" s="485"/>
      <c r="O75" s="485"/>
      <c r="P75" s="485"/>
      <c r="Q75" s="487"/>
      <c r="R75" s="1268"/>
      <c r="S75" s="486"/>
      <c r="T75" s="485"/>
      <c r="U75" s="485"/>
      <c r="V75" s="485"/>
      <c r="W75" s="487"/>
      <c r="X75" s="1325" t="e">
        <f>SUM(C75:G75)/SUM(S75:W75)-1</f>
        <v>#DIV/0!</v>
      </c>
      <c r="Y75" s="1095"/>
      <c r="Z75" s="302"/>
      <c r="AA75" s="302"/>
      <c r="AB75" s="302"/>
      <c r="AC75" s="302"/>
      <c r="AD75" s="1328" t="e">
        <f>SUM(H75:L75)/SUM(Y75:AC75)-1</f>
        <v>#DIV/0!</v>
      </c>
      <c r="AH75" s="489"/>
      <c r="AI75" s="490"/>
      <c r="AJ75" s="490"/>
      <c r="AK75" s="490"/>
      <c r="AL75" s="491"/>
      <c r="AM75" s="489"/>
      <c r="AN75" s="490"/>
      <c r="AO75" s="491"/>
    </row>
    <row r="76" spans="1:41">
      <c r="A76" s="299"/>
      <c r="B76" s="3646" t="str">
        <f>B25</f>
        <v>New homes</v>
      </c>
      <c r="C76" s="486"/>
      <c r="D76" s="485"/>
      <c r="E76" s="485"/>
      <c r="F76" s="485"/>
      <c r="G76" s="487"/>
      <c r="H76" s="486">
        <v>1</v>
      </c>
      <c r="I76" s="485">
        <v>1</v>
      </c>
      <c r="J76" s="485">
        <v>1</v>
      </c>
      <c r="K76" s="485">
        <f>K72/K72</f>
        <v>1</v>
      </c>
      <c r="L76" s="487">
        <f t="shared" ref="L76:Q76" si="4">L72/L72</f>
        <v>1</v>
      </c>
      <c r="M76" s="486">
        <f t="shared" si="4"/>
        <v>1</v>
      </c>
      <c r="N76" s="485">
        <f t="shared" si="4"/>
        <v>1</v>
      </c>
      <c r="O76" s="485">
        <f t="shared" si="4"/>
        <v>1</v>
      </c>
      <c r="P76" s="485">
        <f t="shared" si="4"/>
        <v>1</v>
      </c>
      <c r="Q76" s="487">
        <f t="shared" si="4"/>
        <v>1</v>
      </c>
      <c r="R76" s="1268"/>
      <c r="S76" s="486"/>
      <c r="T76" s="485"/>
      <c r="U76" s="485"/>
      <c r="V76" s="485"/>
      <c r="W76" s="487"/>
      <c r="X76" s="1325" t="e">
        <f>SUM(C76:G76)/SUM(S76:W76)-1</f>
        <v>#DIV/0!</v>
      </c>
      <c r="Y76" s="1095"/>
      <c r="Z76" s="302"/>
      <c r="AA76" s="302"/>
      <c r="AB76" s="302"/>
      <c r="AC76" s="302"/>
      <c r="AD76" s="1328" t="e">
        <f>SUM(H76:L76)/SUM(Y76:AC76)-1</f>
        <v>#DIV/0!</v>
      </c>
      <c r="AH76" s="489"/>
      <c r="AI76" s="490"/>
      <c r="AJ76" s="490"/>
      <c r="AK76" s="490"/>
      <c r="AL76" s="491"/>
      <c r="AM76" s="489"/>
      <c r="AN76" s="490"/>
      <c r="AO76" s="491"/>
    </row>
    <row r="77" spans="1:41">
      <c r="A77" s="299"/>
      <c r="B77" s="3646" t="str">
        <f>B26</f>
        <v>New medium density / high rise</v>
      </c>
      <c r="C77" s="486"/>
      <c r="D77" s="485"/>
      <c r="E77" s="485"/>
      <c r="F77" s="485"/>
      <c r="G77" s="487"/>
      <c r="H77" s="486"/>
      <c r="I77" s="485"/>
      <c r="J77" s="485"/>
      <c r="K77" s="485"/>
      <c r="L77" s="487"/>
      <c r="M77" s="486"/>
      <c r="N77" s="485"/>
      <c r="O77" s="485"/>
      <c r="P77" s="485"/>
      <c r="Q77" s="487"/>
      <c r="R77" s="1268"/>
      <c r="S77" s="486"/>
      <c r="T77" s="485"/>
      <c r="U77" s="485"/>
      <c r="V77" s="485"/>
      <c r="W77" s="487"/>
      <c r="X77" s="1325" t="e">
        <f>SUM(C77:G77)/SUM(S77:W77)-1</f>
        <v>#DIV/0!</v>
      </c>
      <c r="Y77" s="1095"/>
      <c r="Z77" s="302"/>
      <c r="AA77" s="302"/>
      <c r="AB77" s="302"/>
      <c r="AC77" s="302"/>
      <c r="AD77" s="1328" t="e">
        <f>SUM(H77:L77)/SUM(Y77:AC77)-1</f>
        <v>#DIV/0!</v>
      </c>
      <c r="AH77" s="489"/>
      <c r="AI77" s="490"/>
      <c r="AJ77" s="490"/>
      <c r="AK77" s="490"/>
      <c r="AL77" s="491"/>
      <c r="AM77" s="489"/>
      <c r="AN77" s="490"/>
      <c r="AO77" s="491"/>
    </row>
    <row r="78" spans="1:41">
      <c r="A78" s="299"/>
      <c r="B78" s="3646" t="str">
        <f>B27</f>
        <v>I&amp;C tariff</v>
      </c>
      <c r="C78" s="486"/>
      <c r="D78" s="485"/>
      <c r="E78" s="485"/>
      <c r="F78" s="485"/>
      <c r="G78" s="487"/>
      <c r="H78" s="486">
        <v>1</v>
      </c>
      <c r="I78" s="485">
        <v>1</v>
      </c>
      <c r="J78" s="485">
        <v>1</v>
      </c>
      <c r="K78" s="485">
        <v>1</v>
      </c>
      <c r="L78" s="487">
        <v>1</v>
      </c>
      <c r="M78" s="486">
        <v>1</v>
      </c>
      <c r="N78" s="485">
        <v>1</v>
      </c>
      <c r="O78" s="485">
        <v>1</v>
      </c>
      <c r="P78" s="485">
        <v>1</v>
      </c>
      <c r="Q78" s="487">
        <v>1</v>
      </c>
      <c r="R78" s="1268"/>
      <c r="S78" s="486"/>
      <c r="T78" s="485"/>
      <c r="U78" s="485"/>
      <c r="V78" s="485"/>
      <c r="W78" s="487"/>
      <c r="X78" s="1325" t="e">
        <f>SUM(C78:G78)/SUM(S78:W78)-1</f>
        <v>#DIV/0!</v>
      </c>
      <c r="Y78" s="1095"/>
      <c r="Z78" s="302"/>
      <c r="AA78" s="302"/>
      <c r="AB78" s="302"/>
      <c r="AC78" s="302"/>
      <c r="AD78" s="1328" t="e">
        <f>SUM(H78:L78)/SUM(Y78:AC78)-1</f>
        <v>#DIV/0!</v>
      </c>
      <c r="AH78" s="489"/>
      <c r="AI78" s="490"/>
      <c r="AJ78" s="490"/>
      <c r="AK78" s="490"/>
      <c r="AL78" s="491"/>
      <c r="AM78" s="489"/>
      <c r="AN78" s="490"/>
      <c r="AO78" s="491"/>
    </row>
    <row r="79" spans="1:41" ht="13.5" thickBot="1">
      <c r="A79" s="299"/>
      <c r="B79" s="3646" t="str">
        <f>B28</f>
        <v>I&amp;C contract</v>
      </c>
      <c r="C79" s="486"/>
      <c r="D79" s="485"/>
      <c r="E79" s="485"/>
      <c r="F79" s="485"/>
      <c r="G79" s="487"/>
      <c r="H79" s="486"/>
      <c r="I79" s="485"/>
      <c r="J79" s="485"/>
      <c r="K79" s="485"/>
      <c r="L79" s="487"/>
      <c r="M79" s="486"/>
      <c r="N79" s="485"/>
      <c r="O79" s="485"/>
      <c r="P79" s="485"/>
      <c r="Q79" s="487"/>
      <c r="R79" s="1268"/>
      <c r="S79" s="486"/>
      <c r="T79" s="485"/>
      <c r="U79" s="485"/>
      <c r="V79" s="485"/>
      <c r="W79" s="487"/>
      <c r="X79" s="1325" t="e">
        <f>SUM(C79:G79)/SUM(S79:W79)-1</f>
        <v>#DIV/0!</v>
      </c>
      <c r="Y79" s="1095"/>
      <c r="Z79" s="302"/>
      <c r="AA79" s="302"/>
      <c r="AB79" s="302"/>
      <c r="AC79" s="302"/>
      <c r="AD79" s="1328" t="e">
        <f>SUM(H79:L79)/SUM(Y79:AC79)-1</f>
        <v>#DIV/0!</v>
      </c>
      <c r="AH79" s="489"/>
      <c r="AI79" s="490"/>
      <c r="AJ79" s="490"/>
      <c r="AK79" s="490"/>
      <c r="AL79" s="491"/>
      <c r="AM79" s="489"/>
      <c r="AN79" s="490"/>
      <c r="AO79" s="491"/>
    </row>
    <row r="80" spans="1:41" s="170" customFormat="1" ht="31.5" customHeight="1" thickBot="1">
      <c r="A80" s="775"/>
      <c r="B80" s="1472" t="s">
        <v>127</v>
      </c>
      <c r="C80" s="300"/>
      <c r="D80" s="1099"/>
      <c r="E80" s="1099"/>
      <c r="F80" s="1099"/>
      <c r="G80" s="1099"/>
      <c r="H80" s="1099"/>
      <c r="I80" s="1099"/>
      <c r="J80" s="1099"/>
      <c r="K80" s="1099"/>
      <c r="L80" s="1099"/>
      <c r="M80" s="1099"/>
      <c r="N80" s="1099"/>
      <c r="O80" s="1099"/>
      <c r="P80" s="1099"/>
      <c r="Q80" s="1100"/>
      <c r="R80" s="1268"/>
      <c r="S80" s="300"/>
      <c r="T80" s="1099"/>
      <c r="U80" s="1099"/>
      <c r="V80" s="1099"/>
      <c r="W80" s="1099"/>
      <c r="X80" s="1099"/>
      <c r="Y80" s="1099"/>
      <c r="Z80" s="1099"/>
      <c r="AA80" s="1099"/>
      <c r="AB80" s="1099"/>
      <c r="AC80" s="1099"/>
      <c r="AD80" s="1100"/>
      <c r="AE80"/>
      <c r="AH80" s="1762"/>
      <c r="AI80" s="1763"/>
      <c r="AJ80" s="1763"/>
      <c r="AK80" s="1763"/>
      <c r="AL80" s="1763"/>
      <c r="AM80" s="1763"/>
      <c r="AN80" s="1763"/>
      <c r="AO80" s="1764"/>
    </row>
    <row r="81" spans="1:41" ht="13.5" thickBot="1">
      <c r="A81" s="1268"/>
      <c r="B81" s="1268"/>
      <c r="C81" s="1268"/>
      <c r="D81" s="1268"/>
      <c r="E81" s="1268"/>
      <c r="F81" s="1268"/>
      <c r="G81" s="1268"/>
      <c r="H81" s="1268"/>
      <c r="I81" s="1268"/>
      <c r="J81" s="1268"/>
      <c r="K81" s="1268"/>
      <c r="L81" s="1268"/>
      <c r="M81" s="1268"/>
      <c r="N81" s="1268"/>
      <c r="O81" s="1268"/>
      <c r="P81" s="1268"/>
      <c r="Q81" s="1268"/>
      <c r="R81" s="1268"/>
      <c r="S81" s="1268"/>
      <c r="T81" s="1268"/>
      <c r="U81" s="1268"/>
      <c r="V81" s="1268"/>
      <c r="W81" s="1268"/>
      <c r="X81" s="1268"/>
      <c r="Y81" s="1268"/>
      <c r="Z81" s="1268"/>
      <c r="AA81" s="1268"/>
      <c r="AB81" s="1268"/>
      <c r="AC81" s="1268"/>
      <c r="AD81" s="1268"/>
      <c r="AH81" s="1268"/>
      <c r="AI81" s="1268"/>
      <c r="AJ81" s="1268"/>
      <c r="AK81" s="1268"/>
      <c r="AL81" s="1268"/>
      <c r="AM81" s="1268"/>
      <c r="AN81" s="1268"/>
      <c r="AO81" s="1268"/>
    </row>
    <row r="82" spans="1:41" ht="16.5" thickBot="1">
      <c r="A82" s="866"/>
      <c r="B82" s="292" t="str">
        <f>CONCATENATE("Table 4.2.2 - ", B24)</f>
        <v>Table 4.2.2 - Electricity to gas</v>
      </c>
      <c r="C82" s="306"/>
      <c r="D82" s="306"/>
      <c r="E82" s="306"/>
      <c r="F82" s="306"/>
      <c r="G82" s="306"/>
      <c r="H82" s="306"/>
      <c r="I82" s="306"/>
      <c r="J82" s="306"/>
      <c r="K82" s="306"/>
      <c r="L82" s="306"/>
      <c r="M82" s="306"/>
      <c r="N82" s="306"/>
      <c r="O82" s="306"/>
      <c r="P82" s="306"/>
      <c r="Q82" s="307"/>
      <c r="R82" s="1268"/>
      <c r="S82" s="292"/>
      <c r="T82" s="306"/>
      <c r="U82" s="306"/>
      <c r="V82" s="306"/>
      <c r="W82" s="306"/>
      <c r="X82" s="306"/>
      <c r="Y82" s="306"/>
      <c r="Z82" s="306"/>
      <c r="AA82" s="306"/>
      <c r="AB82" s="306"/>
      <c r="AC82" s="306"/>
      <c r="AD82" s="307"/>
      <c r="AH82" s="292"/>
      <c r="AI82" s="306"/>
      <c r="AJ82" s="306"/>
      <c r="AK82" s="306"/>
      <c r="AL82" s="306"/>
      <c r="AM82" s="306"/>
      <c r="AN82" s="306"/>
      <c r="AO82" s="307"/>
    </row>
    <row r="83" spans="1:41">
      <c r="A83" s="299"/>
      <c r="B83" s="328" t="str">
        <f>CONCATENATE("Number of new ", B24, " connections")</f>
        <v>Number of new Electricity to gas connections</v>
      </c>
      <c r="C83" s="1756">
        <f t="shared" ref="C83:Q83" si="5">C24</f>
        <v>0</v>
      </c>
      <c r="D83" s="1058">
        <f t="shared" si="5"/>
        <v>0</v>
      </c>
      <c r="E83" s="1058">
        <f t="shared" si="5"/>
        <v>0</v>
      </c>
      <c r="F83" s="1058">
        <f t="shared" si="5"/>
        <v>0</v>
      </c>
      <c r="G83" s="1063">
        <f t="shared" si="5"/>
        <v>0</v>
      </c>
      <c r="H83" s="1756">
        <f t="shared" si="5"/>
        <v>0</v>
      </c>
      <c r="I83" s="1058">
        <f t="shared" si="5"/>
        <v>0</v>
      </c>
      <c r="J83" s="1058">
        <f t="shared" si="5"/>
        <v>0</v>
      </c>
      <c r="K83" s="1058">
        <f t="shared" si="5"/>
        <v>0</v>
      </c>
      <c r="L83" s="1058">
        <f t="shared" si="5"/>
        <v>0</v>
      </c>
      <c r="M83" s="1756">
        <f t="shared" si="5"/>
        <v>0</v>
      </c>
      <c r="N83" s="1058">
        <f t="shared" si="5"/>
        <v>0</v>
      </c>
      <c r="O83" s="1058">
        <f t="shared" si="5"/>
        <v>0</v>
      </c>
      <c r="P83" s="1058">
        <f t="shared" si="5"/>
        <v>0</v>
      </c>
      <c r="Q83" s="1063">
        <f t="shared" si="5"/>
        <v>0</v>
      </c>
      <c r="R83" s="1268"/>
      <c r="S83" s="1756">
        <f t="shared" ref="S83:AC83" si="6">S24</f>
        <v>0</v>
      </c>
      <c r="T83" s="330">
        <f t="shared" si="6"/>
        <v>0</v>
      </c>
      <c r="U83" s="330">
        <f t="shared" si="6"/>
        <v>0</v>
      </c>
      <c r="V83" s="330">
        <f t="shared" si="6"/>
        <v>0</v>
      </c>
      <c r="W83" s="1049">
        <f t="shared" si="6"/>
        <v>0</v>
      </c>
      <c r="X83" s="1084" t="str">
        <f t="shared" si="6"/>
        <v xml:space="preserve"> </v>
      </c>
      <c r="Y83" s="1756">
        <f t="shared" si="6"/>
        <v>0</v>
      </c>
      <c r="Z83" s="330">
        <f t="shared" si="6"/>
        <v>0</v>
      </c>
      <c r="AA83" s="330">
        <f t="shared" si="6"/>
        <v>0</v>
      </c>
      <c r="AB83" s="330">
        <f t="shared" si="6"/>
        <v>0</v>
      </c>
      <c r="AC83" s="330">
        <f t="shared" si="6"/>
        <v>0</v>
      </c>
      <c r="AD83" s="331" t="e">
        <f>SUM(H83:L83)/SUM(Y83:AC83)-1</f>
        <v>#DIV/0!</v>
      </c>
      <c r="AH83" s="1756">
        <f t="shared" ref="AH83:AO83" si="7">AH24</f>
        <v>0</v>
      </c>
      <c r="AI83" s="1058">
        <f t="shared" si="7"/>
        <v>0</v>
      </c>
      <c r="AJ83" s="1058">
        <f t="shared" si="7"/>
        <v>0</v>
      </c>
      <c r="AK83" s="1058">
        <f t="shared" si="7"/>
        <v>0</v>
      </c>
      <c r="AL83" s="1063">
        <f t="shared" si="7"/>
        <v>0</v>
      </c>
      <c r="AM83" s="1756">
        <f t="shared" si="7"/>
        <v>0</v>
      </c>
      <c r="AN83" s="1058">
        <f t="shared" si="7"/>
        <v>0</v>
      </c>
      <c r="AO83" s="1063">
        <f t="shared" si="7"/>
        <v>0</v>
      </c>
    </row>
    <row r="84" spans="1:41">
      <c r="A84" s="299"/>
      <c r="B84" s="1443" t="s">
        <v>584</v>
      </c>
      <c r="C84" s="1059"/>
      <c r="D84" s="1060"/>
      <c r="E84" s="1060"/>
      <c r="F84" s="1060"/>
      <c r="G84" s="1064"/>
      <c r="H84" s="1059"/>
      <c r="I84" s="1060"/>
      <c r="J84" s="1060"/>
      <c r="K84" s="1060"/>
      <c r="L84" s="1060"/>
      <c r="M84" s="1059"/>
      <c r="N84" s="1060"/>
      <c r="O84" s="1060"/>
      <c r="P84" s="1060"/>
      <c r="Q84" s="1064"/>
      <c r="R84" s="1268"/>
      <c r="S84" s="332"/>
      <c r="T84" s="324"/>
      <c r="U84" s="324"/>
      <c r="V84" s="324"/>
      <c r="W84" s="333"/>
      <c r="X84" s="324"/>
      <c r="Y84" s="332"/>
      <c r="Z84" s="324"/>
      <c r="AA84" s="324"/>
      <c r="AB84" s="324"/>
      <c r="AC84" s="324"/>
      <c r="AD84" s="333"/>
      <c r="AH84" s="1059"/>
      <c r="AI84" s="1060"/>
      <c r="AJ84" s="1060"/>
      <c r="AK84" s="1060"/>
      <c r="AL84" s="1064"/>
      <c r="AM84" s="1059"/>
      <c r="AN84" s="1060"/>
      <c r="AO84" s="1064"/>
    </row>
    <row r="85" spans="1:41">
      <c r="A85" s="299"/>
      <c r="B85" s="1444" t="s">
        <v>59</v>
      </c>
      <c r="C85" s="294"/>
      <c r="D85" s="488"/>
      <c r="E85" s="488"/>
      <c r="F85" s="488"/>
      <c r="G85" s="317"/>
      <c r="H85" s="294"/>
      <c r="I85" s="488"/>
      <c r="J85" s="488"/>
      <c r="K85" s="488"/>
      <c r="L85" s="488"/>
      <c r="M85" s="294"/>
      <c r="N85" s="488"/>
      <c r="O85" s="488"/>
      <c r="P85" s="488"/>
      <c r="Q85" s="317"/>
      <c r="R85" s="1268"/>
      <c r="S85" s="294"/>
      <c r="T85" s="488"/>
      <c r="U85" s="488"/>
      <c r="V85" s="488"/>
      <c r="W85" s="317"/>
      <c r="X85" s="1085" t="e">
        <f>SUM(C85:G85)/SUM(S85:W85)-1</f>
        <v>#DIV/0!</v>
      </c>
      <c r="Y85" s="294"/>
      <c r="Z85" s="488"/>
      <c r="AA85" s="488"/>
      <c r="AB85" s="488"/>
      <c r="AC85" s="488"/>
      <c r="AD85" s="1089" t="e">
        <f>SUM(H85:L85)/SUM(Y85:AC85)-1</f>
        <v>#DIV/0!</v>
      </c>
      <c r="AH85" s="297"/>
      <c r="AI85" s="493"/>
      <c r="AJ85" s="493"/>
      <c r="AK85" s="493"/>
      <c r="AL85" s="319"/>
      <c r="AM85" s="297"/>
      <c r="AN85" s="493"/>
      <c r="AO85" s="319"/>
    </row>
    <row r="86" spans="1:41">
      <c r="A86" s="299"/>
      <c r="B86" s="1444" t="s">
        <v>588</v>
      </c>
      <c r="C86" s="294"/>
      <c r="D86" s="488"/>
      <c r="E86" s="488"/>
      <c r="F86" s="488"/>
      <c r="G86" s="317"/>
      <c r="H86" s="294"/>
      <c r="I86" s="488"/>
      <c r="J86" s="488"/>
      <c r="K86" s="488"/>
      <c r="L86" s="488"/>
      <c r="M86" s="294"/>
      <c r="N86" s="488"/>
      <c r="O86" s="488"/>
      <c r="P86" s="488"/>
      <c r="Q86" s="317"/>
      <c r="R86" s="1268"/>
      <c r="S86" s="294"/>
      <c r="T86" s="488"/>
      <c r="U86" s="488"/>
      <c r="V86" s="488"/>
      <c r="W86" s="317"/>
      <c r="X86" s="1085" t="e">
        <f>SUM(C86:G86)/SUM(S86:W86)-1</f>
        <v>#DIV/0!</v>
      </c>
      <c r="Y86" s="294"/>
      <c r="Z86" s="488"/>
      <c r="AA86" s="488"/>
      <c r="AB86" s="488"/>
      <c r="AC86" s="488"/>
      <c r="AD86" s="1089" t="e">
        <f>SUM(H86:L86)/SUM(Y86:AC86)-1</f>
        <v>#DIV/0!</v>
      </c>
      <c r="AH86" s="297"/>
      <c r="AI86" s="493"/>
      <c r="AJ86" s="493"/>
      <c r="AK86" s="493"/>
      <c r="AL86" s="319"/>
      <c r="AM86" s="297"/>
      <c r="AN86" s="493"/>
      <c r="AO86" s="319"/>
    </row>
    <row r="87" spans="1:41">
      <c r="A87" s="299"/>
      <c r="B87" s="1444" t="s">
        <v>63</v>
      </c>
      <c r="C87" s="294"/>
      <c r="D87" s="488"/>
      <c r="E87" s="488"/>
      <c r="F87" s="488"/>
      <c r="G87" s="317"/>
      <c r="H87" s="294"/>
      <c r="I87" s="488"/>
      <c r="J87" s="488"/>
      <c r="K87" s="488"/>
      <c r="L87" s="488"/>
      <c r="M87" s="294"/>
      <c r="N87" s="488"/>
      <c r="O87" s="488"/>
      <c r="P87" s="488"/>
      <c r="Q87" s="317"/>
      <c r="R87" s="1268"/>
      <c r="S87" s="294"/>
      <c r="T87" s="488"/>
      <c r="U87" s="488"/>
      <c r="V87" s="488"/>
      <c r="W87" s="317"/>
      <c r="X87" s="1085" t="e">
        <f>SUM(C87:G87)/SUM(S87:W87)-1</f>
        <v>#DIV/0!</v>
      </c>
      <c r="Y87" s="294"/>
      <c r="Z87" s="488"/>
      <c r="AA87" s="488"/>
      <c r="AB87" s="488"/>
      <c r="AC87" s="488"/>
      <c r="AD87" s="1089" t="e">
        <f>SUM(H87:L87)/SUM(Y87:AC87)-1</f>
        <v>#DIV/0!</v>
      </c>
      <c r="AH87" s="297"/>
      <c r="AI87" s="493"/>
      <c r="AJ87" s="493"/>
      <c r="AK87" s="493"/>
      <c r="AL87" s="319"/>
      <c r="AM87" s="297"/>
      <c r="AN87" s="493"/>
      <c r="AO87" s="319"/>
    </row>
    <row r="88" spans="1:41">
      <c r="A88" s="299"/>
      <c r="B88" s="1446" t="s">
        <v>589</v>
      </c>
      <c r="C88" s="334">
        <f>SUM(C85:C87)</f>
        <v>0</v>
      </c>
      <c r="D88" s="1061">
        <f t="shared" ref="D88:W88" si="8">SUM(D85:D87)</f>
        <v>0</v>
      </c>
      <c r="E88" s="1061">
        <f t="shared" si="8"/>
        <v>0</v>
      </c>
      <c r="F88" s="1061">
        <f t="shared" si="8"/>
        <v>0</v>
      </c>
      <c r="G88" s="1065">
        <f t="shared" si="8"/>
        <v>0</v>
      </c>
      <c r="H88" s="334">
        <f t="shared" si="8"/>
        <v>0</v>
      </c>
      <c r="I88" s="1061">
        <f t="shared" si="8"/>
        <v>0</v>
      </c>
      <c r="J88" s="1061">
        <f t="shared" si="8"/>
        <v>0</v>
      </c>
      <c r="K88" s="1061">
        <f t="shared" si="8"/>
        <v>0</v>
      </c>
      <c r="L88" s="1061">
        <f t="shared" si="8"/>
        <v>0</v>
      </c>
      <c r="M88" s="334">
        <f t="shared" si="8"/>
        <v>0</v>
      </c>
      <c r="N88" s="1061">
        <f t="shared" si="8"/>
        <v>0</v>
      </c>
      <c r="O88" s="1061">
        <f t="shared" si="8"/>
        <v>0</v>
      </c>
      <c r="P88" s="1061">
        <f t="shared" si="8"/>
        <v>0</v>
      </c>
      <c r="Q88" s="1065">
        <f t="shared" si="8"/>
        <v>0</v>
      </c>
      <c r="R88" s="1268"/>
      <c r="S88" s="334">
        <f t="shared" si="8"/>
        <v>0</v>
      </c>
      <c r="T88" s="325">
        <f t="shared" si="8"/>
        <v>0</v>
      </c>
      <c r="U88" s="325">
        <f t="shared" si="8"/>
        <v>0</v>
      </c>
      <c r="V88" s="325">
        <f t="shared" si="8"/>
        <v>0</v>
      </c>
      <c r="W88" s="1050">
        <f t="shared" si="8"/>
        <v>0</v>
      </c>
      <c r="X88" s="1092" t="e">
        <f>SUM(C88:G88)/SUM(S88:W88)-1</f>
        <v>#DIV/0!</v>
      </c>
      <c r="Y88" s="334">
        <f>SUM(Y85:Y87)</f>
        <v>0</v>
      </c>
      <c r="Z88" s="325">
        <f>SUM(Z85:Z87)</f>
        <v>0</v>
      </c>
      <c r="AA88" s="325">
        <f>SUM(AA85:AA87)</f>
        <v>0</v>
      </c>
      <c r="AB88" s="325">
        <f>SUM(AB85:AB87)</f>
        <v>0</v>
      </c>
      <c r="AC88" s="325">
        <f>SUM(AC85:AC87)</f>
        <v>0</v>
      </c>
      <c r="AD88" s="335" t="e">
        <f>SUM(H88:L88)/SUM(Y88:AC88)-1</f>
        <v>#DIV/0!</v>
      </c>
      <c r="AH88" s="334">
        <f>SUM(AH85:AH87)</f>
        <v>0</v>
      </c>
      <c r="AI88" s="1061">
        <f t="shared" ref="AI88:AO88" si="9">SUM(AI85:AI87)</f>
        <v>0</v>
      </c>
      <c r="AJ88" s="1061">
        <f t="shared" si="9"/>
        <v>0</v>
      </c>
      <c r="AK88" s="1061">
        <f t="shared" si="9"/>
        <v>0</v>
      </c>
      <c r="AL88" s="1065">
        <f t="shared" si="9"/>
        <v>0</v>
      </c>
      <c r="AM88" s="334">
        <f t="shared" si="9"/>
        <v>0</v>
      </c>
      <c r="AN88" s="1061">
        <f t="shared" si="9"/>
        <v>0</v>
      </c>
      <c r="AO88" s="1065">
        <f t="shared" si="9"/>
        <v>0</v>
      </c>
    </row>
    <row r="89" spans="1:41">
      <c r="A89" s="299"/>
      <c r="B89" s="1442" t="s">
        <v>585</v>
      </c>
      <c r="C89" s="1059"/>
      <c r="D89" s="1060"/>
      <c r="E89" s="1060"/>
      <c r="F89" s="1060"/>
      <c r="G89" s="1064"/>
      <c r="H89" s="1059"/>
      <c r="I89" s="1060"/>
      <c r="J89" s="1060"/>
      <c r="K89" s="1060"/>
      <c r="L89" s="1060"/>
      <c r="M89" s="1059"/>
      <c r="N89" s="1060"/>
      <c r="O89" s="1060"/>
      <c r="P89" s="1060"/>
      <c r="Q89" s="1064"/>
      <c r="R89" s="1268"/>
      <c r="S89" s="332"/>
      <c r="T89" s="324"/>
      <c r="U89" s="324"/>
      <c r="V89" s="324"/>
      <c r="W89" s="333"/>
      <c r="X89" s="324"/>
      <c r="Y89" s="332"/>
      <c r="Z89" s="324"/>
      <c r="AA89" s="324"/>
      <c r="AB89" s="324"/>
      <c r="AC89" s="324"/>
      <c r="AD89" s="333"/>
      <c r="AH89" s="1059"/>
      <c r="AI89" s="1060"/>
      <c r="AJ89" s="1060"/>
      <c r="AK89" s="1060"/>
      <c r="AL89" s="1064"/>
      <c r="AM89" s="1059"/>
      <c r="AN89" s="1060"/>
      <c r="AO89" s="1064"/>
    </row>
    <row r="90" spans="1:41">
      <c r="A90" s="299"/>
      <c r="B90" s="329" t="s">
        <v>59</v>
      </c>
      <c r="C90" s="294"/>
      <c r="D90" s="488"/>
      <c r="E90" s="488"/>
      <c r="F90" s="488"/>
      <c r="G90" s="317"/>
      <c r="H90" s="294"/>
      <c r="I90" s="488"/>
      <c r="J90" s="488"/>
      <c r="K90" s="488"/>
      <c r="L90" s="488"/>
      <c r="M90" s="294"/>
      <c r="N90" s="488"/>
      <c r="O90" s="488"/>
      <c r="P90" s="488"/>
      <c r="Q90" s="317"/>
      <c r="R90" s="1268"/>
      <c r="S90" s="294"/>
      <c r="T90" s="488"/>
      <c r="U90" s="488"/>
      <c r="V90" s="488"/>
      <c r="W90" s="317"/>
      <c r="X90" s="1085" t="e">
        <f>SUM(C90:G90)/SUM(S90:W90)-1</f>
        <v>#DIV/0!</v>
      </c>
      <c r="Y90" s="294"/>
      <c r="Z90" s="488"/>
      <c r="AA90" s="488"/>
      <c r="AB90" s="488"/>
      <c r="AC90" s="488"/>
      <c r="AD90" s="1089" t="e">
        <f>SUM(H90:L90)/SUM(Y90:AC90)-1</f>
        <v>#DIV/0!</v>
      </c>
      <c r="AH90" s="297"/>
      <c r="AI90" s="493"/>
      <c r="AJ90" s="493"/>
      <c r="AK90" s="493"/>
      <c r="AL90" s="319"/>
      <c r="AM90" s="297"/>
      <c r="AN90" s="493"/>
      <c r="AO90" s="319"/>
    </row>
    <row r="91" spans="1:41">
      <c r="A91" s="299"/>
      <c r="B91" s="329" t="s">
        <v>588</v>
      </c>
      <c r="C91" s="294"/>
      <c r="D91" s="488"/>
      <c r="E91" s="488"/>
      <c r="F91" s="488"/>
      <c r="G91" s="317"/>
      <c r="H91" s="294"/>
      <c r="I91" s="488"/>
      <c r="J91" s="488"/>
      <c r="K91" s="488"/>
      <c r="L91" s="488"/>
      <c r="M91" s="294"/>
      <c r="N91" s="488"/>
      <c r="O91" s="488"/>
      <c r="P91" s="488"/>
      <c r="Q91" s="317"/>
      <c r="R91" s="1268"/>
      <c r="S91" s="294"/>
      <c r="T91" s="488"/>
      <c r="U91" s="488"/>
      <c r="V91" s="488"/>
      <c r="W91" s="317"/>
      <c r="X91" s="1085" t="e">
        <f>SUM(C91:G91)/SUM(S91:W91)-1</f>
        <v>#DIV/0!</v>
      </c>
      <c r="Y91" s="294"/>
      <c r="Z91" s="488"/>
      <c r="AA91" s="488"/>
      <c r="AB91" s="488"/>
      <c r="AC91" s="488"/>
      <c r="AD91" s="1089" t="e">
        <f>SUM(H91:L91)/SUM(Y91:AC91)-1</f>
        <v>#DIV/0!</v>
      </c>
      <c r="AH91" s="297"/>
      <c r="AI91" s="493"/>
      <c r="AJ91" s="493"/>
      <c r="AK91" s="493"/>
      <c r="AL91" s="319"/>
      <c r="AM91" s="297"/>
      <c r="AN91" s="493"/>
      <c r="AO91" s="319"/>
    </row>
    <row r="92" spans="1:41">
      <c r="A92" s="299"/>
      <c r="B92" s="329" t="s">
        <v>63</v>
      </c>
      <c r="C92" s="294"/>
      <c r="D92" s="488"/>
      <c r="E92" s="488"/>
      <c r="F92" s="488"/>
      <c r="G92" s="317"/>
      <c r="H92" s="294"/>
      <c r="I92" s="488"/>
      <c r="J92" s="488"/>
      <c r="K92" s="488"/>
      <c r="L92" s="488"/>
      <c r="M92" s="294"/>
      <c r="N92" s="488"/>
      <c r="O92" s="488"/>
      <c r="P92" s="488"/>
      <c r="Q92" s="317"/>
      <c r="R92" s="1268"/>
      <c r="S92" s="294"/>
      <c r="T92" s="488"/>
      <c r="U92" s="488"/>
      <c r="V92" s="488"/>
      <c r="W92" s="317"/>
      <c r="X92" s="1085" t="e">
        <f>SUM(C92:G92)/SUM(S92:W92)-1</f>
        <v>#DIV/0!</v>
      </c>
      <c r="Y92" s="294"/>
      <c r="Z92" s="488"/>
      <c r="AA92" s="488"/>
      <c r="AB92" s="488"/>
      <c r="AC92" s="488"/>
      <c r="AD92" s="1089" t="e">
        <f>SUM(H92:L92)/SUM(Y92:AC92)-1</f>
        <v>#DIV/0!</v>
      </c>
      <c r="AH92" s="297"/>
      <c r="AI92" s="493"/>
      <c r="AJ92" s="493"/>
      <c r="AK92" s="493"/>
      <c r="AL92" s="319"/>
      <c r="AM92" s="297"/>
      <c r="AN92" s="493"/>
      <c r="AO92" s="319"/>
    </row>
    <row r="93" spans="1:41">
      <c r="A93" s="299"/>
      <c r="B93" s="1446" t="s">
        <v>586</v>
      </c>
      <c r="C93" s="297">
        <f>SUM(C90:C92)</f>
        <v>0</v>
      </c>
      <c r="D93" s="493">
        <f t="shared" ref="D93:W93" si="10">SUM(D90:D92)</f>
        <v>0</v>
      </c>
      <c r="E93" s="493">
        <f t="shared" si="10"/>
        <v>0</v>
      </c>
      <c r="F93" s="493">
        <f t="shared" si="10"/>
        <v>0</v>
      </c>
      <c r="G93" s="319">
        <f t="shared" si="10"/>
        <v>0</v>
      </c>
      <c r="H93" s="297">
        <f t="shared" si="10"/>
        <v>0</v>
      </c>
      <c r="I93" s="493">
        <f t="shared" si="10"/>
        <v>0</v>
      </c>
      <c r="J93" s="493">
        <f t="shared" si="10"/>
        <v>0</v>
      </c>
      <c r="K93" s="493">
        <f t="shared" si="10"/>
        <v>0</v>
      </c>
      <c r="L93" s="493">
        <f t="shared" si="10"/>
        <v>0</v>
      </c>
      <c r="M93" s="297">
        <f t="shared" si="10"/>
        <v>0</v>
      </c>
      <c r="N93" s="493">
        <f t="shared" si="10"/>
        <v>0</v>
      </c>
      <c r="O93" s="493">
        <f t="shared" si="10"/>
        <v>0</v>
      </c>
      <c r="P93" s="493">
        <f t="shared" si="10"/>
        <v>0</v>
      </c>
      <c r="Q93" s="319">
        <f t="shared" si="10"/>
        <v>0</v>
      </c>
      <c r="R93" s="1268"/>
      <c r="S93" s="297">
        <f t="shared" si="10"/>
        <v>0</v>
      </c>
      <c r="T93" s="493">
        <f t="shared" si="10"/>
        <v>0</v>
      </c>
      <c r="U93" s="493">
        <f t="shared" si="10"/>
        <v>0</v>
      </c>
      <c r="V93" s="493">
        <f t="shared" si="10"/>
        <v>0</v>
      </c>
      <c r="W93" s="319">
        <f t="shared" si="10"/>
        <v>0</v>
      </c>
      <c r="X93" s="1085" t="e">
        <f>SUM(C93:G93)/SUM(S93:W93)-1</f>
        <v>#DIV/0!</v>
      </c>
      <c r="Y93" s="297">
        <f>SUM(Y90:Y92)</f>
        <v>0</v>
      </c>
      <c r="Z93" s="493">
        <f>SUM(Z90:Z92)</f>
        <v>0</v>
      </c>
      <c r="AA93" s="493">
        <f>SUM(AA90:AA92)</f>
        <v>0</v>
      </c>
      <c r="AB93" s="493">
        <f>SUM(AB90:AB92)</f>
        <v>0</v>
      </c>
      <c r="AC93" s="493">
        <f>SUM(AC90:AC92)</f>
        <v>0</v>
      </c>
      <c r="AD93" s="1089" t="e">
        <f>SUM(H93:L93)/SUM(Y93:AC93)-1</f>
        <v>#DIV/0!</v>
      </c>
      <c r="AH93" s="297">
        <f>SUM(AH90:AH92)</f>
        <v>0</v>
      </c>
      <c r="AI93" s="493">
        <f t="shared" ref="AI93:AO93" si="11">SUM(AI90:AI92)</f>
        <v>0</v>
      </c>
      <c r="AJ93" s="493">
        <f t="shared" si="11"/>
        <v>0</v>
      </c>
      <c r="AK93" s="493">
        <f t="shared" si="11"/>
        <v>0</v>
      </c>
      <c r="AL93" s="319">
        <f t="shared" si="11"/>
        <v>0</v>
      </c>
      <c r="AM93" s="297">
        <f t="shared" si="11"/>
        <v>0</v>
      </c>
      <c r="AN93" s="493">
        <f t="shared" si="11"/>
        <v>0</v>
      </c>
      <c r="AO93" s="319">
        <f t="shared" si="11"/>
        <v>0</v>
      </c>
    </row>
    <row r="94" spans="1:41">
      <c r="A94" s="299"/>
      <c r="B94" s="1445" t="s">
        <v>590</v>
      </c>
      <c r="C94" s="1059"/>
      <c r="D94" s="1060"/>
      <c r="E94" s="1060"/>
      <c r="F94" s="1060"/>
      <c r="G94" s="1064"/>
      <c r="H94" s="1059"/>
      <c r="I94" s="1060"/>
      <c r="J94" s="1060"/>
      <c r="K94" s="1060"/>
      <c r="L94" s="1060"/>
      <c r="M94" s="1059"/>
      <c r="N94" s="1060"/>
      <c r="O94" s="1060"/>
      <c r="P94" s="1060"/>
      <c r="Q94" s="1064"/>
      <c r="R94" s="1268"/>
      <c r="S94" s="332"/>
      <c r="T94" s="324"/>
      <c r="U94" s="324"/>
      <c r="V94" s="324"/>
      <c r="W94" s="333"/>
      <c r="X94" s="324"/>
      <c r="Y94" s="332"/>
      <c r="Z94" s="324"/>
      <c r="AA94" s="324"/>
      <c r="AB94" s="324"/>
      <c r="AC94" s="324"/>
      <c r="AD94" s="333"/>
      <c r="AH94" s="1059"/>
      <c r="AI94" s="1060"/>
      <c r="AJ94" s="1060"/>
      <c r="AK94" s="1060"/>
      <c r="AL94" s="1064"/>
      <c r="AM94" s="1059"/>
      <c r="AN94" s="1060"/>
      <c r="AO94" s="1064"/>
    </row>
    <row r="95" spans="1:41">
      <c r="A95" s="299"/>
      <c r="B95" s="1444" t="s">
        <v>59</v>
      </c>
      <c r="C95" s="294"/>
      <c r="D95" s="488"/>
      <c r="E95" s="488"/>
      <c r="F95" s="488"/>
      <c r="G95" s="317"/>
      <c r="H95" s="294"/>
      <c r="I95" s="488"/>
      <c r="J95" s="488"/>
      <c r="K95" s="488"/>
      <c r="L95" s="488"/>
      <c r="M95" s="294"/>
      <c r="N95" s="488"/>
      <c r="O95" s="488"/>
      <c r="P95" s="488"/>
      <c r="Q95" s="317"/>
      <c r="R95" s="1268"/>
      <c r="S95" s="294"/>
      <c r="T95" s="488"/>
      <c r="U95" s="488"/>
      <c r="V95" s="488"/>
      <c r="W95" s="317"/>
      <c r="X95" s="1085" t="e">
        <f>SUM(C95:G95)/SUM(S95:W95)-1</f>
        <v>#DIV/0!</v>
      </c>
      <c r="Y95" s="294"/>
      <c r="Z95" s="488"/>
      <c r="AA95" s="488"/>
      <c r="AB95" s="488"/>
      <c r="AC95" s="488"/>
      <c r="AD95" s="1089" t="e">
        <f>SUM(H95:L95)/SUM(Y95:AC95)-1</f>
        <v>#DIV/0!</v>
      </c>
      <c r="AH95" s="297"/>
      <c r="AI95" s="493"/>
      <c r="AJ95" s="493"/>
      <c r="AK95" s="493"/>
      <c r="AL95" s="319"/>
      <c r="AM95" s="297"/>
      <c r="AN95" s="493"/>
      <c r="AO95" s="319"/>
    </row>
    <row r="96" spans="1:41">
      <c r="A96" s="299"/>
      <c r="B96" s="1444" t="s">
        <v>588</v>
      </c>
      <c r="C96" s="294"/>
      <c r="D96" s="488"/>
      <c r="E96" s="488"/>
      <c r="F96" s="488"/>
      <c r="G96" s="317"/>
      <c r="H96" s="294"/>
      <c r="I96" s="488"/>
      <c r="J96" s="488"/>
      <c r="K96" s="488"/>
      <c r="L96" s="488"/>
      <c r="M96" s="294"/>
      <c r="N96" s="488"/>
      <c r="O96" s="488"/>
      <c r="P96" s="488"/>
      <c r="Q96" s="317"/>
      <c r="R96" s="1268"/>
      <c r="S96" s="294"/>
      <c r="T96" s="488"/>
      <c r="U96" s="488"/>
      <c r="V96" s="488"/>
      <c r="W96" s="317"/>
      <c r="X96" s="1085" t="e">
        <f>SUM(C96:G96)/SUM(S96:W96)-1</f>
        <v>#DIV/0!</v>
      </c>
      <c r="Y96" s="294"/>
      <c r="Z96" s="488"/>
      <c r="AA96" s="488"/>
      <c r="AB96" s="488"/>
      <c r="AC96" s="488"/>
      <c r="AD96" s="1089" t="e">
        <f>SUM(H96:L96)/SUM(Y96:AC96)-1</f>
        <v>#DIV/0!</v>
      </c>
      <c r="AH96" s="297"/>
      <c r="AI96" s="493"/>
      <c r="AJ96" s="493"/>
      <c r="AK96" s="493"/>
      <c r="AL96" s="319"/>
      <c r="AM96" s="297"/>
      <c r="AN96" s="493"/>
      <c r="AO96" s="319"/>
    </row>
    <row r="97" spans="1:41">
      <c r="A97" s="299"/>
      <c r="B97" s="1444" t="s">
        <v>63</v>
      </c>
      <c r="C97" s="294"/>
      <c r="D97" s="488"/>
      <c r="E97" s="488"/>
      <c r="F97" s="488"/>
      <c r="G97" s="317"/>
      <c r="H97" s="294"/>
      <c r="I97" s="488"/>
      <c r="J97" s="488"/>
      <c r="K97" s="488"/>
      <c r="L97" s="488"/>
      <c r="M97" s="294"/>
      <c r="N97" s="488"/>
      <c r="O97" s="488"/>
      <c r="P97" s="488"/>
      <c r="Q97" s="317"/>
      <c r="R97" s="1268"/>
      <c r="S97" s="294"/>
      <c r="T97" s="488"/>
      <c r="U97" s="488"/>
      <c r="V97" s="488"/>
      <c r="W97" s="317"/>
      <c r="X97" s="1085" t="e">
        <f>SUM(C97:G97)/SUM(S97:W97)-1</f>
        <v>#DIV/0!</v>
      </c>
      <c r="Y97" s="294"/>
      <c r="Z97" s="488"/>
      <c r="AA97" s="488"/>
      <c r="AB97" s="488"/>
      <c r="AC97" s="488"/>
      <c r="AD97" s="1089" t="e">
        <f>SUM(H97:L97)/SUM(Y97:AC97)-1</f>
        <v>#DIV/0!</v>
      </c>
      <c r="AH97" s="297"/>
      <c r="AI97" s="493"/>
      <c r="AJ97" s="493"/>
      <c r="AK97" s="493"/>
      <c r="AL97" s="319"/>
      <c r="AM97" s="297"/>
      <c r="AN97" s="493"/>
      <c r="AO97" s="319"/>
    </row>
    <row r="98" spans="1:41">
      <c r="A98" s="299"/>
      <c r="B98" s="1446" t="s">
        <v>594</v>
      </c>
      <c r="C98" s="334">
        <f>SUM(C95:C97)</f>
        <v>0</v>
      </c>
      <c r="D98" s="1061">
        <f t="shared" ref="D98:W98" si="12">SUM(D95:D97)</f>
        <v>0</v>
      </c>
      <c r="E98" s="1061">
        <f t="shared" si="12"/>
        <v>0</v>
      </c>
      <c r="F98" s="1061">
        <f t="shared" si="12"/>
        <v>0</v>
      </c>
      <c r="G98" s="1065">
        <f t="shared" si="12"/>
        <v>0</v>
      </c>
      <c r="H98" s="334">
        <f t="shared" si="12"/>
        <v>0</v>
      </c>
      <c r="I98" s="1061">
        <f t="shared" si="12"/>
        <v>0</v>
      </c>
      <c r="J98" s="1061">
        <f t="shared" si="12"/>
        <v>0</v>
      </c>
      <c r="K98" s="1061">
        <f t="shared" si="12"/>
        <v>0</v>
      </c>
      <c r="L98" s="1061">
        <f t="shared" si="12"/>
        <v>0</v>
      </c>
      <c r="M98" s="334">
        <f t="shared" si="12"/>
        <v>0</v>
      </c>
      <c r="N98" s="1061">
        <f t="shared" si="12"/>
        <v>0</v>
      </c>
      <c r="O98" s="1061">
        <f t="shared" si="12"/>
        <v>0</v>
      </c>
      <c r="P98" s="1061">
        <f t="shared" si="12"/>
        <v>0</v>
      </c>
      <c r="Q98" s="1065">
        <f t="shared" si="12"/>
        <v>0</v>
      </c>
      <c r="R98" s="1268"/>
      <c r="S98" s="334">
        <f t="shared" si="12"/>
        <v>0</v>
      </c>
      <c r="T98" s="325">
        <f t="shared" si="12"/>
        <v>0</v>
      </c>
      <c r="U98" s="325">
        <f t="shared" si="12"/>
        <v>0</v>
      </c>
      <c r="V98" s="325">
        <f t="shared" si="12"/>
        <v>0</v>
      </c>
      <c r="W98" s="1050">
        <f t="shared" si="12"/>
        <v>0</v>
      </c>
      <c r="X98" s="1092" t="e">
        <f>SUM(C98:G98)/SUM(S98:W98)-1</f>
        <v>#DIV/0!</v>
      </c>
      <c r="Y98" s="334">
        <f>SUM(Y95:Y97)</f>
        <v>0</v>
      </c>
      <c r="Z98" s="325">
        <f>SUM(Z95:Z97)</f>
        <v>0</v>
      </c>
      <c r="AA98" s="325">
        <f>SUM(AA95:AA97)</f>
        <v>0</v>
      </c>
      <c r="AB98" s="325">
        <f>SUM(AB95:AB97)</f>
        <v>0</v>
      </c>
      <c r="AC98" s="325">
        <f>SUM(AC95:AC97)</f>
        <v>0</v>
      </c>
      <c r="AD98" s="335" t="e">
        <f>SUM(H98:L98)/SUM(Y98:AC98)-1</f>
        <v>#DIV/0!</v>
      </c>
      <c r="AH98" s="334">
        <f>SUM(AH95:AH97)</f>
        <v>0</v>
      </c>
      <c r="AI98" s="1061">
        <f t="shared" ref="AI98:AO98" si="13">SUM(AI95:AI97)</f>
        <v>0</v>
      </c>
      <c r="AJ98" s="1061">
        <f t="shared" si="13"/>
        <v>0</v>
      </c>
      <c r="AK98" s="1061">
        <f t="shared" si="13"/>
        <v>0</v>
      </c>
      <c r="AL98" s="1065">
        <f t="shared" si="13"/>
        <v>0</v>
      </c>
      <c r="AM98" s="334">
        <f t="shared" si="13"/>
        <v>0</v>
      </c>
      <c r="AN98" s="1061">
        <f t="shared" si="13"/>
        <v>0</v>
      </c>
      <c r="AO98" s="1065">
        <f t="shared" si="13"/>
        <v>0</v>
      </c>
    </row>
    <row r="99" spans="1:41">
      <c r="A99" s="299"/>
      <c r="B99" s="1448" t="s">
        <v>592</v>
      </c>
      <c r="C99" s="1059"/>
      <c r="D99" s="1060"/>
      <c r="E99" s="1060"/>
      <c r="F99" s="1060"/>
      <c r="G99" s="1064"/>
      <c r="H99" s="1059"/>
      <c r="I99" s="1060"/>
      <c r="J99" s="1060"/>
      <c r="K99" s="1060"/>
      <c r="L99" s="1060"/>
      <c r="M99" s="1059"/>
      <c r="N99" s="1060"/>
      <c r="O99" s="1060"/>
      <c r="P99" s="1060"/>
      <c r="Q99" s="1064"/>
      <c r="R99" s="1268"/>
      <c r="S99" s="332"/>
      <c r="T99" s="324"/>
      <c r="U99" s="324"/>
      <c r="V99" s="324"/>
      <c r="W99" s="333"/>
      <c r="X99" s="324"/>
      <c r="Y99" s="332"/>
      <c r="Z99" s="324"/>
      <c r="AA99" s="324"/>
      <c r="AB99" s="324"/>
      <c r="AC99" s="324"/>
      <c r="AD99" s="333"/>
      <c r="AH99" s="1059"/>
      <c r="AI99" s="1060"/>
      <c r="AJ99" s="1060"/>
      <c r="AK99" s="1060"/>
      <c r="AL99" s="1064"/>
      <c r="AM99" s="1059"/>
      <c r="AN99" s="1060"/>
      <c r="AO99" s="1064"/>
    </row>
    <row r="100" spans="1:41">
      <c r="A100" s="299"/>
      <c r="B100" s="1449" t="s">
        <v>59</v>
      </c>
      <c r="C100" s="336">
        <f t="shared" ref="C100:W102" si="14">C90+C85+C95</f>
        <v>0</v>
      </c>
      <c r="D100" s="320">
        <f t="shared" si="14"/>
        <v>0</v>
      </c>
      <c r="E100" s="320">
        <f t="shared" si="14"/>
        <v>0</v>
      </c>
      <c r="F100" s="320">
        <f t="shared" si="14"/>
        <v>0</v>
      </c>
      <c r="G100" s="1051">
        <f t="shared" si="14"/>
        <v>0</v>
      </c>
      <c r="H100" s="336">
        <f t="shared" si="14"/>
        <v>0</v>
      </c>
      <c r="I100" s="320">
        <f t="shared" si="14"/>
        <v>0</v>
      </c>
      <c r="J100" s="320">
        <f t="shared" si="14"/>
        <v>0</v>
      </c>
      <c r="K100" s="320">
        <f t="shared" si="14"/>
        <v>0</v>
      </c>
      <c r="L100" s="320">
        <f t="shared" si="14"/>
        <v>0</v>
      </c>
      <c r="M100" s="336">
        <f t="shared" si="14"/>
        <v>0</v>
      </c>
      <c r="N100" s="320">
        <f t="shared" si="14"/>
        <v>0</v>
      </c>
      <c r="O100" s="320">
        <f t="shared" si="14"/>
        <v>0</v>
      </c>
      <c r="P100" s="320">
        <f t="shared" si="14"/>
        <v>0</v>
      </c>
      <c r="Q100" s="1051">
        <f t="shared" si="14"/>
        <v>0</v>
      </c>
      <c r="R100" s="1268"/>
      <c r="S100" s="336">
        <f t="shared" si="14"/>
        <v>0</v>
      </c>
      <c r="T100" s="320">
        <f t="shared" si="14"/>
        <v>0</v>
      </c>
      <c r="U100" s="320">
        <f t="shared" si="14"/>
        <v>0</v>
      </c>
      <c r="V100" s="320">
        <f t="shared" si="14"/>
        <v>0</v>
      </c>
      <c r="W100" s="1051">
        <f t="shared" si="14"/>
        <v>0</v>
      </c>
      <c r="X100" s="321" t="e">
        <f t="shared" ref="X100:X106" si="15">SUM(C100:G100)/SUM(S100:W100)-1</f>
        <v>#DIV/0!</v>
      </c>
      <c r="Y100" s="336">
        <f t="shared" ref="Y100:AC102" si="16">Y90+Y85+Y95</f>
        <v>0</v>
      </c>
      <c r="Z100" s="320">
        <f t="shared" si="16"/>
        <v>0</v>
      </c>
      <c r="AA100" s="320">
        <f t="shared" si="16"/>
        <v>0</v>
      </c>
      <c r="AB100" s="320">
        <f t="shared" si="16"/>
        <v>0</v>
      </c>
      <c r="AC100" s="320">
        <f t="shared" si="16"/>
        <v>0</v>
      </c>
      <c r="AD100" s="338" t="e">
        <f t="shared" ref="AD100:AD106" si="17">SUM(H100:L100)/SUM(Y100:AC100)-1</f>
        <v>#DIV/0!</v>
      </c>
      <c r="AH100" s="336">
        <f t="shared" ref="AH100:AO100" si="18">AH90+AH85+AH95</f>
        <v>0</v>
      </c>
      <c r="AI100" s="320">
        <f t="shared" si="18"/>
        <v>0</v>
      </c>
      <c r="AJ100" s="320">
        <f t="shared" si="18"/>
        <v>0</v>
      </c>
      <c r="AK100" s="320">
        <f t="shared" si="18"/>
        <v>0</v>
      </c>
      <c r="AL100" s="1051">
        <f t="shared" si="18"/>
        <v>0</v>
      </c>
      <c r="AM100" s="336">
        <f t="shared" si="18"/>
        <v>0</v>
      </c>
      <c r="AN100" s="320">
        <f t="shared" si="18"/>
        <v>0</v>
      </c>
      <c r="AO100" s="1051">
        <f t="shared" si="18"/>
        <v>0</v>
      </c>
    </row>
    <row r="101" spans="1:41">
      <c r="A101" s="299"/>
      <c r="B101" s="1449" t="s">
        <v>588</v>
      </c>
      <c r="C101" s="336">
        <f t="shared" si="14"/>
        <v>0</v>
      </c>
      <c r="D101" s="320">
        <f t="shared" si="14"/>
        <v>0</v>
      </c>
      <c r="E101" s="320">
        <f t="shared" si="14"/>
        <v>0</v>
      </c>
      <c r="F101" s="320">
        <f t="shared" si="14"/>
        <v>0</v>
      </c>
      <c r="G101" s="1051">
        <f t="shared" si="14"/>
        <v>0</v>
      </c>
      <c r="H101" s="336">
        <f t="shared" si="14"/>
        <v>0</v>
      </c>
      <c r="I101" s="320">
        <f t="shared" si="14"/>
        <v>0</v>
      </c>
      <c r="J101" s="320">
        <f t="shared" si="14"/>
        <v>0</v>
      </c>
      <c r="K101" s="320">
        <f t="shared" si="14"/>
        <v>0</v>
      </c>
      <c r="L101" s="320">
        <f t="shared" si="14"/>
        <v>0</v>
      </c>
      <c r="M101" s="336">
        <f t="shared" si="14"/>
        <v>0</v>
      </c>
      <c r="N101" s="320">
        <f t="shared" si="14"/>
        <v>0</v>
      </c>
      <c r="O101" s="320">
        <f t="shared" si="14"/>
        <v>0</v>
      </c>
      <c r="P101" s="320">
        <f t="shared" si="14"/>
        <v>0</v>
      </c>
      <c r="Q101" s="1051">
        <f t="shared" si="14"/>
        <v>0</v>
      </c>
      <c r="R101" s="1268"/>
      <c r="S101" s="336">
        <f t="shared" si="14"/>
        <v>0</v>
      </c>
      <c r="T101" s="320">
        <f t="shared" si="14"/>
        <v>0</v>
      </c>
      <c r="U101" s="320">
        <f t="shared" si="14"/>
        <v>0</v>
      </c>
      <c r="V101" s="320">
        <f t="shared" si="14"/>
        <v>0</v>
      </c>
      <c r="W101" s="1051">
        <f t="shared" si="14"/>
        <v>0</v>
      </c>
      <c r="X101" s="321" t="e">
        <f t="shared" si="15"/>
        <v>#DIV/0!</v>
      </c>
      <c r="Y101" s="336">
        <f t="shared" si="16"/>
        <v>0</v>
      </c>
      <c r="Z101" s="320">
        <f t="shared" si="16"/>
        <v>0</v>
      </c>
      <c r="AA101" s="320">
        <f t="shared" si="16"/>
        <v>0</v>
      </c>
      <c r="AB101" s="320">
        <f t="shared" si="16"/>
        <v>0</v>
      </c>
      <c r="AC101" s="320">
        <f t="shared" si="16"/>
        <v>0</v>
      </c>
      <c r="AD101" s="338" t="e">
        <f t="shared" si="17"/>
        <v>#DIV/0!</v>
      </c>
      <c r="AH101" s="336">
        <f t="shared" ref="AH101:AO101" si="19">AH91+AH86+AH96</f>
        <v>0</v>
      </c>
      <c r="AI101" s="320">
        <f t="shared" si="19"/>
        <v>0</v>
      </c>
      <c r="AJ101" s="320">
        <f t="shared" si="19"/>
        <v>0</v>
      </c>
      <c r="AK101" s="320">
        <f t="shared" si="19"/>
        <v>0</v>
      </c>
      <c r="AL101" s="1051">
        <f t="shared" si="19"/>
        <v>0</v>
      </c>
      <c r="AM101" s="336">
        <f t="shared" si="19"/>
        <v>0</v>
      </c>
      <c r="AN101" s="320">
        <f t="shared" si="19"/>
        <v>0</v>
      </c>
      <c r="AO101" s="1051">
        <f t="shared" si="19"/>
        <v>0</v>
      </c>
    </row>
    <row r="102" spans="1:41">
      <c r="A102" s="299"/>
      <c r="B102" s="1449" t="s">
        <v>63</v>
      </c>
      <c r="C102" s="336">
        <f t="shared" si="14"/>
        <v>0</v>
      </c>
      <c r="D102" s="320">
        <f t="shared" si="14"/>
        <v>0</v>
      </c>
      <c r="E102" s="320">
        <f t="shared" si="14"/>
        <v>0</v>
      </c>
      <c r="F102" s="320">
        <f t="shared" si="14"/>
        <v>0</v>
      </c>
      <c r="G102" s="1051">
        <f t="shared" si="14"/>
        <v>0</v>
      </c>
      <c r="H102" s="336">
        <f t="shared" si="14"/>
        <v>0</v>
      </c>
      <c r="I102" s="320">
        <f t="shared" si="14"/>
        <v>0</v>
      </c>
      <c r="J102" s="320">
        <f t="shared" si="14"/>
        <v>0</v>
      </c>
      <c r="K102" s="320">
        <f t="shared" si="14"/>
        <v>0</v>
      </c>
      <c r="L102" s="320">
        <f t="shared" si="14"/>
        <v>0</v>
      </c>
      <c r="M102" s="336">
        <f t="shared" si="14"/>
        <v>0</v>
      </c>
      <c r="N102" s="320">
        <f t="shared" si="14"/>
        <v>0</v>
      </c>
      <c r="O102" s="320">
        <f t="shared" si="14"/>
        <v>0</v>
      </c>
      <c r="P102" s="320">
        <f t="shared" si="14"/>
        <v>0</v>
      </c>
      <c r="Q102" s="1051">
        <f t="shared" si="14"/>
        <v>0</v>
      </c>
      <c r="R102" s="1268"/>
      <c r="S102" s="336">
        <f t="shared" si="14"/>
        <v>0</v>
      </c>
      <c r="T102" s="320">
        <f t="shared" si="14"/>
        <v>0</v>
      </c>
      <c r="U102" s="320">
        <f t="shared" si="14"/>
        <v>0</v>
      </c>
      <c r="V102" s="320">
        <f t="shared" si="14"/>
        <v>0</v>
      </c>
      <c r="W102" s="1051">
        <f t="shared" si="14"/>
        <v>0</v>
      </c>
      <c r="X102" s="321" t="e">
        <f t="shared" si="15"/>
        <v>#DIV/0!</v>
      </c>
      <c r="Y102" s="336">
        <f t="shared" si="16"/>
        <v>0</v>
      </c>
      <c r="Z102" s="320">
        <f t="shared" si="16"/>
        <v>0</v>
      </c>
      <c r="AA102" s="320">
        <f t="shared" si="16"/>
        <v>0</v>
      </c>
      <c r="AB102" s="320">
        <f t="shared" si="16"/>
        <v>0</v>
      </c>
      <c r="AC102" s="320">
        <f t="shared" si="16"/>
        <v>0</v>
      </c>
      <c r="AD102" s="338" t="e">
        <f t="shared" si="17"/>
        <v>#DIV/0!</v>
      </c>
      <c r="AH102" s="336">
        <f t="shared" ref="AH102:AO102" si="20">AH92+AH87+AH97</f>
        <v>0</v>
      </c>
      <c r="AI102" s="320">
        <f t="shared" si="20"/>
        <v>0</v>
      </c>
      <c r="AJ102" s="320">
        <f t="shared" si="20"/>
        <v>0</v>
      </c>
      <c r="AK102" s="320">
        <f t="shared" si="20"/>
        <v>0</v>
      </c>
      <c r="AL102" s="1051">
        <f t="shared" si="20"/>
        <v>0</v>
      </c>
      <c r="AM102" s="336">
        <f t="shared" si="20"/>
        <v>0</v>
      </c>
      <c r="AN102" s="320">
        <f t="shared" si="20"/>
        <v>0</v>
      </c>
      <c r="AO102" s="1051">
        <f t="shared" si="20"/>
        <v>0</v>
      </c>
    </row>
    <row r="103" spans="1:41">
      <c r="A103" s="299"/>
      <c r="B103" s="1450" t="s">
        <v>592</v>
      </c>
      <c r="C103" s="337">
        <f>SUM(C100:C102)</f>
        <v>0</v>
      </c>
      <c r="D103" s="1062">
        <f t="shared" ref="D103:V103" si="21">SUM(D100:D102)</f>
        <v>0</v>
      </c>
      <c r="E103" s="1062">
        <f t="shared" si="21"/>
        <v>0</v>
      </c>
      <c r="F103" s="1062">
        <f t="shared" si="21"/>
        <v>0</v>
      </c>
      <c r="G103" s="1066">
        <f t="shared" si="21"/>
        <v>0</v>
      </c>
      <c r="H103" s="337">
        <f t="shared" si="21"/>
        <v>0</v>
      </c>
      <c r="I103" s="1062">
        <f t="shared" si="21"/>
        <v>0</v>
      </c>
      <c r="J103" s="1062">
        <f t="shared" si="21"/>
        <v>0</v>
      </c>
      <c r="K103" s="1062">
        <f t="shared" si="21"/>
        <v>0</v>
      </c>
      <c r="L103" s="1062">
        <f t="shared" si="21"/>
        <v>0</v>
      </c>
      <c r="M103" s="337">
        <f t="shared" si="21"/>
        <v>0</v>
      </c>
      <c r="N103" s="1062">
        <f t="shared" si="21"/>
        <v>0</v>
      </c>
      <c r="O103" s="1062">
        <f t="shared" si="21"/>
        <v>0</v>
      </c>
      <c r="P103" s="1062">
        <f t="shared" si="21"/>
        <v>0</v>
      </c>
      <c r="Q103" s="1066">
        <f t="shared" si="21"/>
        <v>0</v>
      </c>
      <c r="R103" s="1268"/>
      <c r="S103" s="337">
        <f t="shared" si="21"/>
        <v>0</v>
      </c>
      <c r="T103" s="326">
        <f t="shared" si="21"/>
        <v>0</v>
      </c>
      <c r="U103" s="326">
        <f t="shared" si="21"/>
        <v>0</v>
      </c>
      <c r="V103" s="326">
        <f t="shared" si="21"/>
        <v>0</v>
      </c>
      <c r="W103" s="335">
        <f>SUM(W100:W102)</f>
        <v>0</v>
      </c>
      <c r="X103" s="1092" t="e">
        <f t="shared" si="15"/>
        <v>#DIV/0!</v>
      </c>
      <c r="Y103" s="337">
        <f>SUM(Y100:Y102)</f>
        <v>0</v>
      </c>
      <c r="Z103" s="326">
        <f>SUM(Z100:Z102)</f>
        <v>0</v>
      </c>
      <c r="AA103" s="326">
        <f>SUM(AA100:AA102)</f>
        <v>0</v>
      </c>
      <c r="AB103" s="326">
        <f>SUM(AB100:AB102)</f>
        <v>0</v>
      </c>
      <c r="AC103" s="326">
        <f>SUM(AC100:AC102)</f>
        <v>0</v>
      </c>
      <c r="AD103" s="335" t="e">
        <f t="shared" si="17"/>
        <v>#DIV/0!</v>
      </c>
      <c r="AH103" s="337">
        <f>SUM(AH100:AH102)</f>
        <v>0</v>
      </c>
      <c r="AI103" s="1062">
        <f t="shared" ref="AI103:AO103" si="22">SUM(AI100:AI102)</f>
        <v>0</v>
      </c>
      <c r="AJ103" s="1062">
        <f t="shared" si="22"/>
        <v>0</v>
      </c>
      <c r="AK103" s="1062">
        <f t="shared" si="22"/>
        <v>0</v>
      </c>
      <c r="AL103" s="1066">
        <f t="shared" si="22"/>
        <v>0</v>
      </c>
      <c r="AM103" s="337">
        <f t="shared" si="22"/>
        <v>0</v>
      </c>
      <c r="AN103" s="1062">
        <f t="shared" si="22"/>
        <v>0</v>
      </c>
      <c r="AO103" s="1066">
        <f t="shared" si="22"/>
        <v>0</v>
      </c>
    </row>
    <row r="104" spans="1:41">
      <c r="A104" s="299"/>
      <c r="B104" s="1447" t="s">
        <v>593</v>
      </c>
      <c r="C104" s="342"/>
      <c r="D104" s="323"/>
      <c r="E104" s="323"/>
      <c r="F104" s="323"/>
      <c r="G104" s="343"/>
      <c r="H104" s="342"/>
      <c r="I104" s="323"/>
      <c r="J104" s="323"/>
      <c r="K104" s="323"/>
      <c r="L104" s="323"/>
      <c r="M104" s="342"/>
      <c r="N104" s="323"/>
      <c r="O104" s="323"/>
      <c r="P104" s="323"/>
      <c r="Q104" s="343"/>
      <c r="R104" s="1268"/>
      <c r="S104" s="339"/>
      <c r="T104" s="327"/>
      <c r="U104" s="327"/>
      <c r="V104" s="327"/>
      <c r="W104" s="1052"/>
      <c r="X104" s="321" t="e">
        <f t="shared" si="15"/>
        <v>#DIV/0!</v>
      </c>
      <c r="Y104" s="339"/>
      <c r="Z104" s="327"/>
      <c r="AA104" s="327"/>
      <c r="AB104" s="327"/>
      <c r="AC104" s="327"/>
      <c r="AD104" s="338" t="e">
        <f t="shared" si="17"/>
        <v>#DIV/0!</v>
      </c>
      <c r="AH104" s="336"/>
      <c r="AI104" s="320"/>
      <c r="AJ104" s="320"/>
      <c r="AK104" s="320"/>
      <c r="AL104" s="1051"/>
      <c r="AM104" s="336"/>
      <c r="AN104" s="320"/>
      <c r="AO104" s="1051"/>
    </row>
    <row r="105" spans="1:41">
      <c r="A105" s="299"/>
      <c r="B105" s="344" t="s">
        <v>159</v>
      </c>
      <c r="C105" s="342"/>
      <c r="D105" s="323"/>
      <c r="E105" s="323"/>
      <c r="F105" s="323"/>
      <c r="G105" s="343"/>
      <c r="H105" s="342"/>
      <c r="I105" s="323"/>
      <c r="J105" s="323"/>
      <c r="K105" s="323"/>
      <c r="L105" s="323"/>
      <c r="M105" s="342"/>
      <c r="N105" s="323"/>
      <c r="O105" s="323"/>
      <c r="P105" s="323"/>
      <c r="Q105" s="343"/>
      <c r="R105" s="1268"/>
      <c r="S105" s="339"/>
      <c r="T105" s="327"/>
      <c r="U105" s="327"/>
      <c r="V105" s="327"/>
      <c r="W105" s="1052"/>
      <c r="X105" s="321" t="e">
        <f t="shared" si="15"/>
        <v>#DIV/0!</v>
      </c>
      <c r="Y105" s="339"/>
      <c r="Z105" s="327"/>
      <c r="AA105" s="327"/>
      <c r="AB105" s="327"/>
      <c r="AC105" s="327"/>
      <c r="AD105" s="338" t="e">
        <f t="shared" si="17"/>
        <v>#DIV/0!</v>
      </c>
      <c r="AH105" s="336"/>
      <c r="AI105" s="320"/>
      <c r="AJ105" s="320"/>
      <c r="AK105" s="320"/>
      <c r="AL105" s="1051"/>
      <c r="AM105" s="336"/>
      <c r="AN105" s="320"/>
      <c r="AO105" s="1051"/>
    </row>
    <row r="106" spans="1:41">
      <c r="A106" s="299"/>
      <c r="B106" s="3106" t="str">
        <f>CONCATENATE("Total gross expenditure on new ", B24, " connections")</f>
        <v>Total gross expenditure on new Electricity to gas connections</v>
      </c>
      <c r="C106" s="340">
        <f>SUM(C103,C104,C105)</f>
        <v>0</v>
      </c>
      <c r="D106" s="322">
        <f t="shared" ref="D106:Q106" si="23">SUM(D103,D104,D105)</f>
        <v>0</v>
      </c>
      <c r="E106" s="322">
        <f t="shared" si="23"/>
        <v>0</v>
      </c>
      <c r="F106" s="322">
        <f t="shared" si="23"/>
        <v>0</v>
      </c>
      <c r="G106" s="341">
        <f t="shared" si="23"/>
        <v>0</v>
      </c>
      <c r="H106" s="340">
        <f t="shared" si="23"/>
        <v>0</v>
      </c>
      <c r="I106" s="322">
        <f t="shared" si="23"/>
        <v>0</v>
      </c>
      <c r="J106" s="322">
        <f t="shared" si="23"/>
        <v>0</v>
      </c>
      <c r="K106" s="322">
        <f t="shared" si="23"/>
        <v>0</v>
      </c>
      <c r="L106" s="322">
        <f t="shared" si="23"/>
        <v>0</v>
      </c>
      <c r="M106" s="340">
        <f t="shared" si="23"/>
        <v>0</v>
      </c>
      <c r="N106" s="322">
        <f t="shared" si="23"/>
        <v>0</v>
      </c>
      <c r="O106" s="322">
        <f t="shared" si="23"/>
        <v>0</v>
      </c>
      <c r="P106" s="322">
        <f t="shared" si="23"/>
        <v>0</v>
      </c>
      <c r="Q106" s="341">
        <f t="shared" si="23"/>
        <v>0</v>
      </c>
      <c r="R106" s="1268"/>
      <c r="S106" s="340">
        <f>SUM(S103,S104,S105)</f>
        <v>0</v>
      </c>
      <c r="T106" s="322">
        <f>SUM(T103,T104,T105)</f>
        <v>0</v>
      </c>
      <c r="U106" s="322">
        <f>SUM(U103,U104,U105)</f>
        <v>0</v>
      </c>
      <c r="V106" s="322">
        <f>SUM(V103,V104,V105)</f>
        <v>0</v>
      </c>
      <c r="W106" s="341">
        <f>SUM(W103,W104,W105)</f>
        <v>0</v>
      </c>
      <c r="X106" s="1087" t="e">
        <f t="shared" si="15"/>
        <v>#DIV/0!</v>
      </c>
      <c r="Y106" s="340">
        <f>SUM(Y103,Y104,Y105)</f>
        <v>0</v>
      </c>
      <c r="Z106" s="322">
        <f>SUM(Z103,Z104,Z105)</f>
        <v>0</v>
      </c>
      <c r="AA106" s="322">
        <f>SUM(AA103,AA104,AA105)</f>
        <v>0</v>
      </c>
      <c r="AB106" s="322">
        <f>SUM(AB103,AB104,AB105)</f>
        <v>0</v>
      </c>
      <c r="AC106" s="322">
        <f>SUM(AC103,AC104,AC105)</f>
        <v>0</v>
      </c>
      <c r="AD106" s="1090" t="e">
        <f t="shared" si="17"/>
        <v>#DIV/0!</v>
      </c>
      <c r="AH106" s="340">
        <f>SUM(AH103,AH104,AH105)</f>
        <v>0</v>
      </c>
      <c r="AI106" s="322">
        <f t="shared" ref="AI106:AO106" si="24">SUM(AI103,AI104,AI105)</f>
        <v>0</v>
      </c>
      <c r="AJ106" s="322">
        <f t="shared" si="24"/>
        <v>0</v>
      </c>
      <c r="AK106" s="322">
        <f t="shared" si="24"/>
        <v>0</v>
      </c>
      <c r="AL106" s="341">
        <f t="shared" si="24"/>
        <v>0</v>
      </c>
      <c r="AM106" s="340">
        <f t="shared" si="24"/>
        <v>0</v>
      </c>
      <c r="AN106" s="322">
        <f t="shared" si="24"/>
        <v>0</v>
      </c>
      <c r="AO106" s="341">
        <f t="shared" si="24"/>
        <v>0</v>
      </c>
    </row>
    <row r="107" spans="1:41">
      <c r="A107" s="299"/>
      <c r="B107" s="1966" t="s">
        <v>35</v>
      </c>
      <c r="C107" s="342"/>
      <c r="D107" s="323"/>
      <c r="E107" s="323"/>
      <c r="F107" s="323"/>
      <c r="G107" s="343"/>
      <c r="H107" s="342"/>
      <c r="I107" s="323"/>
      <c r="J107" s="323"/>
      <c r="K107" s="323"/>
      <c r="L107" s="323"/>
      <c r="M107" s="342"/>
      <c r="N107" s="323"/>
      <c r="O107" s="323"/>
      <c r="P107" s="323"/>
      <c r="Q107" s="343"/>
      <c r="R107" s="1268"/>
      <c r="S107" s="342"/>
      <c r="T107" s="323"/>
      <c r="U107" s="323"/>
      <c r="V107" s="323"/>
      <c r="W107" s="343"/>
      <c r="X107" s="1088"/>
      <c r="Y107" s="342"/>
      <c r="Z107" s="323"/>
      <c r="AA107" s="323"/>
      <c r="AB107" s="323"/>
      <c r="AC107" s="323"/>
      <c r="AD107" s="1091"/>
      <c r="AH107" s="336"/>
      <c r="AI107" s="320"/>
      <c r="AJ107" s="320"/>
      <c r="AK107" s="320"/>
      <c r="AL107" s="1051"/>
      <c r="AM107" s="336"/>
      <c r="AN107" s="320"/>
      <c r="AO107" s="1051"/>
    </row>
    <row r="108" spans="1:41" ht="13.5" thickBot="1">
      <c r="A108" s="299"/>
      <c r="B108" s="1441" t="str">
        <f>CONCATENATE("Total net expenditure on new ", B24, " connections")</f>
        <v>Total net expenditure on new Electricity to gas connections</v>
      </c>
      <c r="C108" s="1757">
        <f>C106-C107</f>
        <v>0</v>
      </c>
      <c r="D108" s="1053">
        <f t="shared" ref="D108:V108" si="25">D106-D107</f>
        <v>0</v>
      </c>
      <c r="E108" s="1053">
        <f t="shared" si="25"/>
        <v>0</v>
      </c>
      <c r="F108" s="1053">
        <f t="shared" si="25"/>
        <v>0</v>
      </c>
      <c r="G108" s="1054">
        <f t="shared" si="25"/>
        <v>0</v>
      </c>
      <c r="H108" s="1757">
        <f t="shared" si="25"/>
        <v>0</v>
      </c>
      <c r="I108" s="1053">
        <f t="shared" si="25"/>
        <v>0</v>
      </c>
      <c r="J108" s="1053">
        <f t="shared" si="25"/>
        <v>0</v>
      </c>
      <c r="K108" s="1053">
        <f t="shared" si="25"/>
        <v>0</v>
      </c>
      <c r="L108" s="1053">
        <f t="shared" si="25"/>
        <v>0</v>
      </c>
      <c r="M108" s="1757">
        <f t="shared" si="25"/>
        <v>0</v>
      </c>
      <c r="N108" s="1053">
        <f t="shared" si="25"/>
        <v>0</v>
      </c>
      <c r="O108" s="1053">
        <f t="shared" si="25"/>
        <v>0</v>
      </c>
      <c r="P108" s="1053">
        <f t="shared" si="25"/>
        <v>0</v>
      </c>
      <c r="Q108" s="1054">
        <f t="shared" si="25"/>
        <v>0</v>
      </c>
      <c r="R108" s="1268"/>
      <c r="S108" s="1757">
        <f t="shared" si="25"/>
        <v>0</v>
      </c>
      <c r="T108" s="1053">
        <f t="shared" si="25"/>
        <v>0</v>
      </c>
      <c r="U108" s="1053">
        <f t="shared" si="25"/>
        <v>0</v>
      </c>
      <c r="V108" s="1053">
        <f t="shared" si="25"/>
        <v>0</v>
      </c>
      <c r="W108" s="1054">
        <f>W106-W107</f>
        <v>0</v>
      </c>
      <c r="X108" s="1093" t="e">
        <f>SUM(C108:G108)/SUM(S108:W108)-1</f>
        <v>#DIV/0!</v>
      </c>
      <c r="Y108" s="1757">
        <f>Y106-Y107</f>
        <v>0</v>
      </c>
      <c r="Z108" s="1053">
        <f>Z106-Z107</f>
        <v>0</v>
      </c>
      <c r="AA108" s="1053">
        <f>AA106-AA107</f>
        <v>0</v>
      </c>
      <c r="AB108" s="1053">
        <f>AB106-AB107</f>
        <v>0</v>
      </c>
      <c r="AC108" s="1053">
        <f>AC106-AC107</f>
        <v>0</v>
      </c>
      <c r="AD108" s="1094" t="e">
        <f>SUM(H108:L108)/SUM(Y108:AC108)-1</f>
        <v>#DIV/0!</v>
      </c>
      <c r="AH108" s="1757">
        <f>AH106-AH107</f>
        <v>0</v>
      </c>
      <c r="AI108" s="1053">
        <f t="shared" ref="AI108:AO108" si="26">AI106-AI107</f>
        <v>0</v>
      </c>
      <c r="AJ108" s="1053">
        <f t="shared" si="26"/>
        <v>0</v>
      </c>
      <c r="AK108" s="1053">
        <f t="shared" si="26"/>
        <v>0</v>
      </c>
      <c r="AL108" s="1054">
        <f t="shared" si="26"/>
        <v>0</v>
      </c>
      <c r="AM108" s="1757">
        <f t="shared" si="26"/>
        <v>0</v>
      </c>
      <c r="AN108" s="1053">
        <f t="shared" si="26"/>
        <v>0</v>
      </c>
      <c r="AO108" s="1054">
        <f t="shared" si="26"/>
        <v>0</v>
      </c>
    </row>
    <row r="109" spans="1:41" s="170" customFormat="1" ht="31.5" customHeight="1" thickBot="1">
      <c r="A109" s="775"/>
      <c r="B109" s="1472" t="s">
        <v>127</v>
      </c>
      <c r="C109" s="300"/>
      <c r="D109" s="1099"/>
      <c r="E109" s="1099"/>
      <c r="F109" s="1099"/>
      <c r="G109" s="1099"/>
      <c r="H109" s="1099"/>
      <c r="I109" s="1099"/>
      <c r="J109" s="1099"/>
      <c r="K109" s="1099"/>
      <c r="L109" s="1099"/>
      <c r="M109" s="1099"/>
      <c r="N109" s="1099"/>
      <c r="O109" s="1099"/>
      <c r="P109" s="1099"/>
      <c r="Q109" s="1100"/>
      <c r="R109" s="1268"/>
      <c r="S109" s="300"/>
      <c r="T109" s="1099"/>
      <c r="U109" s="1099"/>
      <c r="V109" s="1099"/>
      <c r="W109" s="1099"/>
      <c r="X109" s="1099"/>
      <c r="Y109" s="1099"/>
      <c r="Z109" s="1099"/>
      <c r="AA109" s="1099"/>
      <c r="AB109" s="1099"/>
      <c r="AC109" s="1099"/>
      <c r="AD109" s="1100"/>
      <c r="AE109"/>
      <c r="AH109" s="1762"/>
      <c r="AI109" s="1763"/>
      <c r="AJ109" s="1763"/>
      <c r="AK109" s="1763"/>
      <c r="AL109" s="1763"/>
      <c r="AM109" s="1763"/>
      <c r="AN109" s="1763"/>
      <c r="AO109" s="1764"/>
    </row>
    <row r="110" spans="1:41" ht="13.5" thickBot="1">
      <c r="A110" s="1268"/>
      <c r="B110" s="1268"/>
      <c r="C110" s="1268"/>
      <c r="D110" s="1268"/>
      <c r="E110" s="1268"/>
      <c r="F110" s="1268"/>
      <c r="G110" s="1268"/>
      <c r="H110" s="1268"/>
      <c r="I110" s="1268"/>
      <c r="J110" s="1268"/>
      <c r="K110" s="1268"/>
      <c r="L110" s="1268"/>
      <c r="M110" s="1268"/>
      <c r="N110" s="1268"/>
      <c r="O110" s="1268"/>
      <c r="P110" s="1268"/>
      <c r="Q110" s="1268"/>
      <c r="R110" s="1268"/>
      <c r="S110" s="1268"/>
      <c r="T110" s="1268"/>
      <c r="U110" s="1268"/>
      <c r="V110" s="1268"/>
      <c r="W110" s="1268"/>
      <c r="X110" s="1268"/>
      <c r="Y110" s="1268"/>
      <c r="Z110" s="1268"/>
      <c r="AA110" s="1268"/>
      <c r="AB110" s="1268"/>
      <c r="AC110" s="1268"/>
      <c r="AD110" s="1268"/>
      <c r="AH110" s="1268"/>
      <c r="AI110" s="1268"/>
      <c r="AJ110" s="1268"/>
      <c r="AK110" s="1268"/>
      <c r="AL110" s="1268"/>
      <c r="AM110" s="1268"/>
      <c r="AN110" s="1268"/>
      <c r="AO110" s="1268"/>
    </row>
    <row r="111" spans="1:41" ht="16.5" thickBot="1">
      <c r="A111" s="866"/>
      <c r="B111" s="292" t="str">
        <f>CONCATENATE("Table 4.2.3 - ", B25)</f>
        <v>Table 4.2.3 - New homes</v>
      </c>
      <c r="C111" s="306"/>
      <c r="D111" s="306"/>
      <c r="E111" s="306"/>
      <c r="F111" s="306"/>
      <c r="G111" s="306"/>
      <c r="H111" s="306"/>
      <c r="I111" s="306"/>
      <c r="J111" s="306"/>
      <c r="K111" s="306"/>
      <c r="L111" s="306"/>
      <c r="M111" s="306"/>
      <c r="N111" s="306"/>
      <c r="O111" s="306"/>
      <c r="P111" s="306"/>
      <c r="Q111" s="307"/>
      <c r="R111" s="1268"/>
      <c r="S111" s="292"/>
      <c r="T111" s="306"/>
      <c r="U111" s="306"/>
      <c r="V111" s="306"/>
      <c r="W111" s="306"/>
      <c r="X111" s="306"/>
      <c r="Y111" s="306"/>
      <c r="Z111" s="306"/>
      <c r="AA111" s="306"/>
      <c r="AB111" s="306"/>
      <c r="AC111" s="306"/>
      <c r="AD111" s="307"/>
      <c r="AH111" s="292"/>
      <c r="AI111" s="306"/>
      <c r="AJ111" s="306"/>
      <c r="AK111" s="306"/>
      <c r="AL111" s="306"/>
      <c r="AM111" s="306"/>
      <c r="AN111" s="306"/>
      <c r="AO111" s="307"/>
    </row>
    <row r="112" spans="1:41">
      <c r="A112" s="299"/>
      <c r="B112" s="328" t="str">
        <f>CONCATENATE("Number of new ", B25, " connections")</f>
        <v>Number of new New homes connections</v>
      </c>
      <c r="C112" s="1756">
        <f t="shared" ref="C112:Q112" si="27">C25</f>
        <v>7537</v>
      </c>
      <c r="D112" s="1058">
        <f t="shared" si="27"/>
        <v>7743</v>
      </c>
      <c r="E112" s="1058">
        <f t="shared" si="27"/>
        <v>6890</v>
      </c>
      <c r="F112" s="1058">
        <f t="shared" si="27"/>
        <v>7670</v>
      </c>
      <c r="G112" s="1063">
        <f t="shared" si="27"/>
        <v>7922.3435616085499</v>
      </c>
      <c r="H112" s="1756">
        <f t="shared" si="27"/>
        <v>7592</v>
      </c>
      <c r="I112" s="1058">
        <f t="shared" si="27"/>
        <v>8230</v>
      </c>
      <c r="J112" s="1058">
        <f t="shared" si="27"/>
        <v>9115</v>
      </c>
      <c r="K112" s="1058">
        <f t="shared" si="27"/>
        <v>9406</v>
      </c>
      <c r="L112" s="1058">
        <f t="shared" si="27"/>
        <v>8669</v>
      </c>
      <c r="M112" s="1756">
        <f t="shared" si="27"/>
        <v>8633</v>
      </c>
      <c r="N112" s="1058">
        <f t="shared" si="27"/>
        <v>8173</v>
      </c>
      <c r="O112" s="1058">
        <f t="shared" si="27"/>
        <v>7741</v>
      </c>
      <c r="P112" s="1058">
        <f t="shared" si="27"/>
        <v>7888</v>
      </c>
      <c r="Q112" s="1063">
        <f t="shared" si="27"/>
        <v>8169</v>
      </c>
      <c r="R112" s="1268"/>
      <c r="S112" s="1756">
        <f>S25</f>
        <v>0</v>
      </c>
      <c r="T112" s="1058">
        <f>T25</f>
        <v>0</v>
      </c>
      <c r="U112" s="1058">
        <f>U25</f>
        <v>0</v>
      </c>
      <c r="V112" s="1058">
        <f>V25</f>
        <v>0</v>
      </c>
      <c r="W112" s="1063">
        <f>W25</f>
        <v>0</v>
      </c>
      <c r="X112" s="1084" t="e">
        <f>SUM(C112:G112)/SUM(S112:W112)-1</f>
        <v>#DIV/0!</v>
      </c>
      <c r="Y112" s="1756"/>
      <c r="Z112" s="330"/>
      <c r="AA112" s="330"/>
      <c r="AB112" s="330"/>
      <c r="AC112" s="330"/>
      <c r="AD112" s="331" t="e">
        <f>SUM(H112:L112)/SUM(Y112:AC112)-1</f>
        <v>#DIV/0!</v>
      </c>
      <c r="AH112" s="1756">
        <f t="shared" ref="AH112:AO112" si="28">AH25</f>
        <v>0</v>
      </c>
      <c r="AI112" s="1058">
        <f t="shared" si="28"/>
        <v>0</v>
      </c>
      <c r="AJ112" s="1058">
        <f t="shared" si="28"/>
        <v>0</v>
      </c>
      <c r="AK112" s="1058">
        <f t="shared" si="28"/>
        <v>0</v>
      </c>
      <c r="AL112" s="1063">
        <f t="shared" si="28"/>
        <v>0</v>
      </c>
      <c r="AM112" s="1756">
        <f t="shared" si="28"/>
        <v>0</v>
      </c>
      <c r="AN112" s="1058">
        <f t="shared" si="28"/>
        <v>0</v>
      </c>
      <c r="AO112" s="1063">
        <f t="shared" si="28"/>
        <v>0</v>
      </c>
    </row>
    <row r="113" spans="1:41">
      <c r="A113" s="299"/>
      <c r="B113" s="1443" t="s">
        <v>584</v>
      </c>
      <c r="C113" s="1059"/>
      <c r="D113" s="1060"/>
      <c r="E113" s="1060"/>
      <c r="F113" s="1060"/>
      <c r="G113" s="1064"/>
      <c r="H113" s="1059"/>
      <c r="I113" s="1060"/>
      <c r="J113" s="1060"/>
      <c r="K113" s="1060"/>
      <c r="L113" s="1060"/>
      <c r="M113" s="1059"/>
      <c r="N113" s="1060"/>
      <c r="O113" s="1060"/>
      <c r="P113" s="1060"/>
      <c r="Q113" s="1064"/>
      <c r="R113" s="1268"/>
      <c r="S113" s="1059"/>
      <c r="T113" s="1060"/>
      <c r="U113" s="1060"/>
      <c r="V113" s="1060"/>
      <c r="W113" s="1064"/>
      <c r="X113" s="324"/>
      <c r="Y113" s="332"/>
      <c r="Z113" s="324"/>
      <c r="AA113" s="324"/>
      <c r="AB113" s="324"/>
      <c r="AC113" s="324"/>
      <c r="AD113" s="333"/>
      <c r="AH113" s="1059"/>
      <c r="AI113" s="1060"/>
      <c r="AJ113" s="1060"/>
      <c r="AK113" s="1060"/>
      <c r="AL113" s="1064"/>
      <c r="AM113" s="1059"/>
      <c r="AN113" s="1060"/>
      <c r="AO113" s="1064"/>
    </row>
    <row r="114" spans="1:41">
      <c r="A114" s="299"/>
      <c r="B114" s="1444" t="s">
        <v>59</v>
      </c>
      <c r="C114" s="294">
        <v>7701920.0729999999</v>
      </c>
      <c r="D114" s="488">
        <v>7698697.3880000096</v>
      </c>
      <c r="E114" s="488">
        <v>2309872.2390000001</v>
      </c>
      <c r="F114" s="488">
        <v>2680256.2410000018</v>
      </c>
      <c r="G114" s="488">
        <v>2875518.3667596034</v>
      </c>
      <c r="H114" s="294">
        <v>2955495.2946439302</v>
      </c>
      <c r="I114" s="488">
        <v>1364776.04</v>
      </c>
      <c r="J114" s="488">
        <v>1935204.6</v>
      </c>
      <c r="K114" s="488">
        <f>'[4]4. Connections market expansion'!K114/'[4]4. Connections market expansion'!$K$117*'[5]2.2 Connections'!$C$36</f>
        <v>1903223.3935847506</v>
      </c>
      <c r="L114" s="488">
        <f>K114/$K$117*'[6]Detailed Capex Inputs'!$N$21*1000000</f>
        <v>1733992.4669176948</v>
      </c>
      <c r="M114" s="294">
        <v>1803183.0373976417</v>
      </c>
      <c r="N114" s="488">
        <v>1705871.9818293056</v>
      </c>
      <c r="O114" s="488">
        <v>1619381.8651071303</v>
      </c>
      <c r="P114" s="488">
        <v>1655676.0051925378</v>
      </c>
      <c r="Q114" s="317">
        <v>1717222.9637189102</v>
      </c>
      <c r="R114" s="1268"/>
      <c r="S114" s="294"/>
      <c r="T114" s="488"/>
      <c r="U114" s="488"/>
      <c r="V114" s="488"/>
      <c r="W114" s="317"/>
      <c r="X114" s="1085" t="e">
        <f>SUM(C114:G114)/SUM(S114:W114)-1</f>
        <v>#DIV/0!</v>
      </c>
      <c r="Y114" s="294"/>
      <c r="Z114" s="488"/>
      <c r="AA114" s="488"/>
      <c r="AB114" s="488"/>
      <c r="AC114" s="488"/>
      <c r="AD114" s="1089" t="e">
        <f>SUM(H114:L114)/SUM(Y114:AC114)-1</f>
        <v>#DIV/0!</v>
      </c>
      <c r="AH114" s="297"/>
      <c r="AI114" s="493"/>
      <c r="AJ114" s="493"/>
      <c r="AK114" s="493"/>
      <c r="AL114" s="319"/>
      <c r="AM114" s="297"/>
      <c r="AN114" s="493"/>
      <c r="AO114" s="319"/>
    </row>
    <row r="115" spans="1:41">
      <c r="A115" s="299"/>
      <c r="B115" s="1444" t="s">
        <v>588</v>
      </c>
      <c r="C115" s="294">
        <v>7012467.3509999998</v>
      </c>
      <c r="D115" s="488">
        <v>8592945.1649999991</v>
      </c>
      <c r="E115" s="488">
        <v>8500998.8520000074</v>
      </c>
      <c r="F115" s="488">
        <v>9235018.0170000009</v>
      </c>
      <c r="G115" s="488">
        <v>9907807.8875516504</v>
      </c>
      <c r="H115" s="294">
        <v>10572003.78549855</v>
      </c>
      <c r="I115" s="488">
        <v>13258872.359999999</v>
      </c>
      <c r="J115" s="488">
        <v>14633722.07</v>
      </c>
      <c r="K115" s="488">
        <f>'[4]4. Connections market expansion'!K115/'[4]4. Connections market expansion'!$K$117*'[5]2.2 Connections'!$C$36</f>
        <v>15254888.470902743</v>
      </c>
      <c r="L115" s="488">
        <f>K115/$K$117*'[6]Detailed Capex Inputs'!$N$21*1000000</f>
        <v>13898453.424530717</v>
      </c>
      <c r="M115" s="294">
        <v>14453035.949875658</v>
      </c>
      <c r="N115" s="488">
        <v>13673059.566291612</v>
      </c>
      <c r="O115" s="488">
        <v>12979816.151525127</v>
      </c>
      <c r="P115" s="488">
        <v>13270724.229376871</v>
      </c>
      <c r="Q115" s="317">
        <v>13764040.984103533</v>
      </c>
      <c r="R115" s="1268"/>
      <c r="S115" s="294"/>
      <c r="T115" s="488"/>
      <c r="U115" s="488"/>
      <c r="V115" s="488"/>
      <c r="W115" s="317"/>
      <c r="X115" s="1085" t="e">
        <f>SUM(C115:G115)/SUM(S115:W115)-1</f>
        <v>#DIV/0!</v>
      </c>
      <c r="Y115" s="294"/>
      <c r="Z115" s="488"/>
      <c r="AA115" s="488"/>
      <c r="AB115" s="488"/>
      <c r="AC115" s="488"/>
      <c r="AD115" s="1089" t="e">
        <f>SUM(H115:L115)/SUM(Y115:AC115)-1</f>
        <v>#DIV/0!</v>
      </c>
      <c r="AH115" s="297"/>
      <c r="AI115" s="493"/>
      <c r="AJ115" s="493"/>
      <c r="AK115" s="493"/>
      <c r="AL115" s="319"/>
      <c r="AM115" s="297"/>
      <c r="AN115" s="493"/>
      <c r="AO115" s="319"/>
    </row>
    <row r="116" spans="1:41">
      <c r="A116" s="299"/>
      <c r="B116" s="1444" t="s">
        <v>63</v>
      </c>
      <c r="C116" s="294">
        <v>996636.28500000003</v>
      </c>
      <c r="D116" s="488">
        <v>1177815.3840000001</v>
      </c>
      <c r="E116" s="488">
        <v>1024536.4199999999</v>
      </c>
      <c r="F116" s="488">
        <v>1569348.18</v>
      </c>
      <c r="G116" s="488">
        <v>1683678.391043341</v>
      </c>
      <c r="H116" s="294">
        <v>715163.61291486653</v>
      </c>
      <c r="I116" s="488">
        <v>1765555.839504319</v>
      </c>
      <c r="J116" s="488">
        <v>1996751.0205593635</v>
      </c>
      <c r="K116" s="488">
        <f>'[4]4. Connections market expansion'!K116/'[4]4. Connections market expansion'!$K$117*'[5]2.2 Connections'!$C$36</f>
        <v>2027868.2101540619</v>
      </c>
      <c r="L116" s="488">
        <f>K116/$K$117*'[6]Detailed Capex Inputs'!$N$21*1000000</f>
        <v>1847554.1085515935</v>
      </c>
      <c r="M116" s="294">
        <v>1921276.0682498931</v>
      </c>
      <c r="N116" s="488">
        <v>1817591.9727576226</v>
      </c>
      <c r="O116" s="488">
        <v>1725437.4948415735</v>
      </c>
      <c r="P116" s="488">
        <v>1764108.5899648054</v>
      </c>
      <c r="Q116" s="317">
        <v>1829686.3466527481</v>
      </c>
      <c r="R116" s="1268"/>
      <c r="S116" s="294"/>
      <c r="T116" s="488"/>
      <c r="U116" s="488"/>
      <c r="V116" s="488"/>
      <c r="W116" s="317"/>
      <c r="X116" s="1085" t="e">
        <f>SUM(C116:G116)/SUM(S116:W116)-1</f>
        <v>#DIV/0!</v>
      </c>
      <c r="Y116" s="294"/>
      <c r="Z116" s="488"/>
      <c r="AA116" s="488"/>
      <c r="AB116" s="488"/>
      <c r="AC116" s="488"/>
      <c r="AD116" s="1089" t="e">
        <f>SUM(H116:L116)/SUM(Y116:AC116)-1</f>
        <v>#DIV/0!</v>
      </c>
      <c r="AH116" s="297"/>
      <c r="AI116" s="493"/>
      <c r="AJ116" s="493"/>
      <c r="AK116" s="493"/>
      <c r="AL116" s="319"/>
      <c r="AM116" s="297"/>
      <c r="AN116" s="493"/>
      <c r="AO116" s="319"/>
    </row>
    <row r="117" spans="1:41">
      <c r="A117" s="299"/>
      <c r="B117" s="1446" t="s">
        <v>589</v>
      </c>
      <c r="C117" s="334">
        <f t="shared" ref="C117:W117" si="29">SUM(C114:C116)</f>
        <v>15711023.708999999</v>
      </c>
      <c r="D117" s="1061">
        <f t="shared" si="29"/>
        <v>17469457.93700001</v>
      </c>
      <c r="E117" s="1061">
        <f t="shared" si="29"/>
        <v>11835407.511000007</v>
      </c>
      <c r="F117" s="1061">
        <f t="shared" si="29"/>
        <v>13484622.438000003</v>
      </c>
      <c r="G117" s="1065">
        <f t="shared" si="29"/>
        <v>14467004.645354595</v>
      </c>
      <c r="H117" s="334">
        <f t="shared" si="29"/>
        <v>14242662.693057345</v>
      </c>
      <c r="I117" s="1061">
        <f t="shared" si="29"/>
        <v>16389204.239504317</v>
      </c>
      <c r="J117" s="1061">
        <f t="shared" si="29"/>
        <v>18565677.690559365</v>
      </c>
      <c r="K117" s="1061">
        <f t="shared" si="29"/>
        <v>19185980.074641552</v>
      </c>
      <c r="L117" s="1061">
        <f t="shared" si="29"/>
        <v>17480000.000000007</v>
      </c>
      <c r="M117" s="334">
        <f t="shared" si="29"/>
        <v>18177495.055523194</v>
      </c>
      <c r="N117" s="1061">
        <f t="shared" si="29"/>
        <v>17196523.520878538</v>
      </c>
      <c r="O117" s="1061">
        <f t="shared" si="29"/>
        <v>16324635.511473831</v>
      </c>
      <c r="P117" s="1061">
        <f t="shared" si="29"/>
        <v>16690508.824534213</v>
      </c>
      <c r="Q117" s="1065">
        <f t="shared" si="29"/>
        <v>17310950.29447519</v>
      </c>
      <c r="R117" s="1268"/>
      <c r="S117" s="334">
        <f t="shared" si="29"/>
        <v>0</v>
      </c>
      <c r="T117" s="1061">
        <f t="shared" si="29"/>
        <v>0</v>
      </c>
      <c r="U117" s="1061">
        <f t="shared" si="29"/>
        <v>0</v>
      </c>
      <c r="V117" s="1061">
        <f t="shared" si="29"/>
        <v>0</v>
      </c>
      <c r="W117" s="1065">
        <f t="shared" si="29"/>
        <v>0</v>
      </c>
      <c r="X117" s="1092" t="e">
        <f>SUM(C117:G117)/SUM(S117:W117)-1</f>
        <v>#DIV/0!</v>
      </c>
      <c r="Y117" s="334">
        <f>SUM(Y114:Y116)</f>
        <v>0</v>
      </c>
      <c r="Z117" s="325">
        <f>SUM(Z114:Z116)</f>
        <v>0</v>
      </c>
      <c r="AA117" s="325">
        <f>SUM(AA114:AA116)</f>
        <v>0</v>
      </c>
      <c r="AB117" s="325">
        <f>SUM(AB114:AB116)</f>
        <v>0</v>
      </c>
      <c r="AC117" s="325">
        <f>SUM(AC114:AC116)</f>
        <v>0</v>
      </c>
      <c r="AD117" s="335" t="e">
        <f>SUM(H117:L117)/SUM(Y117:AC117)-1</f>
        <v>#DIV/0!</v>
      </c>
      <c r="AH117" s="334">
        <f t="shared" ref="AH117:AO117" si="30">SUM(AH114:AH116)</f>
        <v>0</v>
      </c>
      <c r="AI117" s="1061">
        <f t="shared" si="30"/>
        <v>0</v>
      </c>
      <c r="AJ117" s="1061">
        <f t="shared" si="30"/>
        <v>0</v>
      </c>
      <c r="AK117" s="1061">
        <f t="shared" si="30"/>
        <v>0</v>
      </c>
      <c r="AL117" s="1065">
        <f t="shared" si="30"/>
        <v>0</v>
      </c>
      <c r="AM117" s="334">
        <f t="shared" si="30"/>
        <v>0</v>
      </c>
      <c r="AN117" s="1061">
        <f t="shared" si="30"/>
        <v>0</v>
      </c>
      <c r="AO117" s="1065">
        <f t="shared" si="30"/>
        <v>0</v>
      </c>
    </row>
    <row r="118" spans="1:41">
      <c r="A118" s="299"/>
      <c r="B118" s="1442" t="s">
        <v>585</v>
      </c>
      <c r="C118" s="1059"/>
      <c r="D118" s="1060"/>
      <c r="E118" s="1060"/>
      <c r="F118" s="1060"/>
      <c r="G118" s="1064"/>
      <c r="H118" s="1059"/>
      <c r="I118" s="1060"/>
      <c r="J118" s="1060"/>
      <c r="K118" s="1060"/>
      <c r="L118" s="1060"/>
      <c r="M118" s="1059"/>
      <c r="N118" s="1060"/>
      <c r="O118" s="1060"/>
      <c r="P118" s="1060"/>
      <c r="Q118" s="1064"/>
      <c r="R118" s="1268"/>
      <c r="S118" s="1059"/>
      <c r="T118" s="1060"/>
      <c r="U118" s="1060"/>
      <c r="V118" s="1060"/>
      <c r="W118" s="1064"/>
      <c r="X118" s="324"/>
      <c r="Y118" s="332"/>
      <c r="Z118" s="324"/>
      <c r="AA118" s="324"/>
      <c r="AB118" s="324"/>
      <c r="AC118" s="324"/>
      <c r="AD118" s="333"/>
      <c r="AH118" s="1059"/>
      <c r="AI118" s="1060"/>
      <c r="AJ118" s="1060"/>
      <c r="AK118" s="1060"/>
      <c r="AL118" s="1064"/>
      <c r="AM118" s="1059"/>
      <c r="AN118" s="1060"/>
      <c r="AO118" s="1064"/>
    </row>
    <row r="119" spans="1:41">
      <c r="A119" s="299"/>
      <c r="B119" s="329" t="s">
        <v>59</v>
      </c>
      <c r="C119" s="294"/>
      <c r="D119" s="488"/>
      <c r="E119" s="488"/>
      <c r="F119" s="488"/>
      <c r="G119" s="317"/>
      <c r="H119" s="294"/>
      <c r="I119" s="488"/>
      <c r="J119" s="488">
        <f>J114/$J$117</f>
        <v>0.10423560250558753</v>
      </c>
      <c r="K119" s="488"/>
      <c r="L119" s="488"/>
      <c r="M119" s="294"/>
      <c r="N119" s="488"/>
      <c r="O119" s="488"/>
      <c r="P119" s="488"/>
      <c r="Q119" s="317"/>
      <c r="R119" s="1268"/>
      <c r="S119" s="294"/>
      <c r="T119" s="488"/>
      <c r="U119" s="488"/>
      <c r="V119" s="488"/>
      <c r="W119" s="317"/>
      <c r="X119" s="1085" t="e">
        <f>SUM(C119:G119)/SUM(S119:W119)-1</f>
        <v>#DIV/0!</v>
      </c>
      <c r="Y119" s="294"/>
      <c r="Z119" s="488"/>
      <c r="AA119" s="488"/>
      <c r="AB119" s="488"/>
      <c r="AC119" s="488"/>
      <c r="AD119" s="1089" t="e">
        <f>SUM(H119:L119)/SUM(Y119:AC119)-1</f>
        <v>#DIV/0!</v>
      </c>
      <c r="AH119" s="297"/>
      <c r="AI119" s="493"/>
      <c r="AJ119" s="493"/>
      <c r="AK119" s="493"/>
      <c r="AL119" s="319"/>
      <c r="AM119" s="297"/>
      <c r="AN119" s="493"/>
      <c r="AO119" s="319"/>
    </row>
    <row r="120" spans="1:41">
      <c r="A120" s="299"/>
      <c r="B120" s="329" t="s">
        <v>588</v>
      </c>
      <c r="C120" s="294"/>
      <c r="D120" s="488"/>
      <c r="E120" s="488"/>
      <c r="F120" s="488"/>
      <c r="G120" s="317"/>
      <c r="H120" s="294"/>
      <c r="I120" s="488"/>
      <c r="J120" s="488"/>
      <c r="K120" s="488"/>
      <c r="L120" s="488"/>
      <c r="M120" s="294"/>
      <c r="N120" s="488"/>
      <c r="O120" s="488"/>
      <c r="P120" s="488"/>
      <c r="Q120" s="317"/>
      <c r="R120" s="1268"/>
      <c r="S120" s="294"/>
      <c r="T120" s="488"/>
      <c r="U120" s="488"/>
      <c r="V120" s="488"/>
      <c r="W120" s="317"/>
      <c r="X120" s="1085" t="e">
        <f>SUM(C120:G120)/SUM(S120:W120)-1</f>
        <v>#DIV/0!</v>
      </c>
      <c r="Y120" s="294"/>
      <c r="Z120" s="488"/>
      <c r="AA120" s="488"/>
      <c r="AB120" s="488"/>
      <c r="AC120" s="488"/>
      <c r="AD120" s="1089" t="e">
        <f>SUM(H120:L120)/SUM(Y120:AC120)-1</f>
        <v>#DIV/0!</v>
      </c>
      <c r="AH120" s="297"/>
      <c r="AI120" s="493"/>
      <c r="AJ120" s="493"/>
      <c r="AK120" s="493"/>
      <c r="AL120" s="319"/>
      <c r="AM120" s="297"/>
      <c r="AN120" s="493"/>
      <c r="AO120" s="319"/>
    </row>
    <row r="121" spans="1:41">
      <c r="A121" s="299"/>
      <c r="B121" s="329" t="s">
        <v>63</v>
      </c>
      <c r="C121" s="294"/>
      <c r="D121" s="488"/>
      <c r="E121" s="488"/>
      <c r="F121" s="488"/>
      <c r="G121" s="317"/>
      <c r="H121" s="294"/>
      <c r="I121" s="488"/>
      <c r="J121" s="488"/>
      <c r="K121" s="488"/>
      <c r="L121" s="488"/>
      <c r="M121" s="294"/>
      <c r="N121" s="488"/>
      <c r="O121" s="488"/>
      <c r="P121" s="488"/>
      <c r="Q121" s="317"/>
      <c r="R121" s="1268"/>
      <c r="S121" s="294"/>
      <c r="T121" s="488"/>
      <c r="U121" s="488"/>
      <c r="V121" s="488"/>
      <c r="W121" s="317"/>
      <c r="X121" s="1085" t="e">
        <f>SUM(C121:G121)/SUM(S121:W121)-1</f>
        <v>#DIV/0!</v>
      </c>
      <c r="Y121" s="294"/>
      <c r="Z121" s="488"/>
      <c r="AA121" s="488"/>
      <c r="AB121" s="488"/>
      <c r="AC121" s="488"/>
      <c r="AD121" s="1089" t="e">
        <f>SUM(H121:L121)/SUM(Y121:AC121)-1</f>
        <v>#DIV/0!</v>
      </c>
      <c r="AH121" s="297"/>
      <c r="AI121" s="493"/>
      <c r="AJ121" s="493"/>
      <c r="AK121" s="493"/>
      <c r="AL121" s="319"/>
      <c r="AM121" s="297"/>
      <c r="AN121" s="493"/>
      <c r="AO121" s="319"/>
    </row>
    <row r="122" spans="1:41">
      <c r="A122" s="299"/>
      <c r="B122" s="1446" t="s">
        <v>586</v>
      </c>
      <c r="C122" s="297">
        <f t="shared" ref="C122:W122" si="31">SUM(C119:C121)</f>
        <v>0</v>
      </c>
      <c r="D122" s="493">
        <f t="shared" si="31"/>
        <v>0</v>
      </c>
      <c r="E122" s="493">
        <f t="shared" si="31"/>
        <v>0</v>
      </c>
      <c r="F122" s="493">
        <f t="shared" si="31"/>
        <v>0</v>
      </c>
      <c r="G122" s="319">
        <f t="shared" si="31"/>
        <v>0</v>
      </c>
      <c r="H122" s="297">
        <f t="shared" si="31"/>
        <v>0</v>
      </c>
      <c r="I122" s="493">
        <f t="shared" si="31"/>
        <v>0</v>
      </c>
      <c r="J122" s="493">
        <f t="shared" si="31"/>
        <v>0.10423560250558753</v>
      </c>
      <c r="K122" s="493">
        <f t="shared" si="31"/>
        <v>0</v>
      </c>
      <c r="L122" s="493">
        <f t="shared" si="31"/>
        <v>0</v>
      </c>
      <c r="M122" s="297">
        <f t="shared" si="31"/>
        <v>0</v>
      </c>
      <c r="N122" s="493">
        <f t="shared" si="31"/>
        <v>0</v>
      </c>
      <c r="O122" s="493">
        <f t="shared" si="31"/>
        <v>0</v>
      </c>
      <c r="P122" s="493">
        <f t="shared" si="31"/>
        <v>0</v>
      </c>
      <c r="Q122" s="319">
        <f t="shared" si="31"/>
        <v>0</v>
      </c>
      <c r="R122" s="1268"/>
      <c r="S122" s="297">
        <f t="shared" si="31"/>
        <v>0</v>
      </c>
      <c r="T122" s="493">
        <f t="shared" si="31"/>
        <v>0</v>
      </c>
      <c r="U122" s="493">
        <f t="shared" si="31"/>
        <v>0</v>
      </c>
      <c r="V122" s="493">
        <f t="shared" si="31"/>
        <v>0</v>
      </c>
      <c r="W122" s="319">
        <f t="shared" si="31"/>
        <v>0</v>
      </c>
      <c r="X122" s="1085" t="e">
        <f>SUM(C122:G122)/SUM(S122:W122)-1</f>
        <v>#DIV/0!</v>
      </c>
      <c r="Y122" s="297">
        <f>SUM(Y119:Y121)</f>
        <v>0</v>
      </c>
      <c r="Z122" s="493">
        <f>SUM(Z119:Z121)</f>
        <v>0</v>
      </c>
      <c r="AA122" s="493">
        <f>SUM(AA119:AA121)</f>
        <v>0</v>
      </c>
      <c r="AB122" s="493">
        <f>SUM(AB119:AB121)</f>
        <v>0</v>
      </c>
      <c r="AC122" s="493">
        <f>SUM(AC119:AC121)</f>
        <v>0</v>
      </c>
      <c r="AD122" s="1089" t="e">
        <f>SUM(H122:L122)/SUM(Y122:AC122)-1</f>
        <v>#DIV/0!</v>
      </c>
      <c r="AH122" s="297">
        <f t="shared" ref="AH122:AO122" si="32">SUM(AH119:AH121)</f>
        <v>0</v>
      </c>
      <c r="AI122" s="493">
        <f t="shared" si="32"/>
        <v>0</v>
      </c>
      <c r="AJ122" s="493">
        <f t="shared" si="32"/>
        <v>0</v>
      </c>
      <c r="AK122" s="493">
        <f t="shared" si="32"/>
        <v>0</v>
      </c>
      <c r="AL122" s="319">
        <f t="shared" si="32"/>
        <v>0</v>
      </c>
      <c r="AM122" s="297">
        <f t="shared" si="32"/>
        <v>0</v>
      </c>
      <c r="AN122" s="493">
        <f t="shared" si="32"/>
        <v>0</v>
      </c>
      <c r="AO122" s="319">
        <f t="shared" si="32"/>
        <v>0</v>
      </c>
    </row>
    <row r="123" spans="1:41">
      <c r="A123" s="299"/>
      <c r="B123" s="1445" t="s">
        <v>590</v>
      </c>
      <c r="C123" s="1059"/>
      <c r="D123" s="1060"/>
      <c r="E123" s="1060"/>
      <c r="F123" s="1060"/>
      <c r="G123" s="1064"/>
      <c r="H123" s="1059"/>
      <c r="I123" s="1060"/>
      <c r="J123" s="1060"/>
      <c r="K123" s="1060"/>
      <c r="L123" s="1060"/>
      <c r="M123" s="1059"/>
      <c r="N123" s="1060"/>
      <c r="O123" s="1060"/>
      <c r="P123" s="1060"/>
      <c r="Q123" s="1064"/>
      <c r="R123" s="1268"/>
      <c r="S123" s="1059"/>
      <c r="T123" s="1060"/>
      <c r="U123" s="1060"/>
      <c r="V123" s="1060"/>
      <c r="W123" s="1064"/>
      <c r="X123" s="324"/>
      <c r="Y123" s="332"/>
      <c r="Z123" s="324"/>
      <c r="AA123" s="324"/>
      <c r="AB123" s="324"/>
      <c r="AC123" s="324"/>
      <c r="AD123" s="333"/>
      <c r="AH123" s="1059"/>
      <c r="AI123" s="1060"/>
      <c r="AJ123" s="1060"/>
      <c r="AK123" s="1060"/>
      <c r="AL123" s="1064"/>
      <c r="AM123" s="1059"/>
      <c r="AN123" s="1060"/>
      <c r="AO123" s="1064"/>
    </row>
    <row r="124" spans="1:41">
      <c r="A124" s="299"/>
      <c r="B124" s="1444" t="s">
        <v>59</v>
      </c>
      <c r="C124" s="294"/>
      <c r="D124" s="488"/>
      <c r="E124" s="488"/>
      <c r="F124" s="488"/>
      <c r="G124" s="317"/>
      <c r="H124" s="294"/>
      <c r="I124" s="488"/>
      <c r="J124" s="488"/>
      <c r="K124" s="488"/>
      <c r="L124" s="488"/>
      <c r="M124" s="294"/>
      <c r="N124" s="488"/>
      <c r="O124" s="488"/>
      <c r="P124" s="488"/>
      <c r="Q124" s="317"/>
      <c r="R124" s="1268"/>
      <c r="S124" s="294"/>
      <c r="T124" s="488"/>
      <c r="U124" s="488"/>
      <c r="V124" s="488"/>
      <c r="W124" s="317"/>
      <c r="X124" s="1085" t="e">
        <f>SUM(C124:G124)/SUM(S124:W124)-1</f>
        <v>#DIV/0!</v>
      </c>
      <c r="Y124" s="294"/>
      <c r="Z124" s="488"/>
      <c r="AA124" s="488"/>
      <c r="AB124" s="488"/>
      <c r="AC124" s="488"/>
      <c r="AD124" s="1089" t="e">
        <f>SUM(H124:L124)/SUM(Y124:AC124)-1</f>
        <v>#DIV/0!</v>
      </c>
      <c r="AH124" s="297"/>
      <c r="AI124" s="493"/>
      <c r="AJ124" s="493"/>
      <c r="AK124" s="493"/>
      <c r="AL124" s="319"/>
      <c r="AM124" s="297"/>
      <c r="AN124" s="493"/>
      <c r="AO124" s="319"/>
    </row>
    <row r="125" spans="1:41">
      <c r="A125" s="299"/>
      <c r="B125" s="1444" t="s">
        <v>588</v>
      </c>
      <c r="C125" s="3508"/>
      <c r="D125" s="3509"/>
      <c r="E125" s="3509"/>
      <c r="F125" s="3509"/>
      <c r="G125" s="3510"/>
      <c r="H125" s="294"/>
      <c r="I125" s="488"/>
      <c r="J125" s="488"/>
      <c r="K125" s="488"/>
      <c r="L125" s="488"/>
      <c r="M125" s="294"/>
      <c r="N125" s="488"/>
      <c r="O125" s="488"/>
      <c r="P125" s="488"/>
      <c r="Q125" s="317"/>
      <c r="R125" s="1268"/>
      <c r="S125" s="294"/>
      <c r="T125" s="488"/>
      <c r="U125" s="488"/>
      <c r="V125" s="488"/>
      <c r="W125" s="317"/>
      <c r="X125" s="1085" t="e">
        <f>SUM(C125:G125)/SUM(S125:W125)-1</f>
        <v>#DIV/0!</v>
      </c>
      <c r="Y125" s="294"/>
      <c r="Z125" s="488"/>
      <c r="AA125" s="488"/>
      <c r="AB125" s="488"/>
      <c r="AC125" s="488"/>
      <c r="AD125" s="1089" t="e">
        <f>SUM(H125:L125)/SUM(Y125:AC125)-1</f>
        <v>#DIV/0!</v>
      </c>
      <c r="AH125" s="297"/>
      <c r="AI125" s="493"/>
      <c r="AJ125" s="493"/>
      <c r="AK125" s="493"/>
      <c r="AL125" s="319"/>
      <c r="AM125" s="297"/>
      <c r="AN125" s="493"/>
      <c r="AO125" s="319"/>
    </row>
    <row r="126" spans="1:41">
      <c r="A126" s="299"/>
      <c r="B126" s="1444" t="s">
        <v>63</v>
      </c>
      <c r="C126" s="294"/>
      <c r="D126" s="488"/>
      <c r="E126" s="488"/>
      <c r="F126" s="488"/>
      <c r="G126" s="317"/>
      <c r="H126" s="294"/>
      <c r="I126" s="488"/>
      <c r="J126" s="488"/>
      <c r="K126" s="488"/>
      <c r="L126" s="488"/>
      <c r="M126" s="294"/>
      <c r="N126" s="488"/>
      <c r="O126" s="488"/>
      <c r="P126" s="488"/>
      <c r="Q126" s="317"/>
      <c r="R126" s="1268"/>
      <c r="S126" s="294"/>
      <c r="T126" s="488"/>
      <c r="U126" s="488"/>
      <c r="V126" s="488"/>
      <c r="W126" s="317"/>
      <c r="X126" s="1085" t="e">
        <f>SUM(C126:G126)/SUM(S126:W126)-1</f>
        <v>#DIV/0!</v>
      </c>
      <c r="Y126" s="294"/>
      <c r="Z126" s="488"/>
      <c r="AA126" s="488"/>
      <c r="AB126" s="488"/>
      <c r="AC126" s="488"/>
      <c r="AD126" s="1089" t="e">
        <f>SUM(H126:L126)/SUM(Y126:AC126)-1</f>
        <v>#DIV/0!</v>
      </c>
      <c r="AH126" s="297"/>
      <c r="AI126" s="493"/>
      <c r="AJ126" s="493"/>
      <c r="AK126" s="493"/>
      <c r="AL126" s="319"/>
      <c r="AM126" s="297"/>
      <c r="AN126" s="493"/>
      <c r="AO126" s="319"/>
    </row>
    <row r="127" spans="1:41">
      <c r="A127" s="299"/>
      <c r="B127" s="1446" t="s">
        <v>594</v>
      </c>
      <c r="C127" s="334">
        <f t="shared" ref="C127:W127" si="33">SUM(C124:C126)</f>
        <v>0</v>
      </c>
      <c r="D127" s="1061">
        <f t="shared" si="33"/>
        <v>0</v>
      </c>
      <c r="E127" s="1061">
        <f t="shared" si="33"/>
        <v>0</v>
      </c>
      <c r="F127" s="1061">
        <f t="shared" si="33"/>
        <v>0</v>
      </c>
      <c r="G127" s="1065">
        <f t="shared" si="33"/>
        <v>0</v>
      </c>
      <c r="H127" s="334">
        <f t="shared" si="33"/>
        <v>0</v>
      </c>
      <c r="I127" s="1061">
        <f t="shared" si="33"/>
        <v>0</v>
      </c>
      <c r="J127" s="1061">
        <f t="shared" si="33"/>
        <v>0</v>
      </c>
      <c r="K127" s="1061">
        <f t="shared" si="33"/>
        <v>0</v>
      </c>
      <c r="L127" s="1061">
        <f t="shared" si="33"/>
        <v>0</v>
      </c>
      <c r="M127" s="334">
        <f t="shared" si="33"/>
        <v>0</v>
      </c>
      <c r="N127" s="1061">
        <f t="shared" si="33"/>
        <v>0</v>
      </c>
      <c r="O127" s="1061">
        <f t="shared" si="33"/>
        <v>0</v>
      </c>
      <c r="P127" s="1061">
        <f t="shared" si="33"/>
        <v>0</v>
      </c>
      <c r="Q127" s="1065">
        <f t="shared" si="33"/>
        <v>0</v>
      </c>
      <c r="R127" s="1268"/>
      <c r="S127" s="334">
        <f t="shared" si="33"/>
        <v>0</v>
      </c>
      <c r="T127" s="1061">
        <f t="shared" si="33"/>
        <v>0</v>
      </c>
      <c r="U127" s="1061">
        <f t="shared" si="33"/>
        <v>0</v>
      </c>
      <c r="V127" s="1061">
        <f t="shared" si="33"/>
        <v>0</v>
      </c>
      <c r="W127" s="1065">
        <f t="shared" si="33"/>
        <v>0</v>
      </c>
      <c r="X127" s="1092" t="e">
        <f>SUM(C127:G127)/SUM(S127:W127)-1</f>
        <v>#DIV/0!</v>
      </c>
      <c r="Y127" s="334">
        <f>SUM(Y124:Y126)</f>
        <v>0</v>
      </c>
      <c r="Z127" s="325">
        <f>SUM(Z124:Z126)</f>
        <v>0</v>
      </c>
      <c r="AA127" s="325">
        <f>SUM(AA124:AA126)</f>
        <v>0</v>
      </c>
      <c r="AB127" s="325">
        <f>SUM(AB124:AB126)</f>
        <v>0</v>
      </c>
      <c r="AC127" s="325">
        <f>SUM(AC124:AC126)</f>
        <v>0</v>
      </c>
      <c r="AD127" s="335" t="e">
        <f>SUM(H127:L127)/SUM(Y127:AC127)-1</f>
        <v>#DIV/0!</v>
      </c>
      <c r="AH127" s="334">
        <f t="shared" ref="AH127:AO127" si="34">SUM(AH124:AH126)</f>
        <v>0</v>
      </c>
      <c r="AI127" s="1061">
        <f t="shared" si="34"/>
        <v>0</v>
      </c>
      <c r="AJ127" s="1061">
        <f t="shared" si="34"/>
        <v>0</v>
      </c>
      <c r="AK127" s="1061">
        <f t="shared" si="34"/>
        <v>0</v>
      </c>
      <c r="AL127" s="1065">
        <f t="shared" si="34"/>
        <v>0</v>
      </c>
      <c r="AM127" s="334">
        <f t="shared" si="34"/>
        <v>0</v>
      </c>
      <c r="AN127" s="1061">
        <f t="shared" si="34"/>
        <v>0</v>
      </c>
      <c r="AO127" s="1065">
        <f t="shared" si="34"/>
        <v>0</v>
      </c>
    </row>
    <row r="128" spans="1:41">
      <c r="A128" s="299"/>
      <c r="B128" s="1448" t="s">
        <v>592</v>
      </c>
      <c r="C128" s="1059"/>
      <c r="D128" s="1060"/>
      <c r="E128" s="1060"/>
      <c r="F128" s="1060"/>
      <c r="G128" s="1060"/>
      <c r="H128" s="1059"/>
      <c r="I128" s="1060"/>
      <c r="J128" s="1060"/>
      <c r="K128" s="1060"/>
      <c r="L128" s="1060"/>
      <c r="M128" s="1059"/>
      <c r="N128" s="1060"/>
      <c r="O128" s="1060"/>
      <c r="P128" s="1060"/>
      <c r="Q128" s="1064"/>
      <c r="R128" s="1268"/>
      <c r="S128" s="1059"/>
      <c r="T128" s="1060"/>
      <c r="U128" s="1060"/>
      <c r="V128" s="1060"/>
      <c r="W128" s="1064"/>
      <c r="X128" s="324"/>
      <c r="Y128" s="332"/>
      <c r="Z128" s="324"/>
      <c r="AA128" s="324"/>
      <c r="AB128" s="324"/>
      <c r="AC128" s="324"/>
      <c r="AD128" s="333"/>
      <c r="AH128" s="1059"/>
      <c r="AI128" s="1060"/>
      <c r="AJ128" s="1060"/>
      <c r="AK128" s="1060"/>
      <c r="AL128" s="1064"/>
      <c r="AM128" s="1059"/>
      <c r="AN128" s="1060"/>
      <c r="AO128" s="1064"/>
    </row>
    <row r="129" spans="1:41">
      <c r="A129" s="299"/>
      <c r="B129" s="1449" t="s">
        <v>59</v>
      </c>
      <c r="C129" s="336">
        <f>C119+C114+C124</f>
        <v>7701920.0729999999</v>
      </c>
      <c r="D129" s="320">
        <f t="shared" ref="D129:G129" si="35">D119+D114+D124</f>
        <v>7698697.3880000096</v>
      </c>
      <c r="E129" s="320">
        <f t="shared" si="35"/>
        <v>2309872.2390000001</v>
      </c>
      <c r="F129" s="320">
        <f t="shared" si="35"/>
        <v>2680256.2410000018</v>
      </c>
      <c r="G129" s="320">
        <f t="shared" si="35"/>
        <v>2875518.3667596034</v>
      </c>
      <c r="H129" s="336">
        <f t="shared" ref="H129:W131" si="36">H119+H114+H124</f>
        <v>2955495.2946439302</v>
      </c>
      <c r="I129" s="320">
        <f t="shared" si="36"/>
        <v>1364776.04</v>
      </c>
      <c r="J129" s="320">
        <f t="shared" si="36"/>
        <v>1935204.7042356026</v>
      </c>
      <c r="K129" s="320">
        <f t="shared" si="36"/>
        <v>1903223.3935847506</v>
      </c>
      <c r="L129" s="320">
        <f t="shared" si="36"/>
        <v>1733992.4669176948</v>
      </c>
      <c r="M129" s="336">
        <f t="shared" si="36"/>
        <v>1803183.0373976417</v>
      </c>
      <c r="N129" s="320">
        <f t="shared" si="36"/>
        <v>1705871.9818293056</v>
      </c>
      <c r="O129" s="320">
        <f t="shared" si="36"/>
        <v>1619381.8651071303</v>
      </c>
      <c r="P129" s="320">
        <f t="shared" si="36"/>
        <v>1655676.0051925378</v>
      </c>
      <c r="Q129" s="1051">
        <f t="shared" si="36"/>
        <v>1717222.9637189102</v>
      </c>
      <c r="R129" s="1268"/>
      <c r="S129" s="336">
        <f t="shared" si="36"/>
        <v>0</v>
      </c>
      <c r="T129" s="320">
        <f t="shared" si="36"/>
        <v>0</v>
      </c>
      <c r="U129" s="320">
        <f t="shared" si="36"/>
        <v>0</v>
      </c>
      <c r="V129" s="320">
        <f t="shared" si="36"/>
        <v>0</v>
      </c>
      <c r="W129" s="1051">
        <f t="shared" si="36"/>
        <v>0</v>
      </c>
      <c r="X129" s="321" t="e">
        <f t="shared" ref="X129:X135" si="37">SUM(C129:G129)/SUM(S129:W129)-1</f>
        <v>#DIV/0!</v>
      </c>
      <c r="Y129" s="336">
        <f t="shared" ref="Y129:AC131" si="38">Y119+Y114+Y124</f>
        <v>0</v>
      </c>
      <c r="Z129" s="320">
        <f t="shared" si="38"/>
        <v>0</v>
      </c>
      <c r="AA129" s="320">
        <f t="shared" si="38"/>
        <v>0</v>
      </c>
      <c r="AB129" s="320">
        <f t="shared" si="38"/>
        <v>0</v>
      </c>
      <c r="AC129" s="320">
        <f t="shared" si="38"/>
        <v>0</v>
      </c>
      <c r="AD129" s="338" t="e">
        <f t="shared" ref="AD129:AD135" si="39">SUM(H129:L129)/SUM(Y129:AC129)-1</f>
        <v>#DIV/0!</v>
      </c>
      <c r="AH129" s="336">
        <f t="shared" ref="AH129:AO129" si="40">AH119+AH114+AH124</f>
        <v>0</v>
      </c>
      <c r="AI129" s="320">
        <f t="shared" si="40"/>
        <v>0</v>
      </c>
      <c r="AJ129" s="320">
        <f t="shared" si="40"/>
        <v>0</v>
      </c>
      <c r="AK129" s="320">
        <f t="shared" si="40"/>
        <v>0</v>
      </c>
      <c r="AL129" s="1051">
        <f t="shared" si="40"/>
        <v>0</v>
      </c>
      <c r="AM129" s="336">
        <f t="shared" si="40"/>
        <v>0</v>
      </c>
      <c r="AN129" s="320">
        <f t="shared" si="40"/>
        <v>0</v>
      </c>
      <c r="AO129" s="1051">
        <f t="shared" si="40"/>
        <v>0</v>
      </c>
    </row>
    <row r="130" spans="1:41">
      <c r="A130" s="299"/>
      <c r="B130" s="1449" t="s">
        <v>588</v>
      </c>
      <c r="C130" s="336">
        <f t="shared" ref="C130:G131" si="41">C120+C115+C125</f>
        <v>7012467.3509999998</v>
      </c>
      <c r="D130" s="320">
        <f t="shared" si="41"/>
        <v>8592945.1649999991</v>
      </c>
      <c r="E130" s="320">
        <f t="shared" si="41"/>
        <v>8500998.8520000074</v>
      </c>
      <c r="F130" s="320">
        <f t="shared" si="41"/>
        <v>9235018.0170000009</v>
      </c>
      <c r="G130" s="320">
        <f t="shared" si="41"/>
        <v>9907807.8875516504</v>
      </c>
      <c r="H130" s="336">
        <f t="shared" si="36"/>
        <v>10572003.78549855</v>
      </c>
      <c r="I130" s="320">
        <f t="shared" si="36"/>
        <v>13258872.359999999</v>
      </c>
      <c r="J130" s="320">
        <f t="shared" si="36"/>
        <v>14633722.07</v>
      </c>
      <c r="K130" s="320">
        <f t="shared" si="36"/>
        <v>15254888.470902743</v>
      </c>
      <c r="L130" s="320">
        <f t="shared" si="36"/>
        <v>13898453.424530717</v>
      </c>
      <c r="M130" s="336">
        <f t="shared" si="36"/>
        <v>14453035.949875658</v>
      </c>
      <c r="N130" s="320">
        <f t="shared" si="36"/>
        <v>13673059.566291612</v>
      </c>
      <c r="O130" s="320">
        <f t="shared" si="36"/>
        <v>12979816.151525127</v>
      </c>
      <c r="P130" s="320">
        <f t="shared" si="36"/>
        <v>13270724.229376871</v>
      </c>
      <c r="Q130" s="1051">
        <f t="shared" si="36"/>
        <v>13764040.984103533</v>
      </c>
      <c r="R130" s="1268"/>
      <c r="S130" s="336">
        <f t="shared" si="36"/>
        <v>0</v>
      </c>
      <c r="T130" s="320">
        <f t="shared" si="36"/>
        <v>0</v>
      </c>
      <c r="U130" s="320">
        <f t="shared" si="36"/>
        <v>0</v>
      </c>
      <c r="V130" s="320">
        <f t="shared" si="36"/>
        <v>0</v>
      </c>
      <c r="W130" s="1051">
        <f t="shared" si="36"/>
        <v>0</v>
      </c>
      <c r="X130" s="321" t="e">
        <f t="shared" si="37"/>
        <v>#DIV/0!</v>
      </c>
      <c r="Y130" s="336">
        <f t="shared" si="38"/>
        <v>0</v>
      </c>
      <c r="Z130" s="320">
        <f t="shared" si="38"/>
        <v>0</v>
      </c>
      <c r="AA130" s="320">
        <f t="shared" si="38"/>
        <v>0</v>
      </c>
      <c r="AB130" s="320">
        <f t="shared" si="38"/>
        <v>0</v>
      </c>
      <c r="AC130" s="320">
        <f t="shared" si="38"/>
        <v>0</v>
      </c>
      <c r="AD130" s="338" t="e">
        <f t="shared" si="39"/>
        <v>#DIV/0!</v>
      </c>
      <c r="AH130" s="336">
        <f t="shared" ref="AH130:AO130" si="42">AH120+AH115+AH125</f>
        <v>0</v>
      </c>
      <c r="AI130" s="320">
        <f t="shared" si="42"/>
        <v>0</v>
      </c>
      <c r="AJ130" s="320">
        <f t="shared" si="42"/>
        <v>0</v>
      </c>
      <c r="AK130" s="320">
        <f t="shared" si="42"/>
        <v>0</v>
      </c>
      <c r="AL130" s="1051">
        <f t="shared" si="42"/>
        <v>0</v>
      </c>
      <c r="AM130" s="336">
        <f t="shared" si="42"/>
        <v>0</v>
      </c>
      <c r="AN130" s="320">
        <f t="shared" si="42"/>
        <v>0</v>
      </c>
      <c r="AO130" s="1051">
        <f t="shared" si="42"/>
        <v>0</v>
      </c>
    </row>
    <row r="131" spans="1:41">
      <c r="A131" s="299"/>
      <c r="B131" s="1449" t="s">
        <v>63</v>
      </c>
      <c r="C131" s="336">
        <f t="shared" si="41"/>
        <v>996636.28500000003</v>
      </c>
      <c r="D131" s="320">
        <f t="shared" si="41"/>
        <v>1177815.3840000001</v>
      </c>
      <c r="E131" s="320">
        <f t="shared" si="41"/>
        <v>1024536.4199999999</v>
      </c>
      <c r="F131" s="320">
        <f t="shared" si="41"/>
        <v>1569348.18</v>
      </c>
      <c r="G131" s="320">
        <f t="shared" si="41"/>
        <v>1683678.391043341</v>
      </c>
      <c r="H131" s="336">
        <f t="shared" si="36"/>
        <v>715163.61291486653</v>
      </c>
      <c r="I131" s="320">
        <f t="shared" si="36"/>
        <v>1765555.839504319</v>
      </c>
      <c r="J131" s="320">
        <f t="shared" si="36"/>
        <v>1996751.0205593635</v>
      </c>
      <c r="K131" s="320">
        <f t="shared" si="36"/>
        <v>2027868.2101540619</v>
      </c>
      <c r="L131" s="320">
        <f t="shared" si="36"/>
        <v>1847554.1085515935</v>
      </c>
      <c r="M131" s="336">
        <f t="shared" si="36"/>
        <v>1921276.0682498931</v>
      </c>
      <c r="N131" s="320">
        <f t="shared" si="36"/>
        <v>1817591.9727576226</v>
      </c>
      <c r="O131" s="320">
        <f t="shared" si="36"/>
        <v>1725437.4948415735</v>
      </c>
      <c r="P131" s="320">
        <f t="shared" si="36"/>
        <v>1764108.5899648054</v>
      </c>
      <c r="Q131" s="1051">
        <f t="shared" si="36"/>
        <v>1829686.3466527481</v>
      </c>
      <c r="R131" s="1268"/>
      <c r="S131" s="336">
        <f t="shared" si="36"/>
        <v>0</v>
      </c>
      <c r="T131" s="320">
        <f t="shared" si="36"/>
        <v>0</v>
      </c>
      <c r="U131" s="320">
        <f t="shared" si="36"/>
        <v>0</v>
      </c>
      <c r="V131" s="320">
        <f t="shared" si="36"/>
        <v>0</v>
      </c>
      <c r="W131" s="1051">
        <f t="shared" si="36"/>
        <v>0</v>
      </c>
      <c r="X131" s="321" t="e">
        <f t="shared" si="37"/>
        <v>#DIV/0!</v>
      </c>
      <c r="Y131" s="336">
        <f t="shared" si="38"/>
        <v>0</v>
      </c>
      <c r="Z131" s="320">
        <f t="shared" si="38"/>
        <v>0</v>
      </c>
      <c r="AA131" s="320">
        <f t="shared" si="38"/>
        <v>0</v>
      </c>
      <c r="AB131" s="320">
        <f t="shared" si="38"/>
        <v>0</v>
      </c>
      <c r="AC131" s="320">
        <f t="shared" si="38"/>
        <v>0</v>
      </c>
      <c r="AD131" s="338" t="e">
        <f t="shared" si="39"/>
        <v>#DIV/0!</v>
      </c>
      <c r="AH131" s="336">
        <f t="shared" ref="AH131:AO131" si="43">AH121+AH116+AH126</f>
        <v>0</v>
      </c>
      <c r="AI131" s="320">
        <f t="shared" si="43"/>
        <v>0</v>
      </c>
      <c r="AJ131" s="320">
        <f t="shared" si="43"/>
        <v>0</v>
      </c>
      <c r="AK131" s="320">
        <f t="shared" si="43"/>
        <v>0</v>
      </c>
      <c r="AL131" s="1051">
        <f t="shared" si="43"/>
        <v>0</v>
      </c>
      <c r="AM131" s="336">
        <f t="shared" si="43"/>
        <v>0</v>
      </c>
      <c r="AN131" s="320">
        <f t="shared" si="43"/>
        <v>0</v>
      </c>
      <c r="AO131" s="1051">
        <f t="shared" si="43"/>
        <v>0</v>
      </c>
    </row>
    <row r="132" spans="1:41">
      <c r="A132" s="299"/>
      <c r="B132" s="1450" t="s">
        <v>592</v>
      </c>
      <c r="C132" s="337">
        <f>SUM(C129:C131)</f>
        <v>15711023.708999999</v>
      </c>
      <c r="D132" s="1062">
        <f t="shared" ref="D132:V132" si="44">SUM(D129:D131)</f>
        <v>17469457.93700001</v>
      </c>
      <c r="E132" s="1062">
        <f t="shared" si="44"/>
        <v>11835407.511000007</v>
      </c>
      <c r="F132" s="1062">
        <f t="shared" si="44"/>
        <v>13484622.438000003</v>
      </c>
      <c r="G132" s="1062">
        <f>SUM(G129:G131)</f>
        <v>14467004.645354595</v>
      </c>
      <c r="H132" s="337">
        <f t="shared" si="44"/>
        <v>14242662.693057345</v>
      </c>
      <c r="I132" s="1062">
        <f t="shared" si="44"/>
        <v>16389204.239504317</v>
      </c>
      <c r="J132" s="1062">
        <f t="shared" si="44"/>
        <v>18565677.794794966</v>
      </c>
      <c r="K132" s="1062">
        <f t="shared" si="44"/>
        <v>19185980.074641552</v>
      </c>
      <c r="L132" s="1062">
        <f t="shared" si="44"/>
        <v>17480000.000000007</v>
      </c>
      <c r="M132" s="337">
        <f t="shared" si="44"/>
        <v>18177495.055523194</v>
      </c>
      <c r="N132" s="1062">
        <f t="shared" si="44"/>
        <v>17196523.520878538</v>
      </c>
      <c r="O132" s="1062">
        <f t="shared" si="44"/>
        <v>16324635.511473831</v>
      </c>
      <c r="P132" s="1062">
        <f t="shared" si="44"/>
        <v>16690508.824534213</v>
      </c>
      <c r="Q132" s="1066">
        <f t="shared" si="44"/>
        <v>17310950.29447519</v>
      </c>
      <c r="R132" s="1268"/>
      <c r="S132" s="337">
        <f t="shared" si="44"/>
        <v>0</v>
      </c>
      <c r="T132" s="1062">
        <f t="shared" si="44"/>
        <v>0</v>
      </c>
      <c r="U132" s="1062">
        <f t="shared" si="44"/>
        <v>0</v>
      </c>
      <c r="V132" s="1062">
        <f t="shared" si="44"/>
        <v>0</v>
      </c>
      <c r="W132" s="1066">
        <f>SUM(W129:W131)</f>
        <v>0</v>
      </c>
      <c r="X132" s="1092" t="e">
        <f t="shared" si="37"/>
        <v>#DIV/0!</v>
      </c>
      <c r="Y132" s="337">
        <f>SUM(Y129:Y131)</f>
        <v>0</v>
      </c>
      <c r="Z132" s="326">
        <f>SUM(Z129:Z131)</f>
        <v>0</v>
      </c>
      <c r="AA132" s="326">
        <f>SUM(AA129:AA131)</f>
        <v>0</v>
      </c>
      <c r="AB132" s="326">
        <f>SUM(AB129:AB131)</f>
        <v>0</v>
      </c>
      <c r="AC132" s="326">
        <f>SUM(AC129:AC131)</f>
        <v>0</v>
      </c>
      <c r="AD132" s="335" t="e">
        <f t="shared" si="39"/>
        <v>#DIV/0!</v>
      </c>
      <c r="AH132" s="337">
        <f>SUM(AH129:AH131)</f>
        <v>0</v>
      </c>
      <c r="AI132" s="1062">
        <f t="shared" ref="AI132:AO132" si="45">SUM(AI129:AI131)</f>
        <v>0</v>
      </c>
      <c r="AJ132" s="1062">
        <f t="shared" si="45"/>
        <v>0</v>
      </c>
      <c r="AK132" s="1062">
        <f t="shared" si="45"/>
        <v>0</v>
      </c>
      <c r="AL132" s="1066">
        <f t="shared" si="45"/>
        <v>0</v>
      </c>
      <c r="AM132" s="337">
        <f t="shared" si="45"/>
        <v>0</v>
      </c>
      <c r="AN132" s="1062">
        <f t="shared" si="45"/>
        <v>0</v>
      </c>
      <c r="AO132" s="1066">
        <f t="shared" si="45"/>
        <v>0</v>
      </c>
    </row>
    <row r="133" spans="1:41">
      <c r="A133" s="299"/>
      <c r="B133" s="1447" t="s">
        <v>593</v>
      </c>
      <c r="C133" s="486">
        <v>1745669.301</v>
      </c>
      <c r="D133" s="485">
        <v>-487838.00699999969</v>
      </c>
      <c r="E133" s="485">
        <v>1315045.2790000008</v>
      </c>
      <c r="F133" s="485">
        <v>1498291.3820000004</v>
      </c>
      <c r="G133" s="485">
        <v>1405813.5246454049</v>
      </c>
      <c r="H133" s="486">
        <v>791197.82</v>
      </c>
      <c r="I133" s="485">
        <f>822019.61-281552.12</f>
        <v>540467.49</v>
      </c>
      <c r="J133" s="485">
        <v>985918.14852418157</v>
      </c>
      <c r="K133" s="485">
        <f>K132*0.05623299</f>
        <v>1078885.0256775175</v>
      </c>
      <c r="L133" s="485">
        <f>L132*0.06</f>
        <v>1048800.0000000005</v>
      </c>
      <c r="M133" s="486">
        <f t="shared" ref="M133:Q133" si="46">M132*0.06</f>
        <v>1090649.7033313916</v>
      </c>
      <c r="N133" s="485">
        <f t="shared" si="46"/>
        <v>1031791.4112527122</v>
      </c>
      <c r="O133" s="485">
        <f t="shared" si="46"/>
        <v>979478.13068842981</v>
      </c>
      <c r="P133" s="485">
        <f t="shared" si="46"/>
        <v>1001430.5294720527</v>
      </c>
      <c r="Q133" s="485">
        <f t="shared" si="46"/>
        <v>1038657.0176685114</v>
      </c>
      <c r="R133" s="1268"/>
      <c r="S133" s="342"/>
      <c r="T133" s="323"/>
      <c r="U133" s="323"/>
      <c r="V133" s="323"/>
      <c r="W133" s="343"/>
      <c r="X133" s="321" t="e">
        <f t="shared" si="37"/>
        <v>#DIV/0!</v>
      </c>
      <c r="Y133" s="339"/>
      <c r="Z133" s="327"/>
      <c r="AA133" s="327"/>
      <c r="AB133" s="327"/>
      <c r="AC133" s="327"/>
      <c r="AD133" s="338" t="e">
        <f t="shared" si="39"/>
        <v>#DIV/0!</v>
      </c>
      <c r="AH133" s="336"/>
      <c r="AI133" s="320"/>
      <c r="AJ133" s="320"/>
      <c r="AK133" s="320"/>
      <c r="AL133" s="1051"/>
      <c r="AM133" s="336"/>
      <c r="AN133" s="320"/>
      <c r="AO133" s="1051"/>
    </row>
    <row r="134" spans="1:41">
      <c r="A134" s="299"/>
      <c r="B134" s="344" t="s">
        <v>159</v>
      </c>
      <c r="C134" s="342"/>
      <c r="D134" s="323"/>
      <c r="E134" s="323"/>
      <c r="F134" s="323"/>
      <c r="G134" s="343"/>
      <c r="H134" s="342"/>
      <c r="I134" s="323"/>
      <c r="J134" s="323"/>
      <c r="K134" s="323"/>
      <c r="L134" s="323">
        <v>0</v>
      </c>
      <c r="M134" s="342">
        <v>0</v>
      </c>
      <c r="N134" s="342">
        <v>0</v>
      </c>
      <c r="O134" s="342">
        <v>0</v>
      </c>
      <c r="P134" s="342">
        <v>0</v>
      </c>
      <c r="Q134" s="342">
        <v>0</v>
      </c>
      <c r="R134" s="1268"/>
      <c r="S134" s="342"/>
      <c r="T134" s="323"/>
      <c r="U134" s="323"/>
      <c r="V134" s="323"/>
      <c r="W134" s="343"/>
      <c r="X134" s="321" t="e">
        <f t="shared" si="37"/>
        <v>#DIV/0!</v>
      </c>
      <c r="Y134" s="339"/>
      <c r="Z134" s="327"/>
      <c r="AA134" s="327"/>
      <c r="AB134" s="327"/>
      <c r="AC134" s="327"/>
      <c r="AD134" s="338" t="e">
        <f t="shared" si="39"/>
        <v>#DIV/0!</v>
      </c>
      <c r="AH134" s="336"/>
      <c r="AI134" s="320"/>
      <c r="AJ134" s="320"/>
      <c r="AK134" s="320"/>
      <c r="AL134" s="1051"/>
      <c r="AM134" s="336"/>
      <c r="AN134" s="320"/>
      <c r="AO134" s="1051"/>
    </row>
    <row r="135" spans="1:41">
      <c r="A135" s="299"/>
      <c r="B135" s="3106" t="str">
        <f>CONCATENATE("Tottal Gross expenditure on new ", B25, " connections")</f>
        <v>Tottal Gross expenditure on new New homes connections</v>
      </c>
      <c r="C135" s="340">
        <f>SUM(C132,C133,C134)</f>
        <v>17456693.009999998</v>
      </c>
      <c r="D135" s="322">
        <f t="shared" ref="D135:Q135" si="47">SUM(D132,D133,D134)</f>
        <v>16981619.930000011</v>
      </c>
      <c r="E135" s="322">
        <f t="shared" si="47"/>
        <v>13150452.790000008</v>
      </c>
      <c r="F135" s="322">
        <f t="shared" si="47"/>
        <v>14982913.820000004</v>
      </c>
      <c r="G135" s="341">
        <f>SUM(G132,G133,G134)</f>
        <v>15872818.17</v>
      </c>
      <c r="H135" s="340">
        <f t="shared" si="47"/>
        <v>15033860.513057346</v>
      </c>
      <c r="I135" s="322">
        <f t="shared" si="47"/>
        <v>16929671.729504317</v>
      </c>
      <c r="J135" s="322">
        <f t="shared" si="47"/>
        <v>19551595.943319146</v>
      </c>
      <c r="K135" s="322">
        <f t="shared" si="47"/>
        <v>20264865.100319069</v>
      </c>
      <c r="L135" s="322">
        <f t="shared" si="47"/>
        <v>18528800.000000007</v>
      </c>
      <c r="M135" s="340">
        <f t="shared" si="47"/>
        <v>19268144.758854587</v>
      </c>
      <c r="N135" s="322">
        <f t="shared" si="47"/>
        <v>18228314.932131249</v>
      </c>
      <c r="O135" s="322">
        <f t="shared" si="47"/>
        <v>17304113.64216226</v>
      </c>
      <c r="P135" s="322">
        <f t="shared" si="47"/>
        <v>17691939.354006264</v>
      </c>
      <c r="Q135" s="341">
        <f t="shared" si="47"/>
        <v>18349607.312143702</v>
      </c>
      <c r="R135" s="1268"/>
      <c r="S135" s="340">
        <v>13206692.996109558</v>
      </c>
      <c r="T135" s="322">
        <v>14151903.628037876</v>
      </c>
      <c r="U135" s="322">
        <v>14755788.198436525</v>
      </c>
      <c r="V135" s="322">
        <v>15504079.948713109</v>
      </c>
      <c r="W135" s="341">
        <v>14873939.527427563</v>
      </c>
      <c r="X135" s="1087">
        <f t="shared" si="37"/>
        <v>8.2106442445310179E-2</v>
      </c>
      <c r="Y135" s="340">
        <v>14030110.960724961</v>
      </c>
      <c r="Z135" s="322">
        <v>15875666.554598907</v>
      </c>
      <c r="AA135" s="322">
        <v>15834201.693908909</v>
      </c>
      <c r="AB135" s="322">
        <v>15379086.701646578</v>
      </c>
      <c r="AC135" s="322">
        <v>15428770.001449632</v>
      </c>
      <c r="AD135" s="1090">
        <f t="shared" si="39"/>
        <v>0.17976938485408622</v>
      </c>
      <c r="AH135" s="340">
        <f>SUM(AH132,AH133,AH134)</f>
        <v>0</v>
      </c>
      <c r="AI135" s="322">
        <f t="shared" ref="AI135:AO135" si="48">SUM(AI132,AI133,AI134)</f>
        <v>0</v>
      </c>
      <c r="AJ135" s="322">
        <f t="shared" si="48"/>
        <v>0</v>
      </c>
      <c r="AK135" s="322">
        <f t="shared" si="48"/>
        <v>0</v>
      </c>
      <c r="AL135" s="341">
        <f t="shared" si="48"/>
        <v>0</v>
      </c>
      <c r="AM135" s="340">
        <f t="shared" si="48"/>
        <v>0</v>
      </c>
      <c r="AN135" s="322">
        <f t="shared" si="48"/>
        <v>0</v>
      </c>
      <c r="AO135" s="341">
        <f t="shared" si="48"/>
        <v>0</v>
      </c>
    </row>
    <row r="136" spans="1:41">
      <c r="A136" s="299"/>
      <c r="B136" s="1966" t="s">
        <v>1530</v>
      </c>
      <c r="C136" s="486">
        <v>-2157906.5150000001</v>
      </c>
      <c r="D136" s="485">
        <v>-2218546.1430000002</v>
      </c>
      <c r="E136" s="485">
        <v>-2275714.7999999998</v>
      </c>
      <c r="F136" s="485">
        <v>-2123222.4300000002</v>
      </c>
      <c r="G136" s="343">
        <v>-2445919.2400000002</v>
      </c>
      <c r="H136" s="342"/>
      <c r="I136" s="323"/>
      <c r="J136" s="323"/>
      <c r="K136" s="323"/>
      <c r="L136" s="323"/>
      <c r="M136" s="342">
        <v>1400000</v>
      </c>
      <c r="N136" s="323">
        <v>1400000</v>
      </c>
      <c r="O136" s="323">
        <v>1400000</v>
      </c>
      <c r="P136" s="323">
        <v>1400000</v>
      </c>
      <c r="Q136" s="343">
        <v>1400000</v>
      </c>
      <c r="R136" s="1268"/>
      <c r="S136" s="342"/>
      <c r="T136" s="323"/>
      <c r="U136" s="323"/>
      <c r="V136" s="323"/>
      <c r="W136" s="343"/>
      <c r="X136" s="1088"/>
      <c r="Y136" s="342"/>
      <c r="Z136" s="323"/>
      <c r="AA136" s="323"/>
      <c r="AB136" s="323"/>
      <c r="AC136" s="323"/>
      <c r="AD136" s="1091"/>
      <c r="AH136" s="336"/>
      <c r="AI136" s="320"/>
      <c r="AJ136" s="320"/>
      <c r="AK136" s="320"/>
      <c r="AL136" s="1051"/>
      <c r="AM136" s="336"/>
      <c r="AN136" s="320"/>
      <c r="AO136" s="1051"/>
    </row>
    <row r="137" spans="1:41" ht="13.5" thickBot="1">
      <c r="A137" s="299"/>
      <c r="B137" s="1441" t="str">
        <f>CONCATENATE("Total Net expenditure on new ", B25, " connections")</f>
        <v>Total Net expenditure on new New homes connections</v>
      </c>
      <c r="C137" s="1757">
        <f>SUM(C135:C136)</f>
        <v>15298786.494999997</v>
      </c>
      <c r="D137" s="1757">
        <f>SUM(D135:D136)</f>
        <v>14763073.787000012</v>
      </c>
      <c r="E137" s="1757">
        <f>SUM(E135:E136)</f>
        <v>10874737.99000001</v>
      </c>
      <c r="F137" s="1757">
        <f>SUM(F135:F136)</f>
        <v>12859691.390000004</v>
      </c>
      <c r="G137" s="1757">
        <f>SUM(G135:G136)</f>
        <v>13426898.93</v>
      </c>
      <c r="H137" s="1757">
        <f t="shared" ref="H137:V137" si="49">H135-H136</f>
        <v>15033860.513057346</v>
      </c>
      <c r="I137" s="1053">
        <f t="shared" si="49"/>
        <v>16929671.729504317</v>
      </c>
      <c r="J137" s="1053">
        <f t="shared" si="49"/>
        <v>19551595.943319146</v>
      </c>
      <c r="K137" s="1053">
        <f t="shared" si="49"/>
        <v>20264865.100319069</v>
      </c>
      <c r="L137" s="1053">
        <f t="shared" si="49"/>
        <v>18528800.000000007</v>
      </c>
      <c r="M137" s="1757">
        <f t="shared" si="49"/>
        <v>17868144.758854587</v>
      </c>
      <c r="N137" s="1053">
        <f t="shared" si="49"/>
        <v>16828314.932131249</v>
      </c>
      <c r="O137" s="1053">
        <f t="shared" si="49"/>
        <v>15904113.64216226</v>
      </c>
      <c r="P137" s="1053">
        <f t="shared" si="49"/>
        <v>16291939.354006264</v>
      </c>
      <c r="Q137" s="1054">
        <f t="shared" si="49"/>
        <v>16949607.312143702</v>
      </c>
      <c r="R137" s="1268"/>
      <c r="S137" s="1757">
        <f t="shared" si="49"/>
        <v>13206692.996109558</v>
      </c>
      <c r="T137" s="1053">
        <f t="shared" si="49"/>
        <v>14151903.628037876</v>
      </c>
      <c r="U137" s="1053">
        <f t="shared" si="49"/>
        <v>14755788.198436525</v>
      </c>
      <c r="V137" s="1053">
        <f t="shared" si="49"/>
        <v>15504079.948713109</v>
      </c>
      <c r="W137" s="1054">
        <f>W135-W136</f>
        <v>14873939.527427563</v>
      </c>
      <c r="X137" s="1093">
        <f>SUM(C137:G137)/SUM(S137:W137)-1</f>
        <v>-7.2686452569725724E-2</v>
      </c>
      <c r="Y137" s="1757">
        <f>Y135-Y136</f>
        <v>14030110.960724961</v>
      </c>
      <c r="Z137" s="1053">
        <f>Z135-Z136</f>
        <v>15875666.554598907</v>
      </c>
      <c r="AA137" s="1053">
        <f>AA135-AA136</f>
        <v>15834201.693908909</v>
      </c>
      <c r="AB137" s="1053">
        <f>AB135-AB136</f>
        <v>15379086.701646578</v>
      </c>
      <c r="AC137" s="1053">
        <f>AC135-AC136</f>
        <v>15428770.001449632</v>
      </c>
      <c r="AD137" s="1094">
        <f>SUM(H137:L137)/SUM(Y137:AC137)-1</f>
        <v>0.17976938485408622</v>
      </c>
      <c r="AH137" s="1757">
        <f>AH135-AH136</f>
        <v>0</v>
      </c>
      <c r="AI137" s="1053">
        <f t="shared" ref="AI137:AO137" si="50">AI135-AI136</f>
        <v>0</v>
      </c>
      <c r="AJ137" s="1053">
        <f t="shared" si="50"/>
        <v>0</v>
      </c>
      <c r="AK137" s="1053">
        <f t="shared" si="50"/>
        <v>0</v>
      </c>
      <c r="AL137" s="1054">
        <f t="shared" si="50"/>
        <v>0</v>
      </c>
      <c r="AM137" s="1757">
        <f t="shared" si="50"/>
        <v>0</v>
      </c>
      <c r="AN137" s="1053">
        <f t="shared" si="50"/>
        <v>0</v>
      </c>
      <c r="AO137" s="1054">
        <f t="shared" si="50"/>
        <v>0</v>
      </c>
    </row>
    <row r="138" spans="1:41" s="170" customFormat="1" ht="31.5" customHeight="1" thickBot="1">
      <c r="A138" s="775"/>
      <c r="B138" s="1472" t="s">
        <v>127</v>
      </c>
      <c r="C138" s="300"/>
      <c r="D138" s="1099"/>
      <c r="E138" s="1099"/>
      <c r="F138" s="1099"/>
      <c r="G138" s="1099"/>
      <c r="H138" s="1099"/>
      <c r="I138" s="1099"/>
      <c r="J138" s="1099"/>
      <c r="K138" s="1099"/>
      <c r="L138" s="1099"/>
      <c r="M138" s="1099"/>
      <c r="N138" s="1099"/>
      <c r="O138" s="1099"/>
      <c r="P138" s="1099"/>
      <c r="Q138" s="1100"/>
      <c r="R138" s="1268"/>
      <c r="S138" s="300"/>
      <c r="T138" s="1099"/>
      <c r="U138" s="1099"/>
      <c r="V138" s="1099"/>
      <c r="W138" s="1099"/>
      <c r="X138" s="1099"/>
      <c r="Y138" s="1099"/>
      <c r="Z138" s="1099"/>
      <c r="AA138" s="1099"/>
      <c r="AB138" s="1099"/>
      <c r="AC138" s="1099"/>
      <c r="AD138" s="1100"/>
      <c r="AE138"/>
      <c r="AH138" s="1762"/>
      <c r="AI138" s="1763"/>
      <c r="AJ138" s="1763"/>
      <c r="AK138" s="1763"/>
      <c r="AL138" s="1763"/>
      <c r="AM138" s="1763"/>
      <c r="AN138" s="1763"/>
      <c r="AO138" s="1764"/>
    </row>
    <row r="139" spans="1:41" ht="13.5" thickBot="1">
      <c r="A139" s="1268"/>
      <c r="B139" s="1268"/>
      <c r="C139" s="1268"/>
      <c r="D139" s="1268"/>
      <c r="E139" s="1268"/>
      <c r="F139" s="1268"/>
      <c r="G139" s="1268"/>
      <c r="H139" s="1268"/>
      <c r="I139" s="1268"/>
      <c r="J139" s="1268"/>
      <c r="K139" s="1268"/>
      <c r="L139" s="1268"/>
      <c r="M139" s="1268"/>
      <c r="N139" s="1268"/>
      <c r="O139" s="1268"/>
      <c r="P139" s="1268"/>
      <c r="Q139" s="1268"/>
      <c r="R139" s="1268"/>
      <c r="S139" s="1268"/>
      <c r="T139" s="1268"/>
      <c r="U139" s="1268"/>
      <c r="V139" s="1268"/>
      <c r="W139" s="1268"/>
      <c r="X139" s="1268"/>
      <c r="Y139" s="1268"/>
      <c r="Z139" s="1268"/>
      <c r="AA139" s="1268"/>
      <c r="AB139" s="1268"/>
      <c r="AC139" s="1268"/>
      <c r="AD139" s="1268"/>
      <c r="AH139" s="1268"/>
      <c r="AI139" s="1268"/>
      <c r="AJ139" s="1268"/>
      <c r="AK139" s="1268"/>
      <c r="AL139" s="1268"/>
      <c r="AM139" s="1268"/>
      <c r="AN139" s="1268"/>
      <c r="AO139" s="1268"/>
    </row>
    <row r="140" spans="1:41" ht="16.5" thickBot="1">
      <c r="A140" s="866"/>
      <c r="B140" s="292" t="str">
        <f>CONCATENATE("Table 4.2.4 - ", B26)</f>
        <v>Table 4.2.4 - New medium density / high rise</v>
      </c>
      <c r="C140" s="306"/>
      <c r="D140" s="306"/>
      <c r="E140" s="306"/>
      <c r="F140" s="306"/>
      <c r="G140" s="306"/>
      <c r="H140" s="306"/>
      <c r="I140" s="306"/>
      <c r="J140" s="306"/>
      <c r="K140" s="306"/>
      <c r="L140" s="306"/>
      <c r="M140" s="306"/>
      <c r="N140" s="306"/>
      <c r="O140" s="306"/>
      <c r="P140" s="306"/>
      <c r="Q140" s="307"/>
      <c r="R140" s="1268"/>
      <c r="S140" s="292"/>
      <c r="T140" s="306"/>
      <c r="U140" s="306"/>
      <c r="V140" s="306"/>
      <c r="W140" s="306"/>
      <c r="X140" s="306"/>
      <c r="Y140" s="306"/>
      <c r="Z140" s="306"/>
      <c r="AA140" s="306"/>
      <c r="AB140" s="306"/>
      <c r="AC140" s="306"/>
      <c r="AD140" s="307"/>
      <c r="AH140" s="292"/>
      <c r="AI140" s="306"/>
      <c r="AJ140" s="306"/>
      <c r="AK140" s="306"/>
      <c r="AL140" s="306"/>
      <c r="AM140" s="306"/>
      <c r="AN140" s="306"/>
      <c r="AO140" s="307"/>
    </row>
    <row r="141" spans="1:41">
      <c r="A141" s="299"/>
      <c r="B141" s="328" t="str">
        <f>CONCATENATE("Number of new ", B26, " connections")</f>
        <v>Number of new New medium density / high rise connections</v>
      </c>
      <c r="C141" s="1756">
        <f t="shared" ref="C141:Q141" si="51">C26</f>
        <v>0</v>
      </c>
      <c r="D141" s="330">
        <f t="shared" si="51"/>
        <v>0</v>
      </c>
      <c r="E141" s="330">
        <f t="shared" si="51"/>
        <v>0</v>
      </c>
      <c r="F141" s="330">
        <f t="shared" si="51"/>
        <v>0</v>
      </c>
      <c r="G141" s="1049">
        <f t="shared" si="51"/>
        <v>0</v>
      </c>
      <c r="H141" s="1756">
        <f t="shared" si="51"/>
        <v>0</v>
      </c>
      <c r="I141" s="330">
        <f t="shared" si="51"/>
        <v>0</v>
      </c>
      <c r="J141" s="330">
        <f t="shared" si="51"/>
        <v>0</v>
      </c>
      <c r="K141" s="330">
        <f t="shared" si="51"/>
        <v>0</v>
      </c>
      <c r="L141" s="330">
        <f t="shared" si="51"/>
        <v>0</v>
      </c>
      <c r="M141" s="1756">
        <f t="shared" si="51"/>
        <v>0</v>
      </c>
      <c r="N141" s="330">
        <f t="shared" si="51"/>
        <v>0</v>
      </c>
      <c r="O141" s="330">
        <f t="shared" si="51"/>
        <v>0</v>
      </c>
      <c r="P141" s="330">
        <f t="shared" si="51"/>
        <v>0</v>
      </c>
      <c r="Q141" s="1049">
        <f t="shared" si="51"/>
        <v>0</v>
      </c>
      <c r="R141" s="1268"/>
      <c r="S141" s="1756">
        <f t="shared" ref="S141:X141" si="52">S26</f>
        <v>0</v>
      </c>
      <c r="T141" s="330">
        <f t="shared" si="52"/>
        <v>0</v>
      </c>
      <c r="U141" s="330">
        <f t="shared" si="52"/>
        <v>0</v>
      </c>
      <c r="V141" s="330">
        <f t="shared" si="52"/>
        <v>0</v>
      </c>
      <c r="W141" s="1049">
        <f t="shared" si="52"/>
        <v>0</v>
      </c>
      <c r="X141" s="1084" t="e">
        <f t="shared" si="52"/>
        <v>#DIV/0!</v>
      </c>
      <c r="Y141" s="1756"/>
      <c r="Z141" s="330"/>
      <c r="AA141" s="330"/>
      <c r="AB141" s="330"/>
      <c r="AC141" s="330"/>
      <c r="AD141" s="331" t="e">
        <f>SUM(H141:L141)/SUM(Y141:AC141)-1</f>
        <v>#DIV/0!</v>
      </c>
      <c r="AH141" s="1756">
        <f t="shared" ref="AH141:AO141" si="53">AH26</f>
        <v>0</v>
      </c>
      <c r="AI141" s="330">
        <f t="shared" si="53"/>
        <v>0</v>
      </c>
      <c r="AJ141" s="330">
        <f t="shared" si="53"/>
        <v>0</v>
      </c>
      <c r="AK141" s="330">
        <f t="shared" si="53"/>
        <v>0</v>
      </c>
      <c r="AL141" s="1049">
        <f t="shared" si="53"/>
        <v>0</v>
      </c>
      <c r="AM141" s="1756">
        <f t="shared" si="53"/>
        <v>0</v>
      </c>
      <c r="AN141" s="330">
        <f t="shared" si="53"/>
        <v>0</v>
      </c>
      <c r="AO141" s="1049">
        <f t="shared" si="53"/>
        <v>0</v>
      </c>
    </row>
    <row r="142" spans="1:41">
      <c r="A142" s="299"/>
      <c r="B142" s="1443" t="s">
        <v>584</v>
      </c>
      <c r="C142" s="332"/>
      <c r="D142" s="324"/>
      <c r="E142" s="324"/>
      <c r="F142" s="324"/>
      <c r="G142" s="333"/>
      <c r="H142" s="332"/>
      <c r="I142" s="324"/>
      <c r="J142" s="324"/>
      <c r="K142" s="324"/>
      <c r="L142" s="324"/>
      <c r="M142" s="332"/>
      <c r="N142" s="324"/>
      <c r="O142" s="324"/>
      <c r="P142" s="324"/>
      <c r="Q142" s="333"/>
      <c r="R142" s="1268"/>
      <c r="S142" s="332"/>
      <c r="T142" s="324"/>
      <c r="U142" s="324"/>
      <c r="V142" s="324"/>
      <c r="W142" s="333"/>
      <c r="X142" s="324"/>
      <c r="Y142" s="332"/>
      <c r="Z142" s="324"/>
      <c r="AA142" s="324"/>
      <c r="AB142" s="324"/>
      <c r="AC142" s="324"/>
      <c r="AD142" s="333"/>
      <c r="AH142" s="332"/>
      <c r="AI142" s="324"/>
      <c r="AJ142" s="324"/>
      <c r="AK142" s="324"/>
      <c r="AL142" s="333"/>
      <c r="AM142" s="332"/>
      <c r="AN142" s="324"/>
      <c r="AO142" s="333"/>
    </row>
    <row r="143" spans="1:41">
      <c r="A143" s="299"/>
      <c r="B143" s="1444" t="s">
        <v>59</v>
      </c>
      <c r="C143" s="294"/>
      <c r="D143" s="488"/>
      <c r="E143" s="488"/>
      <c r="F143" s="488"/>
      <c r="G143" s="317"/>
      <c r="H143" s="294"/>
      <c r="I143" s="488"/>
      <c r="J143" s="488"/>
      <c r="K143" s="488"/>
      <c r="L143" s="488"/>
      <c r="M143" s="294"/>
      <c r="N143" s="488"/>
      <c r="O143" s="488"/>
      <c r="P143" s="488"/>
      <c r="Q143" s="317"/>
      <c r="R143" s="1268"/>
      <c r="S143" s="294"/>
      <c r="T143" s="488"/>
      <c r="U143" s="488"/>
      <c r="V143" s="488"/>
      <c r="W143" s="317"/>
      <c r="X143" s="1085" t="e">
        <f>SUM(C143:G143)/SUM(S143:W143)-1</f>
        <v>#DIV/0!</v>
      </c>
      <c r="Y143" s="294"/>
      <c r="Z143" s="488"/>
      <c r="AA143" s="488"/>
      <c r="AB143" s="488"/>
      <c r="AC143" s="488"/>
      <c r="AD143" s="1089" t="e">
        <f>SUM(H143:L143)/SUM(Y143:AC143)-1</f>
        <v>#DIV/0!</v>
      </c>
      <c r="AH143" s="297"/>
      <c r="AI143" s="493"/>
      <c r="AJ143" s="493"/>
      <c r="AK143" s="493"/>
      <c r="AL143" s="319"/>
      <c r="AM143" s="297"/>
      <c r="AN143" s="493"/>
      <c r="AO143" s="319"/>
    </row>
    <row r="144" spans="1:41">
      <c r="A144" s="299"/>
      <c r="B144" s="1444" t="s">
        <v>588</v>
      </c>
      <c r="C144" s="294"/>
      <c r="D144" s="488"/>
      <c r="E144" s="488"/>
      <c r="F144" s="488"/>
      <c r="G144" s="317"/>
      <c r="H144" s="294"/>
      <c r="I144" s="488"/>
      <c r="J144" s="488"/>
      <c r="K144" s="488"/>
      <c r="L144" s="488"/>
      <c r="M144" s="294"/>
      <c r="N144" s="488"/>
      <c r="O144" s="488"/>
      <c r="P144" s="488"/>
      <c r="Q144" s="317"/>
      <c r="R144" s="1268"/>
      <c r="S144" s="294"/>
      <c r="T144" s="488"/>
      <c r="U144" s="488"/>
      <c r="V144" s="488"/>
      <c r="W144" s="317"/>
      <c r="X144" s="1085" t="e">
        <f>SUM(C144:G144)/SUM(S144:W144)-1</f>
        <v>#DIV/0!</v>
      </c>
      <c r="Y144" s="294"/>
      <c r="Z144" s="488"/>
      <c r="AA144" s="488"/>
      <c r="AB144" s="488"/>
      <c r="AC144" s="488"/>
      <c r="AD144" s="1089" t="e">
        <f>SUM(H144:L144)/SUM(Y144:AC144)-1</f>
        <v>#DIV/0!</v>
      </c>
      <c r="AH144" s="297"/>
      <c r="AI144" s="493"/>
      <c r="AJ144" s="493"/>
      <c r="AK144" s="493"/>
      <c r="AL144" s="319"/>
      <c r="AM144" s="297"/>
      <c r="AN144" s="493"/>
      <c r="AO144" s="319"/>
    </row>
    <row r="145" spans="1:41">
      <c r="A145" s="299"/>
      <c r="B145" s="1444" t="s">
        <v>63</v>
      </c>
      <c r="C145" s="294"/>
      <c r="D145" s="488"/>
      <c r="E145" s="488"/>
      <c r="F145" s="488"/>
      <c r="G145" s="317"/>
      <c r="H145" s="294"/>
      <c r="I145" s="488"/>
      <c r="J145" s="488"/>
      <c r="K145" s="488"/>
      <c r="L145" s="488"/>
      <c r="M145" s="294"/>
      <c r="N145" s="488"/>
      <c r="O145" s="488"/>
      <c r="P145" s="488"/>
      <c r="Q145" s="317"/>
      <c r="R145" s="1268"/>
      <c r="S145" s="294"/>
      <c r="T145" s="488"/>
      <c r="U145" s="488"/>
      <c r="V145" s="488"/>
      <c r="W145" s="317"/>
      <c r="X145" s="1085" t="e">
        <f>SUM(C145:G145)/SUM(S145:W145)-1</f>
        <v>#DIV/0!</v>
      </c>
      <c r="Y145" s="294"/>
      <c r="Z145" s="488"/>
      <c r="AA145" s="488"/>
      <c r="AB145" s="488"/>
      <c r="AC145" s="488"/>
      <c r="AD145" s="1089" t="e">
        <f>SUM(H145:L145)/SUM(Y145:AC145)-1</f>
        <v>#DIV/0!</v>
      </c>
      <c r="AH145" s="297"/>
      <c r="AI145" s="493"/>
      <c r="AJ145" s="493"/>
      <c r="AK145" s="493"/>
      <c r="AL145" s="319"/>
      <c r="AM145" s="297"/>
      <c r="AN145" s="493"/>
      <c r="AO145" s="319"/>
    </row>
    <row r="146" spans="1:41">
      <c r="A146" s="299"/>
      <c r="B146" s="1446" t="s">
        <v>589</v>
      </c>
      <c r="C146" s="297">
        <f t="shared" ref="C146:W146" si="54">SUM(C143:C145)</f>
        <v>0</v>
      </c>
      <c r="D146" s="493">
        <f t="shared" si="54"/>
        <v>0</v>
      </c>
      <c r="E146" s="493">
        <f t="shared" si="54"/>
        <v>0</v>
      </c>
      <c r="F146" s="493">
        <f t="shared" si="54"/>
        <v>0</v>
      </c>
      <c r="G146" s="319">
        <f t="shared" si="54"/>
        <v>0</v>
      </c>
      <c r="H146" s="297">
        <f t="shared" si="54"/>
        <v>0</v>
      </c>
      <c r="I146" s="493">
        <f t="shared" si="54"/>
        <v>0</v>
      </c>
      <c r="J146" s="493">
        <f t="shared" si="54"/>
        <v>0</v>
      </c>
      <c r="K146" s="493">
        <f t="shared" si="54"/>
        <v>0</v>
      </c>
      <c r="L146" s="493">
        <f t="shared" si="54"/>
        <v>0</v>
      </c>
      <c r="M146" s="297">
        <f t="shared" si="54"/>
        <v>0</v>
      </c>
      <c r="N146" s="493">
        <f t="shared" si="54"/>
        <v>0</v>
      </c>
      <c r="O146" s="493">
        <f t="shared" si="54"/>
        <v>0</v>
      </c>
      <c r="P146" s="493">
        <f t="shared" si="54"/>
        <v>0</v>
      </c>
      <c r="Q146" s="319">
        <f t="shared" si="54"/>
        <v>0</v>
      </c>
      <c r="R146" s="1268"/>
      <c r="S146" s="297">
        <f t="shared" si="54"/>
        <v>0</v>
      </c>
      <c r="T146" s="493">
        <f t="shared" si="54"/>
        <v>0</v>
      </c>
      <c r="U146" s="493">
        <f t="shared" si="54"/>
        <v>0</v>
      </c>
      <c r="V146" s="493">
        <f t="shared" si="54"/>
        <v>0</v>
      </c>
      <c r="W146" s="319">
        <f t="shared" si="54"/>
        <v>0</v>
      </c>
      <c r="X146" s="1085" t="e">
        <f>SUM(C146:G146)/SUM(S146:W146)-1</f>
        <v>#DIV/0!</v>
      </c>
      <c r="Y146" s="297">
        <f>SUM(Y143:Y145)</f>
        <v>0</v>
      </c>
      <c r="Z146" s="493">
        <f>SUM(Z143:Z145)</f>
        <v>0</v>
      </c>
      <c r="AA146" s="493">
        <f>SUM(AA143:AA145)</f>
        <v>0</v>
      </c>
      <c r="AB146" s="493">
        <f>SUM(AB143:AB145)</f>
        <v>0</v>
      </c>
      <c r="AC146" s="493">
        <f>SUM(AC143:AC145)</f>
        <v>0</v>
      </c>
      <c r="AD146" s="1089" t="e">
        <f>SUM(H146:L146)/SUM(Y146:AC146)-1</f>
        <v>#DIV/0!</v>
      </c>
      <c r="AH146" s="297">
        <f t="shared" ref="AH146:AO146" si="55">SUM(AH143:AH145)</f>
        <v>0</v>
      </c>
      <c r="AI146" s="493">
        <f t="shared" si="55"/>
        <v>0</v>
      </c>
      <c r="AJ146" s="493">
        <f t="shared" si="55"/>
        <v>0</v>
      </c>
      <c r="AK146" s="493">
        <f t="shared" si="55"/>
        <v>0</v>
      </c>
      <c r="AL146" s="319">
        <f t="shared" si="55"/>
        <v>0</v>
      </c>
      <c r="AM146" s="297">
        <f t="shared" si="55"/>
        <v>0</v>
      </c>
      <c r="AN146" s="493">
        <f t="shared" si="55"/>
        <v>0</v>
      </c>
      <c r="AO146" s="319">
        <f t="shared" si="55"/>
        <v>0</v>
      </c>
    </row>
    <row r="147" spans="1:41">
      <c r="A147" s="299"/>
      <c r="B147" s="1442" t="s">
        <v>585</v>
      </c>
      <c r="C147" s="332"/>
      <c r="D147" s="324"/>
      <c r="E147" s="324"/>
      <c r="F147" s="324"/>
      <c r="G147" s="333"/>
      <c r="H147" s="332"/>
      <c r="I147" s="324"/>
      <c r="J147" s="324"/>
      <c r="K147" s="324"/>
      <c r="L147" s="324"/>
      <c r="M147" s="332"/>
      <c r="N147" s="324"/>
      <c r="O147" s="324"/>
      <c r="P147" s="324"/>
      <c r="Q147" s="333"/>
      <c r="R147" s="1268"/>
      <c r="S147" s="332"/>
      <c r="T147" s="324"/>
      <c r="U147" s="324"/>
      <c r="V147" s="324"/>
      <c r="W147" s="333"/>
      <c r="X147" s="324"/>
      <c r="Y147" s="332"/>
      <c r="Z147" s="324"/>
      <c r="AA147" s="324"/>
      <c r="AB147" s="324"/>
      <c r="AC147" s="324"/>
      <c r="AD147" s="333"/>
      <c r="AH147" s="332"/>
      <c r="AI147" s="324"/>
      <c r="AJ147" s="324"/>
      <c r="AK147" s="324"/>
      <c r="AL147" s="333"/>
      <c r="AM147" s="332"/>
      <c r="AN147" s="324"/>
      <c r="AO147" s="333"/>
    </row>
    <row r="148" spans="1:41">
      <c r="A148" s="299"/>
      <c r="B148" s="329" t="s">
        <v>59</v>
      </c>
      <c r="C148" s="294"/>
      <c r="D148" s="488"/>
      <c r="E148" s="488"/>
      <c r="F148" s="488"/>
      <c r="G148" s="317"/>
      <c r="H148" s="294"/>
      <c r="I148" s="488"/>
      <c r="J148" s="488"/>
      <c r="K148" s="488"/>
      <c r="L148" s="488"/>
      <c r="M148" s="294"/>
      <c r="N148" s="488"/>
      <c r="O148" s="488"/>
      <c r="P148" s="488"/>
      <c r="Q148" s="317"/>
      <c r="R148" s="1268"/>
      <c r="S148" s="294"/>
      <c r="T148" s="488"/>
      <c r="U148" s="488"/>
      <c r="V148" s="488"/>
      <c r="W148" s="317"/>
      <c r="X148" s="1085" t="e">
        <f>SUM(C148:G148)/SUM(S148:W148)-1</f>
        <v>#DIV/0!</v>
      </c>
      <c r="Y148" s="294"/>
      <c r="Z148" s="488"/>
      <c r="AA148" s="488"/>
      <c r="AB148" s="488"/>
      <c r="AC148" s="488"/>
      <c r="AD148" s="1089" t="e">
        <f>SUM(H148:L148)/SUM(Y148:AC148)-1</f>
        <v>#DIV/0!</v>
      </c>
      <c r="AH148" s="297"/>
      <c r="AI148" s="493"/>
      <c r="AJ148" s="493"/>
      <c r="AK148" s="493"/>
      <c r="AL148" s="319"/>
      <c r="AM148" s="297"/>
      <c r="AN148" s="493"/>
      <c r="AO148" s="319"/>
    </row>
    <row r="149" spans="1:41">
      <c r="A149" s="299"/>
      <c r="B149" s="329" t="s">
        <v>588</v>
      </c>
      <c r="C149" s="294"/>
      <c r="D149" s="488"/>
      <c r="E149" s="488"/>
      <c r="F149" s="488"/>
      <c r="G149" s="317"/>
      <c r="H149" s="294"/>
      <c r="I149" s="488"/>
      <c r="J149" s="488"/>
      <c r="K149" s="488"/>
      <c r="L149" s="488"/>
      <c r="M149" s="294"/>
      <c r="N149" s="488"/>
      <c r="O149" s="488"/>
      <c r="P149" s="488"/>
      <c r="Q149" s="317"/>
      <c r="R149" s="1268"/>
      <c r="S149" s="294"/>
      <c r="T149" s="488"/>
      <c r="U149" s="488"/>
      <c r="V149" s="488"/>
      <c r="W149" s="317"/>
      <c r="X149" s="1085" t="e">
        <f>SUM(C149:G149)/SUM(S149:W149)-1</f>
        <v>#DIV/0!</v>
      </c>
      <c r="Y149" s="294"/>
      <c r="Z149" s="488"/>
      <c r="AA149" s="488"/>
      <c r="AB149" s="488"/>
      <c r="AC149" s="488"/>
      <c r="AD149" s="1089" t="e">
        <f>SUM(H149:L149)/SUM(Y149:AC149)-1</f>
        <v>#DIV/0!</v>
      </c>
      <c r="AH149" s="297"/>
      <c r="AI149" s="493"/>
      <c r="AJ149" s="493"/>
      <c r="AK149" s="493"/>
      <c r="AL149" s="319"/>
      <c r="AM149" s="297"/>
      <c r="AN149" s="493"/>
      <c r="AO149" s="319"/>
    </row>
    <row r="150" spans="1:41">
      <c r="A150" s="299"/>
      <c r="B150" s="329" t="s">
        <v>63</v>
      </c>
      <c r="C150" s="294"/>
      <c r="D150" s="488"/>
      <c r="E150" s="488"/>
      <c r="F150" s="488"/>
      <c r="G150" s="317"/>
      <c r="H150" s="294"/>
      <c r="I150" s="488"/>
      <c r="J150" s="488"/>
      <c r="K150" s="488"/>
      <c r="L150" s="488"/>
      <c r="M150" s="294"/>
      <c r="N150" s="488"/>
      <c r="O150" s="488"/>
      <c r="P150" s="488"/>
      <c r="Q150" s="317"/>
      <c r="R150" s="1268"/>
      <c r="S150" s="294"/>
      <c r="T150" s="488"/>
      <c r="U150" s="488"/>
      <c r="V150" s="488"/>
      <c r="W150" s="317"/>
      <c r="X150" s="1085" t="e">
        <f>SUM(C150:G150)/SUM(S150:W150)-1</f>
        <v>#DIV/0!</v>
      </c>
      <c r="Y150" s="294"/>
      <c r="Z150" s="488"/>
      <c r="AA150" s="488"/>
      <c r="AB150" s="488"/>
      <c r="AC150" s="488"/>
      <c r="AD150" s="1089" t="e">
        <f>SUM(H150:L150)/SUM(Y150:AC150)-1</f>
        <v>#DIV/0!</v>
      </c>
      <c r="AH150" s="297"/>
      <c r="AI150" s="493"/>
      <c r="AJ150" s="493"/>
      <c r="AK150" s="493"/>
      <c r="AL150" s="319"/>
      <c r="AM150" s="297"/>
      <c r="AN150" s="493"/>
      <c r="AO150" s="319"/>
    </row>
    <row r="151" spans="1:41">
      <c r="A151" s="299"/>
      <c r="B151" s="1446" t="s">
        <v>586</v>
      </c>
      <c r="C151" s="297">
        <f t="shared" ref="C151:W151" si="56">SUM(C148:C150)</f>
        <v>0</v>
      </c>
      <c r="D151" s="493">
        <f t="shared" si="56"/>
        <v>0</v>
      </c>
      <c r="E151" s="493">
        <f t="shared" si="56"/>
        <v>0</v>
      </c>
      <c r="F151" s="493">
        <f t="shared" si="56"/>
        <v>0</v>
      </c>
      <c r="G151" s="319">
        <f t="shared" si="56"/>
        <v>0</v>
      </c>
      <c r="H151" s="297">
        <f t="shared" si="56"/>
        <v>0</v>
      </c>
      <c r="I151" s="493">
        <f t="shared" si="56"/>
        <v>0</v>
      </c>
      <c r="J151" s="493">
        <f t="shared" si="56"/>
        <v>0</v>
      </c>
      <c r="K151" s="493">
        <f t="shared" si="56"/>
        <v>0</v>
      </c>
      <c r="L151" s="493">
        <f t="shared" si="56"/>
        <v>0</v>
      </c>
      <c r="M151" s="297">
        <f t="shared" si="56"/>
        <v>0</v>
      </c>
      <c r="N151" s="493">
        <f t="shared" si="56"/>
        <v>0</v>
      </c>
      <c r="O151" s="493">
        <f t="shared" si="56"/>
        <v>0</v>
      </c>
      <c r="P151" s="493">
        <f t="shared" si="56"/>
        <v>0</v>
      </c>
      <c r="Q151" s="319">
        <f t="shared" si="56"/>
        <v>0</v>
      </c>
      <c r="R151" s="1268"/>
      <c r="S151" s="297">
        <f t="shared" si="56"/>
        <v>0</v>
      </c>
      <c r="T151" s="493">
        <f t="shared" si="56"/>
        <v>0</v>
      </c>
      <c r="U151" s="493">
        <f t="shared" si="56"/>
        <v>0</v>
      </c>
      <c r="V151" s="493">
        <f t="shared" si="56"/>
        <v>0</v>
      </c>
      <c r="W151" s="319">
        <f t="shared" si="56"/>
        <v>0</v>
      </c>
      <c r="X151" s="1085" t="e">
        <f>SUM(C151:G151)/SUM(S151:W151)-1</f>
        <v>#DIV/0!</v>
      </c>
      <c r="Y151" s="297">
        <f>SUM(Y148:Y150)</f>
        <v>0</v>
      </c>
      <c r="Z151" s="493">
        <f>SUM(Z148:Z150)</f>
        <v>0</v>
      </c>
      <c r="AA151" s="493">
        <f>SUM(AA148:AA150)</f>
        <v>0</v>
      </c>
      <c r="AB151" s="493">
        <f>SUM(AB148:AB150)</f>
        <v>0</v>
      </c>
      <c r="AC151" s="493">
        <f>SUM(AC148:AC150)</f>
        <v>0</v>
      </c>
      <c r="AD151" s="1089" t="e">
        <f>SUM(H151:L151)/SUM(Y151:AC151)-1</f>
        <v>#DIV/0!</v>
      </c>
      <c r="AH151" s="297">
        <f t="shared" ref="AH151:AO151" si="57">SUM(AH148:AH150)</f>
        <v>0</v>
      </c>
      <c r="AI151" s="493">
        <f t="shared" si="57"/>
        <v>0</v>
      </c>
      <c r="AJ151" s="493">
        <f t="shared" si="57"/>
        <v>0</v>
      </c>
      <c r="AK151" s="493">
        <f t="shared" si="57"/>
        <v>0</v>
      </c>
      <c r="AL151" s="319">
        <f t="shared" si="57"/>
        <v>0</v>
      </c>
      <c r="AM151" s="297">
        <f t="shared" si="57"/>
        <v>0</v>
      </c>
      <c r="AN151" s="493">
        <f t="shared" si="57"/>
        <v>0</v>
      </c>
      <c r="AO151" s="319">
        <f t="shared" si="57"/>
        <v>0</v>
      </c>
    </row>
    <row r="152" spans="1:41">
      <c r="A152" s="299"/>
      <c r="B152" s="1445" t="s">
        <v>590</v>
      </c>
      <c r="C152" s="332"/>
      <c r="D152" s="324"/>
      <c r="E152" s="324"/>
      <c r="F152" s="324"/>
      <c r="G152" s="333"/>
      <c r="H152" s="332"/>
      <c r="I152" s="324"/>
      <c r="J152" s="324"/>
      <c r="K152" s="324"/>
      <c r="L152" s="324"/>
      <c r="M152" s="332"/>
      <c r="N152" s="324"/>
      <c r="O152" s="324"/>
      <c r="P152" s="324"/>
      <c r="Q152" s="333"/>
      <c r="R152" s="1268"/>
      <c r="S152" s="332"/>
      <c r="T152" s="324"/>
      <c r="U152" s="324"/>
      <c r="V152" s="324"/>
      <c r="W152" s="333"/>
      <c r="X152" s="324"/>
      <c r="Y152" s="332"/>
      <c r="Z152" s="324"/>
      <c r="AA152" s="324"/>
      <c r="AB152" s="324"/>
      <c r="AC152" s="324"/>
      <c r="AD152" s="333"/>
      <c r="AH152" s="332"/>
      <c r="AI152" s="324"/>
      <c r="AJ152" s="324"/>
      <c r="AK152" s="324"/>
      <c r="AL152" s="333"/>
      <c r="AM152" s="332"/>
      <c r="AN152" s="324"/>
      <c r="AO152" s="333"/>
    </row>
    <row r="153" spans="1:41">
      <c r="A153" s="299"/>
      <c r="B153" s="1444" t="s">
        <v>59</v>
      </c>
      <c r="C153" s="294"/>
      <c r="D153" s="488"/>
      <c r="E153" s="488"/>
      <c r="F153" s="488"/>
      <c r="G153" s="317"/>
      <c r="H153" s="294"/>
      <c r="I153" s="488"/>
      <c r="J153" s="488"/>
      <c r="K153" s="488"/>
      <c r="L153" s="488"/>
      <c r="M153" s="294"/>
      <c r="N153" s="488"/>
      <c r="O153" s="488"/>
      <c r="P153" s="488"/>
      <c r="Q153" s="317"/>
      <c r="R153" s="1268"/>
      <c r="S153" s="294"/>
      <c r="T153" s="488"/>
      <c r="U153" s="488"/>
      <c r="V153" s="488"/>
      <c r="W153" s="317"/>
      <c r="X153" s="1085" t="e">
        <f>SUM(C153:G153)/SUM(S153:W153)-1</f>
        <v>#DIV/0!</v>
      </c>
      <c r="Y153" s="294"/>
      <c r="Z153" s="488"/>
      <c r="AA153" s="488"/>
      <c r="AB153" s="488"/>
      <c r="AC153" s="488"/>
      <c r="AD153" s="1089" t="e">
        <f>SUM(H153:L153)/SUM(Y153:AC153)-1</f>
        <v>#DIV/0!</v>
      </c>
      <c r="AH153" s="297"/>
      <c r="AI153" s="493"/>
      <c r="AJ153" s="493"/>
      <c r="AK153" s="493"/>
      <c r="AL153" s="319"/>
      <c r="AM153" s="297"/>
      <c r="AN153" s="493"/>
      <c r="AO153" s="319"/>
    </row>
    <row r="154" spans="1:41">
      <c r="A154" s="299"/>
      <c r="B154" s="1444" t="s">
        <v>588</v>
      </c>
      <c r="C154" s="294"/>
      <c r="D154" s="488"/>
      <c r="E154" s="488"/>
      <c r="F154" s="488"/>
      <c r="G154" s="317"/>
      <c r="H154" s="294"/>
      <c r="I154" s="488"/>
      <c r="J154" s="488"/>
      <c r="K154" s="488"/>
      <c r="L154" s="488"/>
      <c r="M154" s="294"/>
      <c r="N154" s="488"/>
      <c r="O154" s="488"/>
      <c r="P154" s="488"/>
      <c r="Q154" s="317"/>
      <c r="R154" s="1268"/>
      <c r="S154" s="294"/>
      <c r="T154" s="488"/>
      <c r="U154" s="488"/>
      <c r="V154" s="488"/>
      <c r="W154" s="317"/>
      <c r="X154" s="1085" t="e">
        <f>SUM(C154:G154)/SUM(S154:W154)-1</f>
        <v>#DIV/0!</v>
      </c>
      <c r="Y154" s="294"/>
      <c r="Z154" s="488"/>
      <c r="AA154" s="488"/>
      <c r="AB154" s="488"/>
      <c r="AC154" s="488"/>
      <c r="AD154" s="1089" t="e">
        <f>SUM(H154:L154)/SUM(Y154:AC154)-1</f>
        <v>#DIV/0!</v>
      </c>
      <c r="AH154" s="297"/>
      <c r="AI154" s="493"/>
      <c r="AJ154" s="493"/>
      <c r="AK154" s="493"/>
      <c r="AL154" s="319"/>
      <c r="AM154" s="297"/>
      <c r="AN154" s="493"/>
      <c r="AO154" s="319"/>
    </row>
    <row r="155" spans="1:41">
      <c r="A155" s="299"/>
      <c r="B155" s="1444" t="s">
        <v>63</v>
      </c>
      <c r="C155" s="294"/>
      <c r="D155" s="488"/>
      <c r="E155" s="488"/>
      <c r="F155" s="488"/>
      <c r="G155" s="317"/>
      <c r="H155" s="294"/>
      <c r="I155" s="488"/>
      <c r="J155" s="488"/>
      <c r="K155" s="488"/>
      <c r="L155" s="488"/>
      <c r="M155" s="294"/>
      <c r="N155" s="488"/>
      <c r="O155" s="488"/>
      <c r="P155" s="488"/>
      <c r="Q155" s="317"/>
      <c r="R155" s="1268"/>
      <c r="S155" s="294"/>
      <c r="T155" s="488"/>
      <c r="U155" s="488"/>
      <c r="V155" s="488"/>
      <c r="W155" s="317"/>
      <c r="X155" s="1085" t="e">
        <f>SUM(C155:G155)/SUM(S155:W155)-1</f>
        <v>#DIV/0!</v>
      </c>
      <c r="Y155" s="294"/>
      <c r="Z155" s="488"/>
      <c r="AA155" s="488"/>
      <c r="AB155" s="488"/>
      <c r="AC155" s="488"/>
      <c r="AD155" s="1089" t="e">
        <f>SUM(H155:L155)/SUM(Y155:AC155)-1</f>
        <v>#DIV/0!</v>
      </c>
      <c r="AH155" s="297"/>
      <c r="AI155" s="493"/>
      <c r="AJ155" s="493"/>
      <c r="AK155" s="493"/>
      <c r="AL155" s="319"/>
      <c r="AM155" s="297"/>
      <c r="AN155" s="493"/>
      <c r="AO155" s="319"/>
    </row>
    <row r="156" spans="1:41">
      <c r="A156" s="299"/>
      <c r="B156" s="1446" t="s">
        <v>591</v>
      </c>
      <c r="C156" s="297">
        <f t="shared" ref="C156:W156" si="58">SUM(C153:C155)</f>
        <v>0</v>
      </c>
      <c r="D156" s="493">
        <f t="shared" si="58"/>
        <v>0</v>
      </c>
      <c r="E156" s="493">
        <f t="shared" si="58"/>
        <v>0</v>
      </c>
      <c r="F156" s="493">
        <f t="shared" si="58"/>
        <v>0</v>
      </c>
      <c r="G156" s="319">
        <f t="shared" si="58"/>
        <v>0</v>
      </c>
      <c r="H156" s="297">
        <f t="shared" si="58"/>
        <v>0</v>
      </c>
      <c r="I156" s="493">
        <f t="shared" si="58"/>
        <v>0</v>
      </c>
      <c r="J156" s="493">
        <f t="shared" si="58"/>
        <v>0</v>
      </c>
      <c r="K156" s="493">
        <f t="shared" si="58"/>
        <v>0</v>
      </c>
      <c r="L156" s="493">
        <f t="shared" si="58"/>
        <v>0</v>
      </c>
      <c r="M156" s="297">
        <f t="shared" si="58"/>
        <v>0</v>
      </c>
      <c r="N156" s="493">
        <f t="shared" si="58"/>
        <v>0</v>
      </c>
      <c r="O156" s="493">
        <f t="shared" si="58"/>
        <v>0</v>
      </c>
      <c r="P156" s="493">
        <f t="shared" si="58"/>
        <v>0</v>
      </c>
      <c r="Q156" s="319">
        <f t="shared" si="58"/>
        <v>0</v>
      </c>
      <c r="R156" s="1268"/>
      <c r="S156" s="297">
        <f t="shared" si="58"/>
        <v>0</v>
      </c>
      <c r="T156" s="493">
        <f t="shared" si="58"/>
        <v>0</v>
      </c>
      <c r="U156" s="493">
        <f t="shared" si="58"/>
        <v>0</v>
      </c>
      <c r="V156" s="493">
        <f t="shared" si="58"/>
        <v>0</v>
      </c>
      <c r="W156" s="319">
        <f t="shared" si="58"/>
        <v>0</v>
      </c>
      <c r="X156" s="1085" t="e">
        <f>SUM(C156:G156)/SUM(S156:W156)-1</f>
        <v>#DIV/0!</v>
      </c>
      <c r="Y156" s="297">
        <f>SUM(Y153:Y155)</f>
        <v>0</v>
      </c>
      <c r="Z156" s="493">
        <f>SUM(Z153:Z155)</f>
        <v>0</v>
      </c>
      <c r="AA156" s="493">
        <f>SUM(AA153:AA155)</f>
        <v>0</v>
      </c>
      <c r="AB156" s="493">
        <f>SUM(AB153:AB155)</f>
        <v>0</v>
      </c>
      <c r="AC156" s="493">
        <f>SUM(AC153:AC155)</f>
        <v>0</v>
      </c>
      <c r="AD156" s="1089" t="e">
        <f>SUM(H156:L156)/SUM(Y156:AC156)-1</f>
        <v>#DIV/0!</v>
      </c>
      <c r="AH156" s="297">
        <f t="shared" ref="AH156:AO156" si="59">SUM(AH153:AH155)</f>
        <v>0</v>
      </c>
      <c r="AI156" s="493">
        <f t="shared" si="59"/>
        <v>0</v>
      </c>
      <c r="AJ156" s="493">
        <f t="shared" si="59"/>
        <v>0</v>
      </c>
      <c r="AK156" s="493">
        <f t="shared" si="59"/>
        <v>0</v>
      </c>
      <c r="AL156" s="319">
        <f t="shared" si="59"/>
        <v>0</v>
      </c>
      <c r="AM156" s="297">
        <f t="shared" si="59"/>
        <v>0</v>
      </c>
      <c r="AN156" s="493">
        <f t="shared" si="59"/>
        <v>0</v>
      </c>
      <c r="AO156" s="319">
        <f t="shared" si="59"/>
        <v>0</v>
      </c>
    </row>
    <row r="157" spans="1:41">
      <c r="A157" s="299"/>
      <c r="B157" s="1448" t="s">
        <v>592</v>
      </c>
      <c r="C157" s="332"/>
      <c r="D157" s="324"/>
      <c r="E157" s="324"/>
      <c r="F157" s="324"/>
      <c r="G157" s="333"/>
      <c r="H157" s="296"/>
      <c r="I157" s="324"/>
      <c r="J157" s="324"/>
      <c r="K157" s="324"/>
      <c r="L157" s="324"/>
      <c r="M157" s="3511">
        <v>591668.72588926414</v>
      </c>
      <c r="N157" s="3512">
        <v>591242.27448511799</v>
      </c>
      <c r="O157" s="3512">
        <v>592587.85411757487</v>
      </c>
      <c r="P157" s="3512">
        <v>594578.21750686027</v>
      </c>
      <c r="Q157" s="3513">
        <v>595467.87033266365</v>
      </c>
      <c r="R157" s="1268"/>
      <c r="S157" s="332"/>
      <c r="T157" s="324"/>
      <c r="U157" s="324"/>
      <c r="V157" s="324"/>
      <c r="W157" s="333"/>
      <c r="X157" s="324"/>
      <c r="Y157" s="332"/>
      <c r="Z157" s="324"/>
      <c r="AA157" s="324"/>
      <c r="AB157" s="324"/>
      <c r="AC157" s="324"/>
      <c r="AD157" s="333"/>
      <c r="AH157" s="332"/>
      <c r="AI157" s="324"/>
      <c r="AJ157" s="324"/>
      <c r="AK157" s="324"/>
      <c r="AL157" s="333"/>
      <c r="AM157" s="332"/>
      <c r="AN157" s="324"/>
      <c r="AO157" s="333"/>
    </row>
    <row r="158" spans="1:41">
      <c r="A158" s="299"/>
      <c r="B158" s="1449" t="s">
        <v>59</v>
      </c>
      <c r="C158" s="336">
        <f t="shared" ref="C158:W160" si="60">C148+C143+C153</f>
        <v>0</v>
      </c>
      <c r="D158" s="320">
        <f t="shared" si="60"/>
        <v>0</v>
      </c>
      <c r="E158" s="320">
        <f t="shared" si="60"/>
        <v>0</v>
      </c>
      <c r="F158" s="320">
        <f t="shared" si="60"/>
        <v>0</v>
      </c>
      <c r="G158" s="1051">
        <f t="shared" si="60"/>
        <v>0</v>
      </c>
      <c r="H158" s="336">
        <f t="shared" si="60"/>
        <v>0</v>
      </c>
      <c r="I158" s="320">
        <f t="shared" si="60"/>
        <v>0</v>
      </c>
      <c r="J158" s="320">
        <f t="shared" si="60"/>
        <v>0</v>
      </c>
      <c r="K158" s="320">
        <f t="shared" si="60"/>
        <v>0</v>
      </c>
      <c r="L158" s="320">
        <f t="shared" si="60"/>
        <v>0</v>
      </c>
      <c r="M158" s="297">
        <f t="shared" si="60"/>
        <v>0</v>
      </c>
      <c r="N158" s="493">
        <f t="shared" si="60"/>
        <v>0</v>
      </c>
      <c r="O158" s="493">
        <f t="shared" si="60"/>
        <v>0</v>
      </c>
      <c r="P158" s="493">
        <f t="shared" si="60"/>
        <v>0</v>
      </c>
      <c r="Q158" s="319">
        <f t="shared" si="60"/>
        <v>0</v>
      </c>
      <c r="R158" s="1268"/>
      <c r="S158" s="336">
        <f t="shared" si="60"/>
        <v>0</v>
      </c>
      <c r="T158" s="320">
        <f t="shared" si="60"/>
        <v>0</v>
      </c>
      <c r="U158" s="320">
        <f t="shared" si="60"/>
        <v>0</v>
      </c>
      <c r="V158" s="320">
        <f t="shared" si="60"/>
        <v>0</v>
      </c>
      <c r="W158" s="1051">
        <f t="shared" si="60"/>
        <v>0</v>
      </c>
      <c r="X158" s="321" t="e">
        <f t="shared" ref="X158:X164" si="61">SUM(C158:G158)/SUM(S158:W158)-1</f>
        <v>#DIV/0!</v>
      </c>
      <c r="Y158" s="336">
        <f t="shared" ref="Y158:AC160" si="62">Y148+Y143+Y153</f>
        <v>0</v>
      </c>
      <c r="Z158" s="320">
        <f t="shared" si="62"/>
        <v>0</v>
      </c>
      <c r="AA158" s="320">
        <f t="shared" si="62"/>
        <v>0</v>
      </c>
      <c r="AB158" s="320">
        <f t="shared" si="62"/>
        <v>0</v>
      </c>
      <c r="AC158" s="320">
        <f t="shared" si="62"/>
        <v>0</v>
      </c>
      <c r="AD158" s="338" t="e">
        <f t="shared" ref="AD158:AD164" si="63">SUM(H158:L158)/SUM(Y158:AC158)-1</f>
        <v>#DIV/0!</v>
      </c>
      <c r="AH158" s="336">
        <f t="shared" ref="AH158:AO158" si="64">AH148+AH143+AH153</f>
        <v>0</v>
      </c>
      <c r="AI158" s="320">
        <f t="shared" si="64"/>
        <v>0</v>
      </c>
      <c r="AJ158" s="320">
        <f t="shared" si="64"/>
        <v>0</v>
      </c>
      <c r="AK158" s="320">
        <f t="shared" si="64"/>
        <v>0</v>
      </c>
      <c r="AL158" s="1051">
        <f t="shared" si="64"/>
        <v>0</v>
      </c>
      <c r="AM158" s="336">
        <f t="shared" si="64"/>
        <v>0</v>
      </c>
      <c r="AN158" s="320">
        <f t="shared" si="64"/>
        <v>0</v>
      </c>
      <c r="AO158" s="1051">
        <f t="shared" si="64"/>
        <v>0</v>
      </c>
    </row>
    <row r="159" spans="1:41">
      <c r="A159" s="299"/>
      <c r="B159" s="1449" t="s">
        <v>588</v>
      </c>
      <c r="C159" s="336">
        <f t="shared" si="60"/>
        <v>0</v>
      </c>
      <c r="D159" s="320">
        <f t="shared" si="60"/>
        <v>0</v>
      </c>
      <c r="E159" s="320">
        <f t="shared" si="60"/>
        <v>0</v>
      </c>
      <c r="F159" s="320">
        <f t="shared" si="60"/>
        <v>0</v>
      </c>
      <c r="G159" s="1051">
        <f t="shared" si="60"/>
        <v>0</v>
      </c>
      <c r="H159" s="336">
        <f t="shared" si="60"/>
        <v>0</v>
      </c>
      <c r="I159" s="320">
        <f t="shared" si="60"/>
        <v>0</v>
      </c>
      <c r="J159" s="320">
        <f t="shared" si="60"/>
        <v>0</v>
      </c>
      <c r="K159" s="320">
        <f t="shared" si="60"/>
        <v>0</v>
      </c>
      <c r="L159" s="320">
        <f t="shared" si="60"/>
        <v>0</v>
      </c>
      <c r="M159" s="297">
        <f t="shared" si="60"/>
        <v>0</v>
      </c>
      <c r="N159" s="493">
        <f t="shared" si="60"/>
        <v>0</v>
      </c>
      <c r="O159" s="493">
        <f t="shared" si="60"/>
        <v>0</v>
      </c>
      <c r="P159" s="493">
        <f t="shared" si="60"/>
        <v>0</v>
      </c>
      <c r="Q159" s="319">
        <f t="shared" si="60"/>
        <v>0</v>
      </c>
      <c r="R159" s="1268"/>
      <c r="S159" s="336">
        <f t="shared" si="60"/>
        <v>0</v>
      </c>
      <c r="T159" s="320">
        <f t="shared" si="60"/>
        <v>0</v>
      </c>
      <c r="U159" s="320">
        <f t="shared" si="60"/>
        <v>0</v>
      </c>
      <c r="V159" s="320">
        <f t="shared" si="60"/>
        <v>0</v>
      </c>
      <c r="W159" s="1051">
        <f t="shared" si="60"/>
        <v>0</v>
      </c>
      <c r="X159" s="321" t="e">
        <f t="shared" si="61"/>
        <v>#DIV/0!</v>
      </c>
      <c r="Y159" s="336">
        <f t="shared" si="62"/>
        <v>0</v>
      </c>
      <c r="Z159" s="320">
        <f t="shared" si="62"/>
        <v>0</v>
      </c>
      <c r="AA159" s="320">
        <f t="shared" si="62"/>
        <v>0</v>
      </c>
      <c r="AB159" s="320">
        <f t="shared" si="62"/>
        <v>0</v>
      </c>
      <c r="AC159" s="320">
        <f t="shared" si="62"/>
        <v>0</v>
      </c>
      <c r="AD159" s="338" t="e">
        <f t="shared" si="63"/>
        <v>#DIV/0!</v>
      </c>
      <c r="AH159" s="336">
        <f t="shared" ref="AH159:AO159" si="65">AH149+AH144+AH154</f>
        <v>0</v>
      </c>
      <c r="AI159" s="320">
        <f t="shared" si="65"/>
        <v>0</v>
      </c>
      <c r="AJ159" s="320">
        <f t="shared" si="65"/>
        <v>0</v>
      </c>
      <c r="AK159" s="320">
        <f t="shared" si="65"/>
        <v>0</v>
      </c>
      <c r="AL159" s="1051">
        <f t="shared" si="65"/>
        <v>0</v>
      </c>
      <c r="AM159" s="336">
        <f t="shared" si="65"/>
        <v>0</v>
      </c>
      <c r="AN159" s="320">
        <f t="shared" si="65"/>
        <v>0</v>
      </c>
      <c r="AO159" s="1051">
        <f t="shared" si="65"/>
        <v>0</v>
      </c>
    </row>
    <row r="160" spans="1:41">
      <c r="A160" s="299"/>
      <c r="B160" s="1449" t="s">
        <v>63</v>
      </c>
      <c r="C160" s="336">
        <f t="shared" si="60"/>
        <v>0</v>
      </c>
      <c r="D160" s="320">
        <f t="shared" si="60"/>
        <v>0</v>
      </c>
      <c r="E160" s="320">
        <f t="shared" si="60"/>
        <v>0</v>
      </c>
      <c r="F160" s="320">
        <f t="shared" si="60"/>
        <v>0</v>
      </c>
      <c r="G160" s="1051">
        <f t="shared" si="60"/>
        <v>0</v>
      </c>
      <c r="H160" s="336">
        <f t="shared" si="60"/>
        <v>0</v>
      </c>
      <c r="I160" s="320">
        <f t="shared" si="60"/>
        <v>0</v>
      </c>
      <c r="J160" s="320">
        <f t="shared" si="60"/>
        <v>0</v>
      </c>
      <c r="K160" s="320">
        <f t="shared" si="60"/>
        <v>0</v>
      </c>
      <c r="L160" s="320">
        <f t="shared" si="60"/>
        <v>0</v>
      </c>
      <c r="M160" s="297">
        <f t="shared" si="60"/>
        <v>0</v>
      </c>
      <c r="N160" s="493">
        <f t="shared" si="60"/>
        <v>0</v>
      </c>
      <c r="O160" s="493">
        <f t="shared" si="60"/>
        <v>0</v>
      </c>
      <c r="P160" s="493">
        <f t="shared" si="60"/>
        <v>0</v>
      </c>
      <c r="Q160" s="319">
        <f t="shared" si="60"/>
        <v>0</v>
      </c>
      <c r="R160" s="1268"/>
      <c r="S160" s="336">
        <f t="shared" si="60"/>
        <v>0</v>
      </c>
      <c r="T160" s="320">
        <f t="shared" si="60"/>
        <v>0</v>
      </c>
      <c r="U160" s="320">
        <f t="shared" si="60"/>
        <v>0</v>
      </c>
      <c r="V160" s="320">
        <f t="shared" si="60"/>
        <v>0</v>
      </c>
      <c r="W160" s="1051">
        <f t="shared" si="60"/>
        <v>0</v>
      </c>
      <c r="X160" s="321" t="e">
        <f t="shared" si="61"/>
        <v>#DIV/0!</v>
      </c>
      <c r="Y160" s="336">
        <f t="shared" si="62"/>
        <v>0</v>
      </c>
      <c r="Z160" s="320">
        <f t="shared" si="62"/>
        <v>0</v>
      </c>
      <c r="AA160" s="320">
        <f t="shared" si="62"/>
        <v>0</v>
      </c>
      <c r="AB160" s="320">
        <f t="shared" si="62"/>
        <v>0</v>
      </c>
      <c r="AC160" s="320">
        <f t="shared" si="62"/>
        <v>0</v>
      </c>
      <c r="AD160" s="338" t="e">
        <f t="shared" si="63"/>
        <v>#DIV/0!</v>
      </c>
      <c r="AH160" s="336">
        <f t="shared" ref="AH160:AO160" si="66">AH150+AH145+AH155</f>
        <v>0</v>
      </c>
      <c r="AI160" s="320">
        <f t="shared" si="66"/>
        <v>0</v>
      </c>
      <c r="AJ160" s="320">
        <f t="shared" si="66"/>
        <v>0</v>
      </c>
      <c r="AK160" s="320">
        <f t="shared" si="66"/>
        <v>0</v>
      </c>
      <c r="AL160" s="1051">
        <f t="shared" si="66"/>
        <v>0</v>
      </c>
      <c r="AM160" s="336">
        <f t="shared" si="66"/>
        <v>0</v>
      </c>
      <c r="AN160" s="320">
        <f t="shared" si="66"/>
        <v>0</v>
      </c>
      <c r="AO160" s="1051">
        <f t="shared" si="66"/>
        <v>0</v>
      </c>
    </row>
    <row r="161" spans="1:41">
      <c r="A161" s="299"/>
      <c r="B161" s="1450" t="s">
        <v>592</v>
      </c>
      <c r="C161" s="345">
        <f>SUM(C158:C160)</f>
        <v>0</v>
      </c>
      <c r="D161" s="346">
        <f t="shared" ref="D161:V161" si="67">SUM(D158:D160)</f>
        <v>0</v>
      </c>
      <c r="E161" s="346">
        <f t="shared" si="67"/>
        <v>0</v>
      </c>
      <c r="F161" s="346">
        <f t="shared" si="67"/>
        <v>0</v>
      </c>
      <c r="G161" s="347">
        <f t="shared" si="67"/>
        <v>0</v>
      </c>
      <c r="H161" s="296"/>
      <c r="I161" s="346">
        <f t="shared" si="67"/>
        <v>0</v>
      </c>
      <c r="J161" s="346">
        <f t="shared" si="67"/>
        <v>0</v>
      </c>
      <c r="K161" s="346">
        <f t="shared" si="67"/>
        <v>0</v>
      </c>
      <c r="L161" s="346">
        <f t="shared" si="67"/>
        <v>0</v>
      </c>
      <c r="M161" s="296">
        <f>SUM(M157:M160)</f>
        <v>591668.72588926414</v>
      </c>
      <c r="N161" s="1055">
        <f>SUM(N157:N160)</f>
        <v>591242.27448511799</v>
      </c>
      <c r="O161" s="1055">
        <f>SUM(O157:O160)</f>
        <v>592587.85411757487</v>
      </c>
      <c r="P161" s="1055">
        <f>SUM(P157:P160)</f>
        <v>594578.21750686027</v>
      </c>
      <c r="Q161" s="1089">
        <f>SUM(Q157:Q160)</f>
        <v>595467.87033266365</v>
      </c>
      <c r="R161" s="1268"/>
      <c r="S161" s="345">
        <f t="shared" si="67"/>
        <v>0</v>
      </c>
      <c r="T161" s="346">
        <f t="shared" si="67"/>
        <v>0</v>
      </c>
      <c r="U161" s="346">
        <f t="shared" si="67"/>
        <v>0</v>
      </c>
      <c r="V161" s="346">
        <f t="shared" si="67"/>
        <v>0</v>
      </c>
      <c r="W161" s="347">
        <f>SUM(W158:W160)</f>
        <v>0</v>
      </c>
      <c r="X161" s="1086" t="e">
        <f t="shared" si="61"/>
        <v>#DIV/0!</v>
      </c>
      <c r="Y161" s="345">
        <f>SUM(Y158:Y160)</f>
        <v>0</v>
      </c>
      <c r="Z161" s="346">
        <f>SUM(Z158:Z160)</f>
        <v>0</v>
      </c>
      <c r="AA161" s="346">
        <f>SUM(AA158:AA160)</f>
        <v>0</v>
      </c>
      <c r="AB161" s="346">
        <f>SUM(AB158:AB160)</f>
        <v>0</v>
      </c>
      <c r="AC161" s="346">
        <f>SUM(AC158:AC160)</f>
        <v>0</v>
      </c>
      <c r="AD161" s="347" t="e">
        <f t="shared" si="63"/>
        <v>#DIV/0!</v>
      </c>
      <c r="AH161" s="345">
        <f>SUM(AH158:AH160)</f>
        <v>0</v>
      </c>
      <c r="AI161" s="346">
        <f t="shared" ref="AI161:AO161" si="68">SUM(AI158:AI160)</f>
        <v>0</v>
      </c>
      <c r="AJ161" s="346">
        <f t="shared" si="68"/>
        <v>0</v>
      </c>
      <c r="AK161" s="346">
        <f t="shared" si="68"/>
        <v>0</v>
      </c>
      <c r="AL161" s="347">
        <f t="shared" si="68"/>
        <v>0</v>
      </c>
      <c r="AM161" s="345">
        <f t="shared" si="68"/>
        <v>0</v>
      </c>
      <c r="AN161" s="346">
        <f t="shared" si="68"/>
        <v>0</v>
      </c>
      <c r="AO161" s="347">
        <f t="shared" si="68"/>
        <v>0</v>
      </c>
    </row>
    <row r="162" spans="1:41">
      <c r="A162" s="299"/>
      <c r="B162" s="1447" t="s">
        <v>593</v>
      </c>
      <c r="C162" s="339"/>
      <c r="D162" s="327"/>
      <c r="E162" s="327"/>
      <c r="F162" s="327"/>
      <c r="G162" s="1052"/>
      <c r="H162" s="339"/>
      <c r="I162" s="327"/>
      <c r="J162" s="327"/>
      <c r="K162" s="327"/>
      <c r="L162" s="327"/>
      <c r="M162" s="294">
        <f>M161*0.06</f>
        <v>35500.12355335585</v>
      </c>
      <c r="N162" s="488">
        <f>N161*0.06</f>
        <v>35474.536469107079</v>
      </c>
      <c r="O162" s="488">
        <f>O161*0.06</f>
        <v>35555.271247054494</v>
      </c>
      <c r="P162" s="488">
        <f>P161*0.06</f>
        <v>35674.693050411617</v>
      </c>
      <c r="Q162" s="317">
        <f>Q161*0.06</f>
        <v>35728.072219959817</v>
      </c>
      <c r="R162" s="1268"/>
      <c r="S162" s="339"/>
      <c r="T162" s="327"/>
      <c r="U162" s="327"/>
      <c r="V162" s="327"/>
      <c r="W162" s="1052"/>
      <c r="X162" s="321" t="e">
        <f t="shared" si="61"/>
        <v>#DIV/0!</v>
      </c>
      <c r="Y162" s="339"/>
      <c r="Z162" s="327"/>
      <c r="AA162" s="327"/>
      <c r="AB162" s="327"/>
      <c r="AC162" s="327"/>
      <c r="AD162" s="338" t="e">
        <f t="shared" si="63"/>
        <v>#DIV/0!</v>
      </c>
      <c r="AH162" s="1765"/>
      <c r="AI162" s="1766"/>
      <c r="AJ162" s="1766"/>
      <c r="AK162" s="1766"/>
      <c r="AL162" s="1767"/>
      <c r="AM162" s="1765"/>
      <c r="AN162" s="1766"/>
      <c r="AO162" s="1767"/>
    </row>
    <row r="163" spans="1:41">
      <c r="A163" s="299"/>
      <c r="B163" s="344" t="s">
        <v>159</v>
      </c>
      <c r="C163" s="339"/>
      <c r="D163" s="327"/>
      <c r="E163" s="327"/>
      <c r="F163" s="327"/>
      <c r="G163" s="1052"/>
      <c r="H163" s="339"/>
      <c r="I163" s="327"/>
      <c r="J163" s="327"/>
      <c r="K163" s="327"/>
      <c r="L163" s="327"/>
      <c r="M163" s="339"/>
      <c r="N163" s="327"/>
      <c r="O163" s="327"/>
      <c r="P163" s="327"/>
      <c r="Q163" s="1052"/>
      <c r="R163" s="1268"/>
      <c r="S163" s="339"/>
      <c r="T163" s="327"/>
      <c r="U163" s="327"/>
      <c r="V163" s="327"/>
      <c r="W163" s="1052"/>
      <c r="X163" s="321" t="e">
        <f t="shared" si="61"/>
        <v>#DIV/0!</v>
      </c>
      <c r="Y163" s="339"/>
      <c r="Z163" s="327"/>
      <c r="AA163" s="327"/>
      <c r="AB163" s="327"/>
      <c r="AC163" s="327"/>
      <c r="AD163" s="338" t="e">
        <f t="shared" si="63"/>
        <v>#DIV/0!</v>
      </c>
      <c r="AH163" s="1765"/>
      <c r="AI163" s="1766"/>
      <c r="AJ163" s="1766"/>
      <c r="AK163" s="1766"/>
      <c r="AL163" s="1767"/>
      <c r="AM163" s="1765"/>
      <c r="AN163" s="1766"/>
      <c r="AO163" s="1767"/>
    </row>
    <row r="164" spans="1:41">
      <c r="A164" s="299"/>
      <c r="B164" s="3106" t="str">
        <f>CONCATENATE("Tottal Gross expenditure on new ", B26, " connections")</f>
        <v>Tottal Gross expenditure on new New medium density / high rise connections</v>
      </c>
      <c r="C164" s="340">
        <f>SUM(C161,C162,C163)</f>
        <v>0</v>
      </c>
      <c r="D164" s="322">
        <f t="shared" ref="D164:Q164" si="69">SUM(D161,D162,D163)</f>
        <v>0</v>
      </c>
      <c r="E164" s="322">
        <f t="shared" si="69"/>
        <v>0</v>
      </c>
      <c r="F164" s="322">
        <f t="shared" si="69"/>
        <v>0</v>
      </c>
      <c r="G164" s="341">
        <f t="shared" si="69"/>
        <v>0</v>
      </c>
      <c r="H164" s="340">
        <f t="shared" si="69"/>
        <v>0</v>
      </c>
      <c r="I164" s="322">
        <f t="shared" si="69"/>
        <v>0</v>
      </c>
      <c r="J164" s="322">
        <f t="shared" si="69"/>
        <v>0</v>
      </c>
      <c r="K164" s="322">
        <f t="shared" si="69"/>
        <v>0</v>
      </c>
      <c r="L164" s="322">
        <f t="shared" si="69"/>
        <v>0</v>
      </c>
      <c r="M164" s="340">
        <f>SUM(M161,M162,M163)</f>
        <v>627168.84944261995</v>
      </c>
      <c r="N164" s="322">
        <f t="shared" si="69"/>
        <v>626716.81095422502</v>
      </c>
      <c r="O164" s="322">
        <f t="shared" si="69"/>
        <v>628143.12536462932</v>
      </c>
      <c r="P164" s="322">
        <f t="shared" si="69"/>
        <v>630252.91055727191</v>
      </c>
      <c r="Q164" s="341">
        <f t="shared" si="69"/>
        <v>631195.94255262346</v>
      </c>
      <c r="R164" s="1268"/>
      <c r="S164" s="340">
        <f>SUM(S161,S162,S163)</f>
        <v>0</v>
      </c>
      <c r="T164" s="322">
        <f>SUM(T161,T162,T163)</f>
        <v>0</v>
      </c>
      <c r="U164" s="322">
        <f>SUM(U161,U162,U163)</f>
        <v>0</v>
      </c>
      <c r="V164" s="322">
        <f>SUM(V161,V162,V163)</f>
        <v>0</v>
      </c>
      <c r="W164" s="341">
        <f>SUM(W161,W162,W163)</f>
        <v>0</v>
      </c>
      <c r="X164" s="1087" t="e">
        <f t="shared" si="61"/>
        <v>#DIV/0!</v>
      </c>
      <c r="Y164" s="340">
        <f>SUM(Y161,Y162,Y163)</f>
        <v>0</v>
      </c>
      <c r="Z164" s="322">
        <f>SUM(Z161,Z162,Z163)</f>
        <v>0</v>
      </c>
      <c r="AA164" s="322">
        <f>SUM(AA161,AA162,AA163)</f>
        <v>0</v>
      </c>
      <c r="AB164" s="322">
        <f>SUM(AB161,AB162,AB163)</f>
        <v>0</v>
      </c>
      <c r="AC164" s="322">
        <f>SUM(AC161,AC162,AC163)</f>
        <v>0</v>
      </c>
      <c r="AD164" s="1090" t="e">
        <f t="shared" si="63"/>
        <v>#DIV/0!</v>
      </c>
      <c r="AH164" s="340">
        <f>SUM(AH161,AH162,AH163)</f>
        <v>0</v>
      </c>
      <c r="AI164" s="322">
        <f t="shared" ref="AI164:AO164" si="70">SUM(AI161,AI162,AI163)</f>
        <v>0</v>
      </c>
      <c r="AJ164" s="322">
        <f t="shared" si="70"/>
        <v>0</v>
      </c>
      <c r="AK164" s="322">
        <f t="shared" si="70"/>
        <v>0</v>
      </c>
      <c r="AL164" s="341">
        <f t="shared" si="70"/>
        <v>0</v>
      </c>
      <c r="AM164" s="340">
        <f t="shared" si="70"/>
        <v>0</v>
      </c>
      <c r="AN164" s="322">
        <f t="shared" si="70"/>
        <v>0</v>
      </c>
      <c r="AO164" s="341">
        <f t="shared" si="70"/>
        <v>0</v>
      </c>
    </row>
    <row r="165" spans="1:41">
      <c r="A165" s="299"/>
      <c r="B165" s="1966" t="s">
        <v>35</v>
      </c>
      <c r="C165" s="342"/>
      <c r="D165" s="323"/>
      <c r="E165" s="323"/>
      <c r="F165" s="323"/>
      <c r="G165" s="343"/>
      <c r="H165" s="342"/>
      <c r="I165" s="323"/>
      <c r="J165" s="323"/>
      <c r="K165" s="323"/>
      <c r="L165" s="323"/>
      <c r="M165" s="342"/>
      <c r="N165" s="323"/>
      <c r="O165" s="323"/>
      <c r="P165" s="323"/>
      <c r="Q165" s="343"/>
      <c r="R165" s="1268"/>
      <c r="S165" s="342"/>
      <c r="T165" s="323"/>
      <c r="U165" s="323"/>
      <c r="V165" s="323"/>
      <c r="W165" s="343"/>
      <c r="X165" s="1088"/>
      <c r="Y165" s="342"/>
      <c r="Z165" s="323"/>
      <c r="AA165" s="323"/>
      <c r="AB165" s="323"/>
      <c r="AC165" s="323"/>
      <c r="AD165" s="1091"/>
      <c r="AH165" s="336"/>
      <c r="AI165" s="320"/>
      <c r="AJ165" s="320"/>
      <c r="AK165" s="320"/>
      <c r="AL165" s="1051"/>
      <c r="AM165" s="336"/>
      <c r="AN165" s="320"/>
      <c r="AO165" s="1051"/>
    </row>
    <row r="166" spans="1:41" ht="13.5" thickBot="1">
      <c r="A166" s="299"/>
      <c r="B166" s="1441" t="str">
        <f>CONCATENATE("Total Net expenditure on new ", B26, " connections")</f>
        <v>Total Net expenditure on new New medium density / high rise connections</v>
      </c>
      <c r="C166" s="1757">
        <f>C164-C165</f>
        <v>0</v>
      </c>
      <c r="D166" s="1053">
        <f t="shared" ref="D166:V166" si="71">D164-D165</f>
        <v>0</v>
      </c>
      <c r="E166" s="1053">
        <f t="shared" si="71"/>
        <v>0</v>
      </c>
      <c r="F166" s="1053">
        <f t="shared" si="71"/>
        <v>0</v>
      </c>
      <c r="G166" s="1054">
        <f t="shared" si="71"/>
        <v>0</v>
      </c>
      <c r="H166" s="1757">
        <f t="shared" si="71"/>
        <v>0</v>
      </c>
      <c r="I166" s="1053">
        <f t="shared" si="71"/>
        <v>0</v>
      </c>
      <c r="J166" s="1053">
        <f t="shared" si="71"/>
        <v>0</v>
      </c>
      <c r="K166" s="1053">
        <f t="shared" si="71"/>
        <v>0</v>
      </c>
      <c r="L166" s="1053">
        <f t="shared" si="71"/>
        <v>0</v>
      </c>
      <c r="M166" s="1757">
        <f>M164-M165</f>
        <v>627168.84944261995</v>
      </c>
      <c r="N166" s="1053">
        <f t="shared" si="71"/>
        <v>626716.81095422502</v>
      </c>
      <c r="O166" s="1053">
        <f t="shared" si="71"/>
        <v>628143.12536462932</v>
      </c>
      <c r="P166" s="1053">
        <f t="shared" si="71"/>
        <v>630252.91055727191</v>
      </c>
      <c r="Q166" s="1054">
        <f t="shared" si="71"/>
        <v>631195.94255262346</v>
      </c>
      <c r="R166" s="1268"/>
      <c r="S166" s="1757">
        <f t="shared" si="71"/>
        <v>0</v>
      </c>
      <c r="T166" s="1053">
        <f t="shared" si="71"/>
        <v>0</v>
      </c>
      <c r="U166" s="1053">
        <f t="shared" si="71"/>
        <v>0</v>
      </c>
      <c r="V166" s="1053">
        <f t="shared" si="71"/>
        <v>0</v>
      </c>
      <c r="W166" s="1054">
        <f>W164-W165</f>
        <v>0</v>
      </c>
      <c r="X166" s="1087" t="e">
        <f>SUM(C166:G166)/SUM(S166:W166)-1</f>
        <v>#DIV/0!</v>
      </c>
      <c r="Y166" s="1757">
        <f>Y164-Y165</f>
        <v>0</v>
      </c>
      <c r="Z166" s="1053">
        <f>Z164-Z165</f>
        <v>0</v>
      </c>
      <c r="AA166" s="1053">
        <f>AA164-AA165</f>
        <v>0</v>
      </c>
      <c r="AB166" s="1053">
        <f>AB164-AB165</f>
        <v>0</v>
      </c>
      <c r="AC166" s="1053">
        <f>AC164-AC165</f>
        <v>0</v>
      </c>
      <c r="AD166" s="1090" t="e">
        <f>SUM(H166:L166)/SUM(Y166:AC166)-1</f>
        <v>#DIV/0!</v>
      </c>
      <c r="AH166" s="1757">
        <f>AH164-AH165</f>
        <v>0</v>
      </c>
      <c r="AI166" s="1053">
        <f t="shared" ref="AI166:AO166" si="72">AI164-AI165</f>
        <v>0</v>
      </c>
      <c r="AJ166" s="1053">
        <f t="shared" si="72"/>
        <v>0</v>
      </c>
      <c r="AK166" s="1053">
        <f t="shared" si="72"/>
        <v>0</v>
      </c>
      <c r="AL166" s="1054">
        <f t="shared" si="72"/>
        <v>0</v>
      </c>
      <c r="AM166" s="1757">
        <f t="shared" si="72"/>
        <v>0</v>
      </c>
      <c r="AN166" s="1053">
        <f t="shared" si="72"/>
        <v>0</v>
      </c>
      <c r="AO166" s="1054">
        <f t="shared" si="72"/>
        <v>0</v>
      </c>
    </row>
    <row r="167" spans="1:41" s="170" customFormat="1" ht="31.5" customHeight="1" thickBot="1">
      <c r="A167" s="775"/>
      <c r="B167" s="1472" t="s">
        <v>127</v>
      </c>
      <c r="C167" s="300"/>
      <c r="D167" s="1099"/>
      <c r="E167" s="1099"/>
      <c r="F167" s="1099"/>
      <c r="G167" s="1099"/>
      <c r="H167" s="1099"/>
      <c r="I167" s="1099"/>
      <c r="J167" s="1099"/>
      <c r="K167" s="1099"/>
      <c r="L167" s="1099"/>
      <c r="M167" s="1099"/>
      <c r="N167" s="1099"/>
      <c r="O167" s="1099"/>
      <c r="P167" s="1099"/>
      <c r="Q167" s="1100"/>
      <c r="R167" s="1268"/>
      <c r="S167" s="300"/>
      <c r="T167" s="1099"/>
      <c r="U167" s="1099"/>
      <c r="V167" s="1099"/>
      <c r="W167" s="1099"/>
      <c r="X167" s="1099"/>
      <c r="Y167" s="1099"/>
      <c r="Z167" s="1099"/>
      <c r="AA167" s="1099"/>
      <c r="AB167" s="1099"/>
      <c r="AC167" s="1099"/>
      <c r="AD167" s="1100"/>
      <c r="AE167"/>
      <c r="AH167" s="1762"/>
      <c r="AI167" s="1763"/>
      <c r="AJ167" s="1763"/>
      <c r="AK167" s="1763"/>
      <c r="AL167" s="1763"/>
      <c r="AM167" s="1763"/>
      <c r="AN167" s="1763"/>
      <c r="AO167" s="1764"/>
    </row>
    <row r="168" spans="1:41" ht="13.5" thickBot="1">
      <c r="A168" s="1268"/>
      <c r="B168" s="1268"/>
      <c r="C168" s="1268"/>
      <c r="D168" s="1268"/>
      <c r="E168" s="1268"/>
      <c r="F168" s="1268"/>
      <c r="G168" s="1268"/>
      <c r="H168" s="1268"/>
      <c r="I168" s="1268"/>
      <c r="J168" s="1268"/>
      <c r="K168" s="1268"/>
      <c r="L168" s="1268"/>
      <c r="M168" s="1268"/>
      <c r="N168" s="1268"/>
      <c r="O168" s="1268"/>
      <c r="P168" s="1268"/>
      <c r="Q168" s="1268"/>
      <c r="R168" s="1268"/>
      <c r="S168" s="1268"/>
      <c r="T168" s="1268"/>
      <c r="U168" s="1268"/>
      <c r="V168" s="1268"/>
      <c r="W168" s="1268"/>
      <c r="X168" s="1268"/>
      <c r="Y168" s="1268"/>
      <c r="Z168" s="1268"/>
      <c r="AA168" s="1268"/>
      <c r="AB168" s="1268"/>
      <c r="AC168" s="1268"/>
      <c r="AD168" s="1268"/>
      <c r="AH168" s="1268"/>
      <c r="AI168" s="1268"/>
      <c r="AJ168" s="1268"/>
      <c r="AK168" s="1268"/>
      <c r="AL168" s="1268"/>
      <c r="AM168" s="1268"/>
      <c r="AN168" s="1268"/>
      <c r="AO168" s="1268"/>
    </row>
    <row r="169" spans="1:41" ht="16.5" thickBot="1">
      <c r="A169" s="866"/>
      <c r="B169" s="292" t="s">
        <v>449</v>
      </c>
      <c r="C169" s="306"/>
      <c r="D169" s="306"/>
      <c r="E169" s="306"/>
      <c r="F169" s="306"/>
      <c r="G169" s="306"/>
      <c r="H169" s="306"/>
      <c r="I169" s="306"/>
      <c r="J169" s="306"/>
      <c r="K169" s="306"/>
      <c r="L169" s="306"/>
      <c r="M169" s="306"/>
      <c r="N169" s="306"/>
      <c r="O169" s="306"/>
      <c r="P169" s="306"/>
      <c r="Q169" s="307"/>
      <c r="R169" s="1268"/>
      <c r="S169" s="292"/>
      <c r="T169" s="306"/>
      <c r="U169" s="306"/>
      <c r="V169" s="306"/>
      <c r="W169" s="306"/>
      <c r="X169" s="306"/>
      <c r="Y169" s="306"/>
      <c r="Z169" s="306"/>
      <c r="AA169" s="306"/>
      <c r="AB169" s="306"/>
      <c r="AC169" s="306"/>
      <c r="AD169" s="307"/>
      <c r="AH169" s="292"/>
      <c r="AI169" s="306"/>
      <c r="AJ169" s="306"/>
      <c r="AK169" s="306"/>
      <c r="AL169" s="306"/>
      <c r="AM169" s="306"/>
      <c r="AN169" s="306"/>
      <c r="AO169" s="307"/>
    </row>
    <row r="170" spans="1:41">
      <c r="A170" s="299"/>
      <c r="B170" s="328" t="s">
        <v>122</v>
      </c>
      <c r="C170" s="1756">
        <f t="shared" ref="C170:Q170" si="73">C27</f>
        <v>263</v>
      </c>
      <c r="D170" s="330">
        <f t="shared" si="73"/>
        <v>169</v>
      </c>
      <c r="E170" s="330">
        <f t="shared" si="73"/>
        <v>153</v>
      </c>
      <c r="F170" s="330">
        <f t="shared" si="73"/>
        <v>120</v>
      </c>
      <c r="G170" s="1049">
        <f t="shared" si="73"/>
        <v>195.87502631850799</v>
      </c>
      <c r="H170" s="1756">
        <f t="shared" si="73"/>
        <v>406</v>
      </c>
      <c r="I170" s="330">
        <f t="shared" si="73"/>
        <v>439</v>
      </c>
      <c r="J170" s="330">
        <f t="shared" si="73"/>
        <v>455</v>
      </c>
      <c r="K170" s="330">
        <f t="shared" si="73"/>
        <v>645</v>
      </c>
      <c r="L170" s="1049">
        <f t="shared" si="73"/>
        <v>414</v>
      </c>
      <c r="M170" s="1756">
        <f t="shared" si="73"/>
        <v>420</v>
      </c>
      <c r="N170" s="330">
        <f t="shared" si="73"/>
        <v>418</v>
      </c>
      <c r="O170" s="330">
        <f t="shared" si="73"/>
        <v>431</v>
      </c>
      <c r="P170" s="330">
        <f t="shared" si="73"/>
        <v>443</v>
      </c>
      <c r="Q170" s="1049">
        <f t="shared" si="73"/>
        <v>436</v>
      </c>
      <c r="R170" s="1268"/>
      <c r="S170" s="1756">
        <f t="shared" ref="S170:AC170" si="74">S27</f>
        <v>0</v>
      </c>
      <c r="T170" s="330">
        <f t="shared" si="74"/>
        <v>0</v>
      </c>
      <c r="U170" s="330">
        <f t="shared" si="74"/>
        <v>0</v>
      </c>
      <c r="V170" s="330">
        <f t="shared" si="74"/>
        <v>0</v>
      </c>
      <c r="W170" s="1049">
        <f t="shared" si="74"/>
        <v>0</v>
      </c>
      <c r="X170" s="1084" t="e">
        <f t="shared" si="74"/>
        <v>#DIV/0!</v>
      </c>
      <c r="Y170" s="1756">
        <f t="shared" si="74"/>
        <v>0</v>
      </c>
      <c r="Z170" s="330">
        <f t="shared" si="74"/>
        <v>0</v>
      </c>
      <c r="AA170" s="330">
        <f t="shared" si="74"/>
        <v>0</v>
      </c>
      <c r="AB170" s="330">
        <f t="shared" si="74"/>
        <v>0</v>
      </c>
      <c r="AC170" s="330">
        <f t="shared" si="74"/>
        <v>0</v>
      </c>
      <c r="AD170" s="331" t="e">
        <f>SUM(H170:L170)/SUM(Y170:AC170)-1</f>
        <v>#DIV/0!</v>
      </c>
      <c r="AH170" s="1756">
        <f t="shared" ref="AH170:AO170" si="75">AH27</f>
        <v>0</v>
      </c>
      <c r="AI170" s="330">
        <f t="shared" si="75"/>
        <v>0</v>
      </c>
      <c r="AJ170" s="330">
        <f t="shared" si="75"/>
        <v>0</v>
      </c>
      <c r="AK170" s="330">
        <f t="shared" si="75"/>
        <v>0</v>
      </c>
      <c r="AL170" s="1049">
        <f t="shared" si="75"/>
        <v>0</v>
      </c>
      <c r="AM170" s="1756">
        <f t="shared" si="75"/>
        <v>0</v>
      </c>
      <c r="AN170" s="330">
        <f t="shared" si="75"/>
        <v>0</v>
      </c>
      <c r="AO170" s="1049">
        <f t="shared" si="75"/>
        <v>0</v>
      </c>
    </row>
    <row r="171" spans="1:41">
      <c r="A171" s="299"/>
      <c r="B171" s="1443" t="s">
        <v>584</v>
      </c>
      <c r="C171" s="332"/>
      <c r="D171" s="324"/>
      <c r="E171" s="324"/>
      <c r="F171" s="324"/>
      <c r="G171" s="324"/>
      <c r="H171" s="332"/>
      <c r="I171" s="324"/>
      <c r="J171" s="324"/>
      <c r="K171" s="324"/>
      <c r="L171" s="324"/>
      <c r="M171" s="332"/>
      <c r="N171" s="324"/>
      <c r="O171" s="324"/>
      <c r="P171" s="324"/>
      <c r="Q171" s="333"/>
      <c r="R171" s="1268"/>
      <c r="S171" s="332"/>
      <c r="T171" s="324"/>
      <c r="U171" s="324"/>
      <c r="V171" s="324"/>
      <c r="W171" s="333"/>
      <c r="X171" s="324"/>
      <c r="Y171" s="332"/>
      <c r="Z171" s="324"/>
      <c r="AA171" s="324"/>
      <c r="AB171" s="324"/>
      <c r="AC171" s="324"/>
      <c r="AD171" s="333"/>
      <c r="AH171" s="332"/>
      <c r="AI171" s="324"/>
      <c r="AJ171" s="324"/>
      <c r="AK171" s="324"/>
      <c r="AL171" s="333"/>
      <c r="AM171" s="332"/>
      <c r="AN171" s="324"/>
      <c r="AO171" s="333"/>
    </row>
    <row r="172" spans="1:41">
      <c r="A172" s="299"/>
      <c r="B172" s="1444" t="s">
        <v>59</v>
      </c>
      <c r="C172" s="294"/>
      <c r="D172" s="488"/>
      <c r="E172" s="488"/>
      <c r="F172" s="488"/>
      <c r="G172" s="488"/>
      <c r="H172" s="294">
        <v>113709.68198376354</v>
      </c>
      <c r="I172" s="488">
        <v>245888.39</v>
      </c>
      <c r="J172" s="488">
        <v>1143493.7</v>
      </c>
      <c r="K172" s="488">
        <f>'[4]4. Connections market expansion'!K172/'[4]4. Connections market expansion'!$K$175*'[5]2.2 Connections'!$C$41</f>
        <v>657324.4133703541</v>
      </c>
      <c r="L172" s="488">
        <f>K172/$K$175*'[6]Detailed Capex Inputs'!$N$22*1000000-L201</f>
        <v>700627.78022879444</v>
      </c>
      <c r="M172" s="294">
        <v>860092.75349363044</v>
      </c>
      <c r="N172" s="488">
        <v>856164.69009132369</v>
      </c>
      <c r="O172" s="488">
        <v>884233.35473356466</v>
      </c>
      <c r="P172" s="488">
        <v>912624.45757678582</v>
      </c>
      <c r="Q172" s="317">
        <v>898738.78103137098</v>
      </c>
      <c r="R172" s="1268"/>
      <c r="S172" s="294"/>
      <c r="T172" s="488"/>
      <c r="U172" s="488"/>
      <c r="V172" s="488"/>
      <c r="W172" s="317"/>
      <c r="X172" s="1085" t="e">
        <f>SUM(C172:G172)/SUM(S172:W172)-1</f>
        <v>#DIV/0!</v>
      </c>
      <c r="Y172" s="294"/>
      <c r="Z172" s="488"/>
      <c r="AA172" s="488"/>
      <c r="AB172" s="488"/>
      <c r="AC172" s="488"/>
      <c r="AD172" s="1089" t="e">
        <f>SUM(H172:L172)/SUM(Y172:AC172)-1</f>
        <v>#DIV/0!</v>
      </c>
      <c r="AH172" s="297"/>
      <c r="AI172" s="493"/>
      <c r="AJ172" s="493"/>
      <c r="AK172" s="493"/>
      <c r="AL172" s="319"/>
      <c r="AM172" s="297"/>
      <c r="AN172" s="493"/>
      <c r="AO172" s="319"/>
    </row>
    <row r="173" spans="1:41">
      <c r="A173" s="299"/>
      <c r="B173" s="1444" t="s">
        <v>62</v>
      </c>
      <c r="C173" s="294"/>
      <c r="D173" s="488"/>
      <c r="E173" s="488"/>
      <c r="F173" s="488"/>
      <c r="G173" s="488"/>
      <c r="H173" s="294">
        <v>890855.0603712193</v>
      </c>
      <c r="I173" s="488">
        <v>1155976.6100000001</v>
      </c>
      <c r="J173" s="488">
        <v>1315582</v>
      </c>
      <c r="K173" s="488">
        <f>'[4]4. Connections market expansion'!K173/'[4]4. Connections market expansion'!$K$175*'[5]2.2 Connections'!$C$41</f>
        <v>986970.77731546876</v>
      </c>
      <c r="L173" s="488">
        <f>K173/$K$175*'[6]Detailed Capex Inputs'!$N$22*1000000-L202</f>
        <v>1052057.3814327554</v>
      </c>
      <c r="M173" s="294">
        <v>1291426.8756981767</v>
      </c>
      <c r="N173" s="488">
        <v>1285528.8994315704</v>
      </c>
      <c r="O173" s="488">
        <v>1327673.9212756795</v>
      </c>
      <c r="P173" s="488">
        <v>1370303.0831812022</v>
      </c>
      <c r="Q173" s="317">
        <v>1349453.7784926549</v>
      </c>
      <c r="R173" s="1268"/>
      <c r="S173" s="294"/>
      <c r="T173" s="488"/>
      <c r="U173" s="488"/>
      <c r="V173" s="488"/>
      <c r="W173" s="317"/>
      <c r="X173" s="1085" t="e">
        <f>SUM(C173:G173)/SUM(S173:W173)-1</f>
        <v>#DIV/0!</v>
      </c>
      <c r="Y173" s="294"/>
      <c r="Z173" s="488"/>
      <c r="AA173" s="488"/>
      <c r="AB173" s="488"/>
      <c r="AC173" s="488"/>
      <c r="AD173" s="1089" t="e">
        <f>SUM(H173:L173)/SUM(Y173:AC173)-1</f>
        <v>#DIV/0!</v>
      </c>
      <c r="AH173" s="297"/>
      <c r="AI173" s="493"/>
      <c r="AJ173" s="493"/>
      <c r="AK173" s="493"/>
      <c r="AL173" s="319"/>
      <c r="AM173" s="297"/>
      <c r="AN173" s="493"/>
      <c r="AO173" s="319"/>
    </row>
    <row r="174" spans="1:41">
      <c r="A174" s="299"/>
      <c r="B174" s="1444" t="s">
        <v>63</v>
      </c>
      <c r="C174" s="294"/>
      <c r="D174" s="488"/>
      <c r="E174" s="488"/>
      <c r="F174" s="488"/>
      <c r="G174" s="488"/>
      <c r="H174" s="294">
        <v>895514.65508768207</v>
      </c>
      <c r="I174" s="488">
        <f>1237093.20191011-I203</f>
        <v>1237093.20191011</v>
      </c>
      <c r="J174" s="488">
        <f>1592929.44675556-J203</f>
        <v>1592929.4467555601</v>
      </c>
      <c r="K174" s="488">
        <f>'[4]4. Connections market expansion'!K174/'[4]4. Connections market expansion'!$K$175*'[5]2.2 Connections'!$C$41</f>
        <v>1011959.2322007749</v>
      </c>
      <c r="L174" s="488">
        <f>K174/$K$175*'[6]Detailed Capex Inputs'!$N$22*1000000-L203</f>
        <v>1074877.7727217835</v>
      </c>
      <c r="M174" s="294">
        <v>1324123.6514921167</v>
      </c>
      <c r="N174" s="488">
        <v>1318076.3482978647</v>
      </c>
      <c r="O174" s="488">
        <v>1361288.4118429013</v>
      </c>
      <c r="P174" s="488">
        <v>1404996.8730686849</v>
      </c>
      <c r="Q174" s="317">
        <v>1383619.6987394404</v>
      </c>
      <c r="R174" s="1268"/>
      <c r="S174" s="294"/>
      <c r="T174" s="488"/>
      <c r="U174" s="488"/>
      <c r="V174" s="488"/>
      <c r="W174" s="317"/>
      <c r="X174" s="1085" t="e">
        <f>SUM(C174:G174)/SUM(S174:W174)-1</f>
        <v>#DIV/0!</v>
      </c>
      <c r="Y174" s="294"/>
      <c r="Z174" s="488"/>
      <c r="AA174" s="488"/>
      <c r="AB174" s="488"/>
      <c r="AC174" s="488"/>
      <c r="AD174" s="1089" t="e">
        <f>SUM(H174:L174)/SUM(Y174:AC174)-1</f>
        <v>#DIV/0!</v>
      </c>
      <c r="AH174" s="297"/>
      <c r="AI174" s="493"/>
      <c r="AJ174" s="493"/>
      <c r="AK174" s="493"/>
      <c r="AL174" s="319"/>
      <c r="AM174" s="297"/>
      <c r="AN174" s="493"/>
      <c r="AO174" s="319"/>
    </row>
    <row r="175" spans="1:41">
      <c r="A175" s="299"/>
      <c r="B175" s="1446" t="s">
        <v>589</v>
      </c>
      <c r="C175" s="297">
        <f t="shared" ref="C175:W175" si="76">SUM(C172:C174)</f>
        <v>0</v>
      </c>
      <c r="D175" s="493">
        <f t="shared" si="76"/>
        <v>0</v>
      </c>
      <c r="E175" s="493">
        <f t="shared" si="76"/>
        <v>0</v>
      </c>
      <c r="F175" s="493">
        <f t="shared" si="76"/>
        <v>0</v>
      </c>
      <c r="G175" s="493"/>
      <c r="H175" s="297">
        <f t="shared" si="76"/>
        <v>1900079.397442665</v>
      </c>
      <c r="I175" s="493">
        <f t="shared" si="76"/>
        <v>2638958.2019101102</v>
      </c>
      <c r="J175" s="493">
        <f t="shared" si="76"/>
        <v>4052005.1467555603</v>
      </c>
      <c r="K175" s="493">
        <f t="shared" si="76"/>
        <v>2656254.4228865979</v>
      </c>
      <c r="L175" s="493">
        <f t="shared" si="76"/>
        <v>2827562.9343833337</v>
      </c>
      <c r="M175" s="297">
        <f t="shared" si="76"/>
        <v>3475643.2806839235</v>
      </c>
      <c r="N175" s="493">
        <f t="shared" si="76"/>
        <v>3459769.9378207587</v>
      </c>
      <c r="O175" s="493">
        <f t="shared" si="76"/>
        <v>3573195.6878521452</v>
      </c>
      <c r="P175" s="493">
        <f t="shared" si="76"/>
        <v>3687924.4138266733</v>
      </c>
      <c r="Q175" s="319">
        <f t="shared" si="76"/>
        <v>3631812.2582634659</v>
      </c>
      <c r="R175" s="1268"/>
      <c r="S175" s="297">
        <f t="shared" si="76"/>
        <v>0</v>
      </c>
      <c r="T175" s="493">
        <f t="shared" si="76"/>
        <v>0</v>
      </c>
      <c r="U175" s="493">
        <f t="shared" si="76"/>
        <v>0</v>
      </c>
      <c r="V175" s="493">
        <f t="shared" si="76"/>
        <v>0</v>
      </c>
      <c r="W175" s="319">
        <f t="shared" si="76"/>
        <v>0</v>
      </c>
      <c r="X175" s="1085" t="e">
        <f>SUM(C175:G175)/SUM(S175:W175)-1</f>
        <v>#DIV/0!</v>
      </c>
      <c r="Y175" s="297">
        <f>SUM(Y172:Y174)</f>
        <v>0</v>
      </c>
      <c r="Z175" s="493">
        <f>SUM(Z172:Z174)</f>
        <v>0</v>
      </c>
      <c r="AA175" s="493">
        <f>SUM(AA172:AA174)</f>
        <v>0</v>
      </c>
      <c r="AB175" s="493">
        <f>SUM(AB172:AB174)</f>
        <v>0</v>
      </c>
      <c r="AC175" s="493">
        <f>SUM(AC172:AC174)</f>
        <v>0</v>
      </c>
      <c r="AD175" s="1089" t="e">
        <f>SUM(H175:L175)/SUM(Y175:AC175)-1</f>
        <v>#DIV/0!</v>
      </c>
      <c r="AH175" s="297">
        <f t="shared" ref="AH175:AO175" si="77">SUM(AH172:AH174)</f>
        <v>0</v>
      </c>
      <c r="AI175" s="493">
        <f t="shared" si="77"/>
        <v>0</v>
      </c>
      <c r="AJ175" s="493">
        <f t="shared" si="77"/>
        <v>0</v>
      </c>
      <c r="AK175" s="493">
        <f t="shared" si="77"/>
        <v>0</v>
      </c>
      <c r="AL175" s="319">
        <f t="shared" si="77"/>
        <v>0</v>
      </c>
      <c r="AM175" s="297">
        <f t="shared" si="77"/>
        <v>0</v>
      </c>
      <c r="AN175" s="493">
        <f t="shared" si="77"/>
        <v>0</v>
      </c>
      <c r="AO175" s="319">
        <f t="shared" si="77"/>
        <v>0</v>
      </c>
    </row>
    <row r="176" spans="1:41">
      <c r="A176" s="299"/>
      <c r="B176" s="1442" t="s">
        <v>585</v>
      </c>
      <c r="C176" s="332"/>
      <c r="D176" s="324"/>
      <c r="E176" s="324"/>
      <c r="F176" s="324"/>
      <c r="G176" s="324"/>
      <c r="H176" s="332"/>
      <c r="I176" s="324"/>
      <c r="J176" s="324"/>
      <c r="K176" s="324"/>
      <c r="L176" s="324"/>
      <c r="M176" s="332"/>
      <c r="N176" s="324"/>
      <c r="O176" s="324"/>
      <c r="P176" s="324"/>
      <c r="Q176" s="333"/>
      <c r="R176" s="1268"/>
      <c r="S176" s="332"/>
      <c r="T176" s="324"/>
      <c r="U176" s="324"/>
      <c r="V176" s="324"/>
      <c r="W176" s="333"/>
      <c r="X176" s="324"/>
      <c r="Y176" s="332"/>
      <c r="Z176" s="324"/>
      <c r="AA176" s="324"/>
      <c r="AB176" s="324"/>
      <c r="AC176" s="324"/>
      <c r="AD176" s="333"/>
      <c r="AH176" s="332"/>
      <c r="AI176" s="324"/>
      <c r="AJ176" s="324"/>
      <c r="AK176" s="324"/>
      <c r="AL176" s="333"/>
      <c r="AM176" s="332"/>
      <c r="AN176" s="324"/>
      <c r="AO176" s="333"/>
    </row>
    <row r="177" spans="1:41">
      <c r="A177" s="299"/>
      <c r="B177" s="329" t="s">
        <v>59</v>
      </c>
      <c r="C177" s="294"/>
      <c r="D177" s="488"/>
      <c r="E177" s="488"/>
      <c r="F177" s="488"/>
      <c r="G177" s="317"/>
      <c r="H177" s="294"/>
      <c r="I177" s="488"/>
      <c r="J177" s="488"/>
      <c r="K177" s="488"/>
      <c r="L177" s="317"/>
      <c r="M177" s="294"/>
      <c r="N177" s="488"/>
      <c r="O177" s="488"/>
      <c r="P177" s="488"/>
      <c r="Q177" s="317"/>
      <c r="R177" s="1268"/>
      <c r="S177" s="294"/>
      <c r="T177" s="488"/>
      <c r="U177" s="488"/>
      <c r="V177" s="488"/>
      <c r="W177" s="317"/>
      <c r="X177" s="1085" t="e">
        <f>SUM(C177:G177)/SUM(S177:W177)-1</f>
        <v>#DIV/0!</v>
      </c>
      <c r="Y177" s="294"/>
      <c r="Z177" s="488"/>
      <c r="AA177" s="488"/>
      <c r="AB177" s="488"/>
      <c r="AC177" s="488"/>
      <c r="AD177" s="1089" t="e">
        <f>SUM(H177:L177)/SUM(Y177:AC177)-1</f>
        <v>#DIV/0!</v>
      </c>
      <c r="AH177" s="297"/>
      <c r="AI177" s="493"/>
      <c r="AJ177" s="493"/>
      <c r="AK177" s="493"/>
      <c r="AL177" s="319"/>
      <c r="AM177" s="297"/>
      <c r="AN177" s="493"/>
      <c r="AO177" s="319"/>
    </row>
    <row r="178" spans="1:41">
      <c r="A178" s="299"/>
      <c r="B178" s="329" t="s">
        <v>62</v>
      </c>
      <c r="C178" s="294"/>
      <c r="D178" s="488"/>
      <c r="E178" s="488"/>
      <c r="F178" s="488"/>
      <c r="G178" s="317"/>
      <c r="H178" s="294"/>
      <c r="I178" s="488"/>
      <c r="J178" s="488"/>
      <c r="K178" s="488"/>
      <c r="L178" s="317"/>
      <c r="M178" s="294"/>
      <c r="N178" s="488"/>
      <c r="O178" s="488"/>
      <c r="P178" s="488"/>
      <c r="Q178" s="317"/>
      <c r="R178" s="1268"/>
      <c r="S178" s="294"/>
      <c r="T178" s="488"/>
      <c r="U178" s="488"/>
      <c r="V178" s="488"/>
      <c r="W178" s="317"/>
      <c r="X178" s="1085" t="e">
        <f>SUM(C178:G178)/SUM(S178:W178)-1</f>
        <v>#DIV/0!</v>
      </c>
      <c r="Y178" s="294"/>
      <c r="Z178" s="488"/>
      <c r="AA178" s="488"/>
      <c r="AB178" s="488"/>
      <c r="AC178" s="488"/>
      <c r="AD178" s="1089" t="e">
        <f>SUM(H178:L178)/SUM(Y178:AC178)-1</f>
        <v>#DIV/0!</v>
      </c>
      <c r="AH178" s="297"/>
      <c r="AI178" s="493"/>
      <c r="AJ178" s="493"/>
      <c r="AK178" s="493"/>
      <c r="AL178" s="319"/>
      <c r="AM178" s="297"/>
      <c r="AN178" s="493"/>
      <c r="AO178" s="319"/>
    </row>
    <row r="179" spans="1:41">
      <c r="A179" s="299"/>
      <c r="B179" s="329" t="s">
        <v>63</v>
      </c>
      <c r="C179" s="294"/>
      <c r="D179" s="488"/>
      <c r="E179" s="488"/>
      <c r="F179" s="488"/>
      <c r="G179" s="317"/>
      <c r="H179" s="294"/>
      <c r="I179" s="488"/>
      <c r="J179" s="488"/>
      <c r="K179" s="488"/>
      <c r="L179" s="317"/>
      <c r="M179" s="294"/>
      <c r="N179" s="488"/>
      <c r="O179" s="488"/>
      <c r="P179" s="488"/>
      <c r="Q179" s="317"/>
      <c r="R179" s="1268"/>
      <c r="S179" s="294"/>
      <c r="T179" s="488"/>
      <c r="U179" s="488"/>
      <c r="V179" s="488"/>
      <c r="W179" s="317"/>
      <c r="X179" s="1085" t="e">
        <f>SUM(C179:G179)/SUM(S179:W179)-1</f>
        <v>#DIV/0!</v>
      </c>
      <c r="Y179" s="294"/>
      <c r="Z179" s="488"/>
      <c r="AA179" s="488"/>
      <c r="AB179" s="488"/>
      <c r="AC179" s="488"/>
      <c r="AD179" s="1089" t="e">
        <f>SUM(H179:L179)/SUM(Y179:AC179)-1</f>
        <v>#DIV/0!</v>
      </c>
      <c r="AH179" s="297"/>
      <c r="AI179" s="493"/>
      <c r="AJ179" s="493"/>
      <c r="AK179" s="493"/>
      <c r="AL179" s="319"/>
      <c r="AM179" s="297"/>
      <c r="AN179" s="493"/>
      <c r="AO179" s="319"/>
    </row>
    <row r="180" spans="1:41">
      <c r="A180" s="299"/>
      <c r="B180" s="1446" t="s">
        <v>586</v>
      </c>
      <c r="C180" s="297">
        <f t="shared" ref="C180:W180" si="78">SUM(C177:C179)</f>
        <v>0</v>
      </c>
      <c r="D180" s="493">
        <f t="shared" si="78"/>
        <v>0</v>
      </c>
      <c r="E180" s="493">
        <f t="shared" si="78"/>
        <v>0</v>
      </c>
      <c r="F180" s="493">
        <f t="shared" si="78"/>
        <v>0</v>
      </c>
      <c r="G180" s="319">
        <f t="shared" si="78"/>
        <v>0</v>
      </c>
      <c r="H180" s="297">
        <f t="shared" si="78"/>
        <v>0</v>
      </c>
      <c r="I180" s="493">
        <f t="shared" si="78"/>
        <v>0</v>
      </c>
      <c r="J180" s="493">
        <f t="shared" si="78"/>
        <v>0</v>
      </c>
      <c r="K180" s="493">
        <f t="shared" si="78"/>
        <v>0</v>
      </c>
      <c r="L180" s="319">
        <f t="shared" si="78"/>
        <v>0</v>
      </c>
      <c r="M180" s="297">
        <f t="shared" si="78"/>
        <v>0</v>
      </c>
      <c r="N180" s="493">
        <f t="shared" si="78"/>
        <v>0</v>
      </c>
      <c r="O180" s="493">
        <f t="shared" si="78"/>
        <v>0</v>
      </c>
      <c r="P180" s="493">
        <f t="shared" si="78"/>
        <v>0</v>
      </c>
      <c r="Q180" s="319">
        <f t="shared" si="78"/>
        <v>0</v>
      </c>
      <c r="R180" s="1268"/>
      <c r="S180" s="297">
        <f t="shared" si="78"/>
        <v>0</v>
      </c>
      <c r="T180" s="493">
        <f t="shared" si="78"/>
        <v>0</v>
      </c>
      <c r="U180" s="493">
        <f t="shared" si="78"/>
        <v>0</v>
      </c>
      <c r="V180" s="493">
        <f t="shared" si="78"/>
        <v>0</v>
      </c>
      <c r="W180" s="319">
        <f t="shared" si="78"/>
        <v>0</v>
      </c>
      <c r="X180" s="1085" t="e">
        <f>SUM(C180:G180)/SUM(S180:W180)-1</f>
        <v>#DIV/0!</v>
      </c>
      <c r="Y180" s="297">
        <f>SUM(Y177:Y179)</f>
        <v>0</v>
      </c>
      <c r="Z180" s="493">
        <f>SUM(Z177:Z179)</f>
        <v>0</v>
      </c>
      <c r="AA180" s="493">
        <f>SUM(AA177:AA179)</f>
        <v>0</v>
      </c>
      <c r="AB180" s="493">
        <f>SUM(AB177:AB179)</f>
        <v>0</v>
      </c>
      <c r="AC180" s="493">
        <f>SUM(AC177:AC179)</f>
        <v>0</v>
      </c>
      <c r="AD180" s="1089" t="e">
        <f>SUM(H180:L180)/SUM(Y180:AC180)-1</f>
        <v>#DIV/0!</v>
      </c>
      <c r="AH180" s="297">
        <f t="shared" ref="AH180:AO180" si="79">SUM(AH177:AH179)</f>
        <v>0</v>
      </c>
      <c r="AI180" s="493">
        <f t="shared" si="79"/>
        <v>0</v>
      </c>
      <c r="AJ180" s="493">
        <f t="shared" si="79"/>
        <v>0</v>
      </c>
      <c r="AK180" s="493">
        <f t="shared" si="79"/>
        <v>0</v>
      </c>
      <c r="AL180" s="319">
        <f t="shared" si="79"/>
        <v>0</v>
      </c>
      <c r="AM180" s="297">
        <f t="shared" si="79"/>
        <v>0</v>
      </c>
      <c r="AN180" s="493">
        <f t="shared" si="79"/>
        <v>0</v>
      </c>
      <c r="AO180" s="319">
        <f t="shared" si="79"/>
        <v>0</v>
      </c>
    </row>
    <row r="181" spans="1:41">
      <c r="A181" s="299"/>
      <c r="B181" s="1445" t="s">
        <v>590</v>
      </c>
      <c r="C181" s="332"/>
      <c r="D181" s="324"/>
      <c r="E181" s="324"/>
      <c r="F181" s="324"/>
      <c r="G181" s="333"/>
      <c r="H181" s="332"/>
      <c r="I181" s="324"/>
      <c r="J181" s="324"/>
      <c r="K181" s="324"/>
      <c r="L181" s="333"/>
      <c r="M181" s="332"/>
      <c r="N181" s="324"/>
      <c r="O181" s="324"/>
      <c r="P181" s="324"/>
      <c r="Q181" s="333"/>
      <c r="R181" s="1268"/>
      <c r="S181" s="332"/>
      <c r="T181" s="324"/>
      <c r="U181" s="324"/>
      <c r="V181" s="324"/>
      <c r="W181" s="333"/>
      <c r="X181" s="324"/>
      <c r="Y181" s="332"/>
      <c r="Z181" s="324"/>
      <c r="AA181" s="324"/>
      <c r="AB181" s="324"/>
      <c r="AC181" s="324"/>
      <c r="AD181" s="333"/>
      <c r="AH181" s="332"/>
      <c r="AI181" s="324"/>
      <c r="AJ181" s="324"/>
      <c r="AK181" s="324"/>
      <c r="AL181" s="333"/>
      <c r="AM181" s="332"/>
      <c r="AN181" s="324"/>
      <c r="AO181" s="333"/>
    </row>
    <row r="182" spans="1:41">
      <c r="A182" s="299"/>
      <c r="B182" s="1444" t="s">
        <v>59</v>
      </c>
      <c r="C182" s="294"/>
      <c r="D182" s="488"/>
      <c r="E182" s="488"/>
      <c r="F182" s="488"/>
      <c r="G182" s="317"/>
      <c r="H182" s="294"/>
      <c r="I182" s="488"/>
      <c r="J182" s="488"/>
      <c r="K182" s="488"/>
      <c r="L182" s="317"/>
      <c r="M182" s="294"/>
      <c r="N182" s="488"/>
      <c r="O182" s="488"/>
      <c r="P182" s="488"/>
      <c r="Q182" s="317"/>
      <c r="R182" s="1268"/>
      <c r="S182" s="294"/>
      <c r="T182" s="488"/>
      <c r="U182" s="488"/>
      <c r="V182" s="488"/>
      <c r="W182" s="317"/>
      <c r="X182" s="1085" t="e">
        <f>SUM(C182:G182)/SUM(S182:W182)-1</f>
        <v>#DIV/0!</v>
      </c>
      <c r="Y182" s="294"/>
      <c r="Z182" s="488"/>
      <c r="AA182" s="488"/>
      <c r="AB182" s="488"/>
      <c r="AC182" s="488"/>
      <c r="AD182" s="1089" t="e">
        <f>SUM(H182:L182)/SUM(Y182:AC182)-1</f>
        <v>#DIV/0!</v>
      </c>
      <c r="AH182" s="297"/>
      <c r="AI182" s="493"/>
      <c r="AJ182" s="493"/>
      <c r="AK182" s="493"/>
      <c r="AL182" s="319"/>
      <c r="AM182" s="297"/>
      <c r="AN182" s="493"/>
      <c r="AO182" s="319"/>
    </row>
    <row r="183" spans="1:41">
      <c r="A183" s="299"/>
      <c r="B183" s="1444" t="s">
        <v>62</v>
      </c>
      <c r="C183" s="3514"/>
      <c r="D183" s="3515"/>
      <c r="E183" s="3515"/>
      <c r="F183" s="3515"/>
      <c r="G183" s="3516"/>
      <c r="H183" s="294"/>
      <c r="I183" s="488"/>
      <c r="J183" s="488"/>
      <c r="K183" s="488"/>
      <c r="L183" s="317"/>
      <c r="M183" s="294"/>
      <c r="N183" s="488"/>
      <c r="O183" s="488"/>
      <c r="P183" s="488"/>
      <c r="Q183" s="317"/>
      <c r="R183" s="1268"/>
      <c r="S183" s="294"/>
      <c r="T183" s="488"/>
      <c r="U183" s="488"/>
      <c r="V183" s="488"/>
      <c r="W183" s="317"/>
      <c r="X183" s="1085" t="e">
        <f>SUM(C183:G183)/SUM(S183:W183)-1</f>
        <v>#DIV/0!</v>
      </c>
      <c r="Y183" s="294"/>
      <c r="Z183" s="488"/>
      <c r="AA183" s="488"/>
      <c r="AB183" s="488"/>
      <c r="AC183" s="488"/>
      <c r="AD183" s="1089" t="e">
        <f>SUM(H183:L183)/SUM(Y183:AC183)-1</f>
        <v>#DIV/0!</v>
      </c>
      <c r="AH183" s="297"/>
      <c r="AI183" s="493"/>
      <c r="AJ183" s="493"/>
      <c r="AK183" s="493"/>
      <c r="AL183" s="319"/>
      <c r="AM183" s="297"/>
      <c r="AN183" s="493"/>
      <c r="AO183" s="319"/>
    </row>
    <row r="184" spans="1:41">
      <c r="A184" s="299"/>
      <c r="B184" s="1444" t="s">
        <v>63</v>
      </c>
      <c r="C184" s="294"/>
      <c r="D184" s="488"/>
      <c r="E184" s="488"/>
      <c r="F184" s="488"/>
      <c r="G184" s="317"/>
      <c r="H184" s="294"/>
      <c r="I184" s="488"/>
      <c r="J184" s="488"/>
      <c r="K184" s="488"/>
      <c r="L184" s="317"/>
      <c r="M184" s="294"/>
      <c r="N184" s="488"/>
      <c r="O184" s="488"/>
      <c r="P184" s="488"/>
      <c r="Q184" s="317"/>
      <c r="R184" s="1268"/>
      <c r="S184" s="294"/>
      <c r="T184" s="488"/>
      <c r="U184" s="488"/>
      <c r="V184" s="488"/>
      <c r="W184" s="317"/>
      <c r="X184" s="1085" t="e">
        <f>SUM(C184:G184)/SUM(S184:W184)-1</f>
        <v>#DIV/0!</v>
      </c>
      <c r="Y184" s="294"/>
      <c r="Z184" s="488"/>
      <c r="AA184" s="488"/>
      <c r="AB184" s="488"/>
      <c r="AC184" s="488"/>
      <c r="AD184" s="1089" t="e">
        <f>SUM(H184:L184)/SUM(Y184:AC184)-1</f>
        <v>#DIV/0!</v>
      </c>
      <c r="AH184" s="297"/>
      <c r="AI184" s="493"/>
      <c r="AJ184" s="493"/>
      <c r="AK184" s="493"/>
      <c r="AL184" s="319"/>
      <c r="AM184" s="297"/>
      <c r="AN184" s="493"/>
      <c r="AO184" s="319"/>
    </row>
    <row r="185" spans="1:41">
      <c r="A185" s="299"/>
      <c r="B185" s="1446" t="s">
        <v>591</v>
      </c>
      <c r="C185" s="297">
        <f t="shared" ref="C185:W185" si="80">SUM(C182:C184)</f>
        <v>0</v>
      </c>
      <c r="D185" s="493">
        <f t="shared" si="80"/>
        <v>0</v>
      </c>
      <c r="E185" s="493">
        <f t="shared" si="80"/>
        <v>0</v>
      </c>
      <c r="F185" s="493">
        <f t="shared" si="80"/>
        <v>0</v>
      </c>
      <c r="G185" s="319">
        <f t="shared" si="80"/>
        <v>0</v>
      </c>
      <c r="H185" s="297">
        <f t="shared" si="80"/>
        <v>0</v>
      </c>
      <c r="I185" s="493">
        <f t="shared" si="80"/>
        <v>0</v>
      </c>
      <c r="J185" s="493">
        <f t="shared" si="80"/>
        <v>0</v>
      </c>
      <c r="K185" s="493">
        <f t="shared" si="80"/>
        <v>0</v>
      </c>
      <c r="L185" s="319">
        <f t="shared" si="80"/>
        <v>0</v>
      </c>
      <c r="M185" s="297">
        <f t="shared" si="80"/>
        <v>0</v>
      </c>
      <c r="N185" s="493">
        <f t="shared" si="80"/>
        <v>0</v>
      </c>
      <c r="O185" s="493">
        <f t="shared" si="80"/>
        <v>0</v>
      </c>
      <c r="P185" s="493">
        <f t="shared" si="80"/>
        <v>0</v>
      </c>
      <c r="Q185" s="319">
        <f t="shared" si="80"/>
        <v>0</v>
      </c>
      <c r="R185" s="1268"/>
      <c r="S185" s="297">
        <f t="shared" si="80"/>
        <v>0</v>
      </c>
      <c r="T185" s="493">
        <f t="shared" si="80"/>
        <v>0</v>
      </c>
      <c r="U185" s="493">
        <f t="shared" si="80"/>
        <v>0</v>
      </c>
      <c r="V185" s="493">
        <f t="shared" si="80"/>
        <v>0</v>
      </c>
      <c r="W185" s="319">
        <f t="shared" si="80"/>
        <v>0</v>
      </c>
      <c r="X185" s="1085" t="e">
        <f>SUM(C185:G185)/SUM(S185:W185)-1</f>
        <v>#DIV/0!</v>
      </c>
      <c r="Y185" s="297">
        <f>SUM(Y182:Y184)</f>
        <v>0</v>
      </c>
      <c r="Z185" s="493">
        <f>SUM(Z182:Z184)</f>
        <v>0</v>
      </c>
      <c r="AA185" s="493">
        <f>SUM(AA182:AA184)</f>
        <v>0</v>
      </c>
      <c r="AB185" s="493">
        <f>SUM(AB182:AB184)</f>
        <v>0</v>
      </c>
      <c r="AC185" s="493">
        <f>SUM(AC182:AC184)</f>
        <v>0</v>
      </c>
      <c r="AD185" s="1089" t="e">
        <f>SUM(H185:L185)/SUM(Y185:AC185)-1</f>
        <v>#DIV/0!</v>
      </c>
      <c r="AH185" s="297">
        <f t="shared" ref="AH185:AO185" si="81">SUM(AH182:AH184)</f>
        <v>0</v>
      </c>
      <c r="AI185" s="493">
        <f t="shared" si="81"/>
        <v>0</v>
      </c>
      <c r="AJ185" s="493">
        <f t="shared" si="81"/>
        <v>0</v>
      </c>
      <c r="AK185" s="493">
        <f t="shared" si="81"/>
        <v>0</v>
      </c>
      <c r="AL185" s="319">
        <f t="shared" si="81"/>
        <v>0</v>
      </c>
      <c r="AM185" s="297">
        <f t="shared" si="81"/>
        <v>0</v>
      </c>
      <c r="AN185" s="493">
        <f t="shared" si="81"/>
        <v>0</v>
      </c>
      <c r="AO185" s="319">
        <f t="shared" si="81"/>
        <v>0</v>
      </c>
    </row>
    <row r="186" spans="1:41">
      <c r="A186" s="299"/>
      <c r="B186" s="1448" t="s">
        <v>592</v>
      </c>
      <c r="C186" s="332"/>
      <c r="D186" s="324"/>
      <c r="E186" s="324"/>
      <c r="F186" s="324"/>
      <c r="G186" s="333"/>
      <c r="H186" s="332"/>
      <c r="I186" s="324"/>
      <c r="J186" s="324"/>
      <c r="K186" s="324"/>
      <c r="L186" s="333"/>
      <c r="M186" s="332"/>
      <c r="N186" s="324"/>
      <c r="O186" s="324"/>
      <c r="P186" s="324"/>
      <c r="Q186" s="333"/>
      <c r="R186" s="1268"/>
      <c r="S186" s="332"/>
      <c r="T186" s="324"/>
      <c r="U186" s="324"/>
      <c r="V186" s="324"/>
      <c r="W186" s="333"/>
      <c r="X186" s="324"/>
      <c r="Y186" s="332"/>
      <c r="Z186" s="324"/>
      <c r="AA186" s="324"/>
      <c r="AB186" s="324"/>
      <c r="AC186" s="324"/>
      <c r="AD186" s="333"/>
      <c r="AH186" s="332"/>
      <c r="AI186" s="324"/>
      <c r="AJ186" s="324"/>
      <c r="AK186" s="324"/>
      <c r="AL186" s="333"/>
      <c r="AM186" s="332"/>
      <c r="AN186" s="324"/>
      <c r="AO186" s="333"/>
    </row>
    <row r="187" spans="1:41">
      <c r="A187" s="299"/>
      <c r="B187" s="1449" t="s">
        <v>59</v>
      </c>
      <c r="C187" s="336">
        <f t="shared" ref="C187:W189" si="82">C177+C172+C182</f>
        <v>0</v>
      </c>
      <c r="D187" s="320">
        <f t="shared" si="82"/>
        <v>0</v>
      </c>
      <c r="E187" s="320">
        <f t="shared" si="82"/>
        <v>0</v>
      </c>
      <c r="F187" s="320">
        <f t="shared" si="82"/>
        <v>0</v>
      </c>
      <c r="G187" s="1051">
        <f t="shared" si="82"/>
        <v>0</v>
      </c>
      <c r="H187" s="336">
        <f t="shared" si="82"/>
        <v>113709.68198376354</v>
      </c>
      <c r="I187" s="320">
        <f t="shared" si="82"/>
        <v>245888.39</v>
      </c>
      <c r="J187" s="320">
        <f t="shared" si="82"/>
        <v>1143493.7</v>
      </c>
      <c r="K187" s="320">
        <f t="shared" si="82"/>
        <v>657324.4133703541</v>
      </c>
      <c r="L187" s="1051">
        <f t="shared" si="82"/>
        <v>700627.78022879444</v>
      </c>
      <c r="M187" s="336">
        <f t="shared" si="82"/>
        <v>860092.75349363044</v>
      </c>
      <c r="N187" s="320">
        <f t="shared" si="82"/>
        <v>856164.69009132369</v>
      </c>
      <c r="O187" s="320">
        <f t="shared" si="82"/>
        <v>884233.35473356466</v>
      </c>
      <c r="P187" s="320">
        <f t="shared" si="82"/>
        <v>912624.45757678582</v>
      </c>
      <c r="Q187" s="1051">
        <f t="shared" si="82"/>
        <v>898738.78103137098</v>
      </c>
      <c r="R187" s="1268"/>
      <c r="S187" s="336">
        <f t="shared" si="82"/>
        <v>0</v>
      </c>
      <c r="T187" s="320">
        <f t="shared" si="82"/>
        <v>0</v>
      </c>
      <c r="U187" s="320">
        <f t="shared" si="82"/>
        <v>0</v>
      </c>
      <c r="V187" s="320">
        <f t="shared" si="82"/>
        <v>0</v>
      </c>
      <c r="W187" s="1051">
        <f t="shared" si="82"/>
        <v>0</v>
      </c>
      <c r="X187" s="321" t="e">
        <f t="shared" ref="X187:X193" si="83">SUM(C187:G187)/SUM(S187:W187)-1</f>
        <v>#DIV/0!</v>
      </c>
      <c r="Y187" s="336">
        <f t="shared" ref="Y187:AC189" si="84">Y177+Y172+Y182</f>
        <v>0</v>
      </c>
      <c r="Z187" s="320">
        <f t="shared" si="84"/>
        <v>0</v>
      </c>
      <c r="AA187" s="320">
        <f t="shared" si="84"/>
        <v>0</v>
      </c>
      <c r="AB187" s="320">
        <f t="shared" si="84"/>
        <v>0</v>
      </c>
      <c r="AC187" s="320">
        <f t="shared" si="84"/>
        <v>0</v>
      </c>
      <c r="AD187" s="338" t="e">
        <f t="shared" ref="AD187:AD193" si="85">SUM(H187:L187)/SUM(Y187:AC187)-1</f>
        <v>#DIV/0!</v>
      </c>
      <c r="AH187" s="336">
        <f t="shared" ref="AH187:AO187" si="86">AH177+AH172+AH182</f>
        <v>0</v>
      </c>
      <c r="AI187" s="320">
        <f t="shared" si="86"/>
        <v>0</v>
      </c>
      <c r="AJ187" s="320">
        <f t="shared" si="86"/>
        <v>0</v>
      </c>
      <c r="AK187" s="320">
        <f t="shared" si="86"/>
        <v>0</v>
      </c>
      <c r="AL187" s="1051">
        <f t="shared" si="86"/>
        <v>0</v>
      </c>
      <c r="AM187" s="336">
        <f t="shared" si="86"/>
        <v>0</v>
      </c>
      <c r="AN187" s="320">
        <f t="shared" si="86"/>
        <v>0</v>
      </c>
      <c r="AO187" s="1051">
        <f t="shared" si="86"/>
        <v>0</v>
      </c>
    </row>
    <row r="188" spans="1:41">
      <c r="A188" s="299"/>
      <c r="B188" s="1449" t="s">
        <v>62</v>
      </c>
      <c r="C188" s="336">
        <f t="shared" si="82"/>
        <v>0</v>
      </c>
      <c r="D188" s="320">
        <f t="shared" si="82"/>
        <v>0</v>
      </c>
      <c r="E188" s="320">
        <f t="shared" si="82"/>
        <v>0</v>
      </c>
      <c r="F188" s="320">
        <f t="shared" si="82"/>
        <v>0</v>
      </c>
      <c r="G188" s="1051">
        <f t="shared" si="82"/>
        <v>0</v>
      </c>
      <c r="H188" s="336">
        <f t="shared" si="82"/>
        <v>890855.0603712193</v>
      </c>
      <c r="I188" s="320">
        <f t="shared" si="82"/>
        <v>1155976.6100000001</v>
      </c>
      <c r="J188" s="320">
        <f t="shared" si="82"/>
        <v>1315582</v>
      </c>
      <c r="K188" s="320">
        <f t="shared" si="82"/>
        <v>986970.77731546876</v>
      </c>
      <c r="L188" s="1051">
        <f t="shared" si="82"/>
        <v>1052057.3814327554</v>
      </c>
      <c r="M188" s="336">
        <f t="shared" si="82"/>
        <v>1291426.8756981767</v>
      </c>
      <c r="N188" s="320">
        <f t="shared" si="82"/>
        <v>1285528.8994315704</v>
      </c>
      <c r="O188" s="320">
        <f t="shared" si="82"/>
        <v>1327673.9212756795</v>
      </c>
      <c r="P188" s="320">
        <f t="shared" si="82"/>
        <v>1370303.0831812022</v>
      </c>
      <c r="Q188" s="1051">
        <f t="shared" si="82"/>
        <v>1349453.7784926549</v>
      </c>
      <c r="R188" s="1268"/>
      <c r="S188" s="336">
        <f t="shared" si="82"/>
        <v>0</v>
      </c>
      <c r="T188" s="320">
        <f t="shared" si="82"/>
        <v>0</v>
      </c>
      <c r="U188" s="320">
        <f t="shared" si="82"/>
        <v>0</v>
      </c>
      <c r="V188" s="320">
        <f t="shared" si="82"/>
        <v>0</v>
      </c>
      <c r="W188" s="1051">
        <f t="shared" si="82"/>
        <v>0</v>
      </c>
      <c r="X188" s="321" t="e">
        <f t="shared" si="83"/>
        <v>#DIV/0!</v>
      </c>
      <c r="Y188" s="336">
        <f t="shared" si="84"/>
        <v>0</v>
      </c>
      <c r="Z188" s="320">
        <f t="shared" si="84"/>
        <v>0</v>
      </c>
      <c r="AA188" s="320">
        <f t="shared" si="84"/>
        <v>0</v>
      </c>
      <c r="AB188" s="320">
        <f t="shared" si="84"/>
        <v>0</v>
      </c>
      <c r="AC188" s="320">
        <f t="shared" si="84"/>
        <v>0</v>
      </c>
      <c r="AD188" s="338" t="e">
        <f t="shared" si="85"/>
        <v>#DIV/0!</v>
      </c>
      <c r="AH188" s="336">
        <f t="shared" ref="AH188:AO188" si="87">AH178+AH173+AH183</f>
        <v>0</v>
      </c>
      <c r="AI188" s="320">
        <f t="shared" si="87"/>
        <v>0</v>
      </c>
      <c r="AJ188" s="320">
        <f t="shared" si="87"/>
        <v>0</v>
      </c>
      <c r="AK188" s="320">
        <f t="shared" si="87"/>
        <v>0</v>
      </c>
      <c r="AL188" s="1051">
        <f t="shared" si="87"/>
        <v>0</v>
      </c>
      <c r="AM188" s="336">
        <f t="shared" si="87"/>
        <v>0</v>
      </c>
      <c r="AN188" s="320">
        <f t="shared" si="87"/>
        <v>0</v>
      </c>
      <c r="AO188" s="1051">
        <f t="shared" si="87"/>
        <v>0</v>
      </c>
    </row>
    <row r="189" spans="1:41">
      <c r="A189" s="299"/>
      <c r="B189" s="1449" t="s">
        <v>63</v>
      </c>
      <c r="C189" s="336">
        <f t="shared" si="82"/>
        <v>0</v>
      </c>
      <c r="D189" s="320">
        <f t="shared" si="82"/>
        <v>0</v>
      </c>
      <c r="E189" s="320">
        <f t="shared" si="82"/>
        <v>0</v>
      </c>
      <c r="F189" s="320">
        <f t="shared" si="82"/>
        <v>0</v>
      </c>
      <c r="G189" s="1051">
        <f t="shared" si="82"/>
        <v>0</v>
      </c>
      <c r="H189" s="336">
        <f t="shared" si="82"/>
        <v>895514.65508768207</v>
      </c>
      <c r="I189" s="320">
        <f t="shared" si="82"/>
        <v>1237093.20191011</v>
      </c>
      <c r="J189" s="320">
        <f t="shared" si="82"/>
        <v>1592929.4467555601</v>
      </c>
      <c r="K189" s="320">
        <f t="shared" si="82"/>
        <v>1011959.2322007749</v>
      </c>
      <c r="L189" s="1051">
        <f t="shared" si="82"/>
        <v>1074877.7727217835</v>
      </c>
      <c r="M189" s="336">
        <f t="shared" si="82"/>
        <v>1324123.6514921167</v>
      </c>
      <c r="N189" s="320">
        <f t="shared" si="82"/>
        <v>1318076.3482978647</v>
      </c>
      <c r="O189" s="320">
        <f t="shared" si="82"/>
        <v>1361288.4118429013</v>
      </c>
      <c r="P189" s="320">
        <f t="shared" si="82"/>
        <v>1404996.8730686849</v>
      </c>
      <c r="Q189" s="1051">
        <f t="shared" si="82"/>
        <v>1383619.6987394404</v>
      </c>
      <c r="R189" s="1268"/>
      <c r="S189" s="336">
        <f t="shared" si="82"/>
        <v>0</v>
      </c>
      <c r="T189" s="320">
        <f t="shared" si="82"/>
        <v>0</v>
      </c>
      <c r="U189" s="320">
        <f t="shared" si="82"/>
        <v>0</v>
      </c>
      <c r="V189" s="320">
        <f t="shared" si="82"/>
        <v>0</v>
      </c>
      <c r="W189" s="1051">
        <f t="shared" si="82"/>
        <v>0</v>
      </c>
      <c r="X189" s="321" t="e">
        <f t="shared" si="83"/>
        <v>#DIV/0!</v>
      </c>
      <c r="Y189" s="336">
        <f t="shared" si="84"/>
        <v>0</v>
      </c>
      <c r="Z189" s="320">
        <f t="shared" si="84"/>
        <v>0</v>
      </c>
      <c r="AA189" s="320">
        <f t="shared" si="84"/>
        <v>0</v>
      </c>
      <c r="AB189" s="320">
        <f t="shared" si="84"/>
        <v>0</v>
      </c>
      <c r="AC189" s="320">
        <f t="shared" si="84"/>
        <v>0</v>
      </c>
      <c r="AD189" s="338" t="e">
        <f t="shared" si="85"/>
        <v>#DIV/0!</v>
      </c>
      <c r="AH189" s="336">
        <f t="shared" ref="AH189:AO189" si="88">AH179+AH174+AH184</f>
        <v>0</v>
      </c>
      <c r="AI189" s="320">
        <f t="shared" si="88"/>
        <v>0</v>
      </c>
      <c r="AJ189" s="320">
        <f t="shared" si="88"/>
        <v>0</v>
      </c>
      <c r="AK189" s="320">
        <f t="shared" si="88"/>
        <v>0</v>
      </c>
      <c r="AL189" s="1051">
        <f t="shared" si="88"/>
        <v>0</v>
      </c>
      <c r="AM189" s="336">
        <f t="shared" si="88"/>
        <v>0</v>
      </c>
      <c r="AN189" s="320">
        <f t="shared" si="88"/>
        <v>0</v>
      </c>
      <c r="AO189" s="1051">
        <f t="shared" si="88"/>
        <v>0</v>
      </c>
    </row>
    <row r="190" spans="1:41">
      <c r="A190" s="299"/>
      <c r="B190" s="1450" t="s">
        <v>592</v>
      </c>
      <c r="C190" s="296">
        <v>1393615.926</v>
      </c>
      <c r="D190" s="1055">
        <v>2613365.19</v>
      </c>
      <c r="E190" s="1055">
        <v>1776638.3759999999</v>
      </c>
      <c r="F190" s="1055">
        <v>2457301.6669350453</v>
      </c>
      <c r="G190" s="1089">
        <v>2185980.4660064797</v>
      </c>
      <c r="H190" s="296">
        <f t="shared" ref="H190:V190" si="89">SUM(H187:H189)</f>
        <v>1900079.397442665</v>
      </c>
      <c r="I190" s="1055">
        <f t="shared" si="89"/>
        <v>2638958.2019101102</v>
      </c>
      <c r="J190" s="1055">
        <f t="shared" si="89"/>
        <v>4052005.1467555603</v>
      </c>
      <c r="K190" s="1055">
        <f t="shared" si="89"/>
        <v>2656254.4228865979</v>
      </c>
      <c r="L190" s="1089">
        <f t="shared" si="89"/>
        <v>2827562.9343833337</v>
      </c>
      <c r="M190" s="345">
        <f t="shared" si="89"/>
        <v>3475643.2806839235</v>
      </c>
      <c r="N190" s="346">
        <f t="shared" si="89"/>
        <v>3459769.9378207587</v>
      </c>
      <c r="O190" s="346">
        <f t="shared" si="89"/>
        <v>3573195.6878521452</v>
      </c>
      <c r="P190" s="346">
        <f t="shared" si="89"/>
        <v>3687924.4138266733</v>
      </c>
      <c r="Q190" s="347">
        <f t="shared" si="89"/>
        <v>3631812.2582634659</v>
      </c>
      <c r="R190" s="1268"/>
      <c r="S190" s="345">
        <f t="shared" si="89"/>
        <v>0</v>
      </c>
      <c r="T190" s="346">
        <f t="shared" si="89"/>
        <v>0</v>
      </c>
      <c r="U190" s="346">
        <f t="shared" si="89"/>
        <v>0</v>
      </c>
      <c r="V190" s="346">
        <f t="shared" si="89"/>
        <v>0</v>
      </c>
      <c r="W190" s="347">
        <f>SUM(W187:W189)</f>
        <v>0</v>
      </c>
      <c r="X190" s="1086" t="e">
        <f t="shared" si="83"/>
        <v>#DIV/0!</v>
      </c>
      <c r="Y190" s="345">
        <f>SUM(Y187:Y189)</f>
        <v>0</v>
      </c>
      <c r="Z190" s="346">
        <f>SUM(Z187:Z189)</f>
        <v>0</v>
      </c>
      <c r="AA190" s="346">
        <f>SUM(AA187:AA189)</f>
        <v>0</v>
      </c>
      <c r="AB190" s="346">
        <f>SUM(AB187:AB189)</f>
        <v>0</v>
      </c>
      <c r="AC190" s="346">
        <f>SUM(AC187:AC189)</f>
        <v>0</v>
      </c>
      <c r="AD190" s="347" t="e">
        <f t="shared" si="85"/>
        <v>#DIV/0!</v>
      </c>
      <c r="AH190" s="345">
        <f>SUM(AH187:AH189)</f>
        <v>0</v>
      </c>
      <c r="AI190" s="346">
        <f t="shared" ref="AI190:AO190" si="90">SUM(AI187:AI189)</f>
        <v>0</v>
      </c>
      <c r="AJ190" s="346">
        <f t="shared" si="90"/>
        <v>0</v>
      </c>
      <c r="AK190" s="346">
        <f t="shared" si="90"/>
        <v>0</v>
      </c>
      <c r="AL190" s="347">
        <f t="shared" si="90"/>
        <v>0</v>
      </c>
      <c r="AM190" s="345">
        <f t="shared" si="90"/>
        <v>0</v>
      </c>
      <c r="AN190" s="346">
        <f t="shared" si="90"/>
        <v>0</v>
      </c>
      <c r="AO190" s="347">
        <f t="shared" si="90"/>
        <v>0</v>
      </c>
    </row>
    <row r="191" spans="1:41">
      <c r="A191" s="299"/>
      <c r="B191" s="1447" t="s">
        <v>593</v>
      </c>
      <c r="C191" s="294">
        <v>154846.21400000001</v>
      </c>
      <c r="D191" s="488">
        <v>290373.91000000003</v>
      </c>
      <c r="E191" s="488">
        <v>197404.264</v>
      </c>
      <c r="F191" s="488">
        <v>273033.51854833838</v>
      </c>
      <c r="G191" s="488">
        <v>212419.99414529046</v>
      </c>
      <c r="H191" s="294">
        <v>73796.36</v>
      </c>
      <c r="I191" s="488">
        <v>404206.83</v>
      </c>
      <c r="J191" s="488">
        <v>220274.801022222</v>
      </c>
      <c r="K191" s="488">
        <f>K190*0.07345591</f>
        <v>195117.58582465988</v>
      </c>
      <c r="L191" s="488">
        <f>L190*0.06</f>
        <v>169653.77606300003</v>
      </c>
      <c r="M191" s="294">
        <f t="shared" ref="M191:Q191" si="91">M190*0.06</f>
        <v>208538.59684103541</v>
      </c>
      <c r="N191" s="488">
        <f t="shared" si="91"/>
        <v>207586.1962692455</v>
      </c>
      <c r="O191" s="488">
        <f t="shared" si="91"/>
        <v>214391.7412711287</v>
      </c>
      <c r="P191" s="488">
        <f t="shared" si="91"/>
        <v>221275.46482960039</v>
      </c>
      <c r="Q191" s="317">
        <f t="shared" si="91"/>
        <v>217908.73549580795</v>
      </c>
      <c r="R191" s="1268"/>
      <c r="S191" s="339"/>
      <c r="T191" s="327"/>
      <c r="U191" s="327"/>
      <c r="V191" s="327"/>
      <c r="W191" s="1052"/>
      <c r="X191" s="321" t="e">
        <f t="shared" si="83"/>
        <v>#DIV/0!</v>
      </c>
      <c r="Y191" s="339"/>
      <c r="Z191" s="327"/>
      <c r="AA191" s="327"/>
      <c r="AB191" s="327"/>
      <c r="AC191" s="327"/>
      <c r="AD191" s="338" t="e">
        <f t="shared" si="85"/>
        <v>#DIV/0!</v>
      </c>
      <c r="AH191" s="1765"/>
      <c r="AI191" s="1766"/>
      <c r="AJ191" s="1766"/>
      <c r="AK191" s="1766"/>
      <c r="AL191" s="1767"/>
      <c r="AM191" s="1765"/>
      <c r="AN191" s="1766"/>
      <c r="AO191" s="1767"/>
    </row>
    <row r="192" spans="1:41">
      <c r="A192" s="299"/>
      <c r="B192" s="344" t="s">
        <v>159</v>
      </c>
      <c r="C192" s="339"/>
      <c r="D192" s="327"/>
      <c r="E192" s="327"/>
      <c r="F192" s="327"/>
      <c r="G192" s="1052"/>
      <c r="H192" s="339"/>
      <c r="I192" s="327"/>
      <c r="J192" s="327"/>
      <c r="K192" s="327"/>
      <c r="L192" s="1052"/>
      <c r="M192" s="339"/>
      <c r="N192" s="327"/>
      <c r="O192" s="327"/>
      <c r="P192" s="327"/>
      <c r="Q192" s="1052"/>
      <c r="R192" s="1268"/>
      <c r="S192" s="339"/>
      <c r="T192" s="327"/>
      <c r="U192" s="327"/>
      <c r="V192" s="327"/>
      <c r="W192" s="1052"/>
      <c r="X192" s="321" t="e">
        <f t="shared" si="83"/>
        <v>#DIV/0!</v>
      </c>
      <c r="Y192" s="339"/>
      <c r="Z192" s="327"/>
      <c r="AA192" s="327"/>
      <c r="AB192" s="327"/>
      <c r="AC192" s="327"/>
      <c r="AD192" s="338" t="e">
        <f t="shared" si="85"/>
        <v>#DIV/0!</v>
      </c>
      <c r="AH192" s="1765"/>
      <c r="AI192" s="1766"/>
      <c r="AJ192" s="1766"/>
      <c r="AK192" s="1766"/>
      <c r="AL192" s="1767"/>
      <c r="AM192" s="1765"/>
      <c r="AN192" s="1766"/>
      <c r="AO192" s="1767"/>
    </row>
    <row r="193" spans="1:41">
      <c r="A193" s="299"/>
      <c r="B193" s="3106" t="s">
        <v>595</v>
      </c>
      <c r="C193" s="340">
        <f>SUM(C190,C191,C192)</f>
        <v>1548462.14</v>
      </c>
      <c r="D193" s="322">
        <f t="shared" ref="D193:Q193" si="92">SUM(D190,D191,D192)</f>
        <v>2903739.1</v>
      </c>
      <c r="E193" s="322">
        <f t="shared" si="92"/>
        <v>1974042.64</v>
      </c>
      <c r="F193" s="322">
        <f t="shared" si="92"/>
        <v>2730335.1854833835</v>
      </c>
      <c r="G193" s="341">
        <f t="shared" si="92"/>
        <v>2398400.4601517702</v>
      </c>
      <c r="H193" s="340">
        <f t="shared" si="92"/>
        <v>1973875.7574426651</v>
      </c>
      <c r="I193" s="322">
        <f t="shared" si="92"/>
        <v>3043165.0319101103</v>
      </c>
      <c r="J193" s="322">
        <f t="shared" si="92"/>
        <v>4272279.9477777826</v>
      </c>
      <c r="K193" s="322">
        <f t="shared" si="92"/>
        <v>2851372.0087112579</v>
      </c>
      <c r="L193" s="341">
        <f t="shared" si="92"/>
        <v>2997216.7104463335</v>
      </c>
      <c r="M193" s="340">
        <f t="shared" si="92"/>
        <v>3684181.8775249589</v>
      </c>
      <c r="N193" s="322">
        <f t="shared" si="92"/>
        <v>3667356.134090004</v>
      </c>
      <c r="O193" s="322">
        <f t="shared" si="92"/>
        <v>3787587.4291232741</v>
      </c>
      <c r="P193" s="322">
        <f t="shared" si="92"/>
        <v>3909199.8786562737</v>
      </c>
      <c r="Q193" s="341">
        <f t="shared" si="92"/>
        <v>3849720.993759274</v>
      </c>
      <c r="R193" s="1268"/>
      <c r="S193" s="340">
        <v>1942932.9656304319</v>
      </c>
      <c r="T193" s="322">
        <v>2047956.369178023</v>
      </c>
      <c r="U193" s="322">
        <v>2126723.9218387161</v>
      </c>
      <c r="V193" s="322">
        <v>2166107.6981690624</v>
      </c>
      <c r="W193" s="341">
        <v>2113595.9963952671</v>
      </c>
      <c r="X193" s="1087">
        <f t="shared" si="83"/>
        <v>0.11134243380824893</v>
      </c>
      <c r="Y193" s="340">
        <v>1448266.6674634297</v>
      </c>
      <c r="Z193" s="322">
        <v>1443419.0452503946</v>
      </c>
      <c r="AA193" s="322">
        <v>1438571.4230373593</v>
      </c>
      <c r="AB193" s="322">
        <v>1443419.0452503946</v>
      </c>
      <c r="AC193" s="322">
        <v>1438571.4230373593</v>
      </c>
      <c r="AD193" s="1090">
        <f t="shared" si="85"/>
        <v>1.0989170488005366</v>
      </c>
      <c r="AH193" s="340">
        <f>SUM(AH190,AH191,AH192)</f>
        <v>0</v>
      </c>
      <c r="AI193" s="322">
        <f t="shared" ref="AI193:AO193" si="93">SUM(AI190,AI191,AI192)</f>
        <v>0</v>
      </c>
      <c r="AJ193" s="322">
        <f t="shared" si="93"/>
        <v>0</v>
      </c>
      <c r="AK193" s="322">
        <f t="shared" si="93"/>
        <v>0</v>
      </c>
      <c r="AL193" s="341">
        <f t="shared" si="93"/>
        <v>0</v>
      </c>
      <c r="AM193" s="340">
        <f t="shared" si="93"/>
        <v>0</v>
      </c>
      <c r="AN193" s="322">
        <f t="shared" si="93"/>
        <v>0</v>
      </c>
      <c r="AO193" s="341">
        <f t="shared" si="93"/>
        <v>0</v>
      </c>
    </row>
    <row r="194" spans="1:41">
      <c r="A194" s="299"/>
      <c r="B194" s="1966" t="s">
        <v>1531</v>
      </c>
      <c r="C194" s="342"/>
      <c r="D194" s="323"/>
      <c r="E194" s="323"/>
      <c r="F194" s="323"/>
      <c r="G194" s="343"/>
      <c r="H194" s="342"/>
      <c r="I194" s="323"/>
      <c r="J194" s="323"/>
      <c r="K194" s="323"/>
      <c r="L194" s="343"/>
      <c r="M194" s="342">
        <v>600000</v>
      </c>
      <c r="N194" s="323">
        <v>600000</v>
      </c>
      <c r="O194" s="323">
        <v>600000</v>
      </c>
      <c r="P194" s="323">
        <v>600000</v>
      </c>
      <c r="Q194" s="323">
        <v>600000</v>
      </c>
      <c r="R194" s="1268"/>
      <c r="S194" s="342"/>
      <c r="T194" s="323"/>
      <c r="U194" s="323"/>
      <c r="V194" s="323"/>
      <c r="W194" s="343"/>
      <c r="X194" s="1088"/>
      <c r="Y194" s="342"/>
      <c r="Z194" s="323"/>
      <c r="AA194" s="323"/>
      <c r="AB194" s="323"/>
      <c r="AC194" s="323"/>
      <c r="AD194" s="1091"/>
      <c r="AH194" s="336"/>
      <c r="AI194" s="320"/>
      <c r="AJ194" s="320"/>
      <c r="AK194" s="320"/>
      <c r="AL194" s="1051"/>
      <c r="AM194" s="336"/>
      <c r="AN194" s="320"/>
      <c r="AO194" s="1051"/>
    </row>
    <row r="195" spans="1:41" ht="13.5" thickBot="1">
      <c r="A195" s="299"/>
      <c r="B195" s="1441" t="s">
        <v>596</v>
      </c>
      <c r="C195" s="1757">
        <f>C193-C194</f>
        <v>1548462.14</v>
      </c>
      <c r="D195" s="1053">
        <f t="shared" ref="D195:V195" si="94">D193-D194</f>
        <v>2903739.1</v>
      </c>
      <c r="E195" s="1053">
        <f t="shared" si="94"/>
        <v>1974042.64</v>
      </c>
      <c r="F195" s="1053">
        <f t="shared" si="94"/>
        <v>2730335.1854833835</v>
      </c>
      <c r="G195" s="1054">
        <f t="shared" si="94"/>
        <v>2398400.4601517702</v>
      </c>
      <c r="H195" s="1757">
        <f t="shared" si="94"/>
        <v>1973875.7574426651</v>
      </c>
      <c r="I195" s="1053">
        <f t="shared" si="94"/>
        <v>3043165.0319101103</v>
      </c>
      <c r="J195" s="1053">
        <f t="shared" si="94"/>
        <v>4272279.9477777826</v>
      </c>
      <c r="K195" s="1053">
        <f t="shared" si="94"/>
        <v>2851372.0087112579</v>
      </c>
      <c r="L195" s="1054">
        <f t="shared" si="94"/>
        <v>2997216.7104463335</v>
      </c>
      <c r="M195" s="1757">
        <f t="shared" si="94"/>
        <v>3084181.8775249589</v>
      </c>
      <c r="N195" s="1053">
        <f t="shared" si="94"/>
        <v>3067356.134090004</v>
      </c>
      <c r="O195" s="1053">
        <f t="shared" si="94"/>
        <v>3187587.4291232741</v>
      </c>
      <c r="P195" s="1053">
        <f t="shared" si="94"/>
        <v>3309199.8786562737</v>
      </c>
      <c r="Q195" s="1054">
        <f t="shared" si="94"/>
        <v>3249720.993759274</v>
      </c>
      <c r="R195" s="1268"/>
      <c r="S195" s="1757">
        <f t="shared" si="94"/>
        <v>1942932.9656304319</v>
      </c>
      <c r="T195" s="1053">
        <f t="shared" si="94"/>
        <v>2047956.369178023</v>
      </c>
      <c r="U195" s="1053">
        <f t="shared" si="94"/>
        <v>2126723.9218387161</v>
      </c>
      <c r="V195" s="1053">
        <f t="shared" si="94"/>
        <v>2166107.6981690624</v>
      </c>
      <c r="W195" s="1054">
        <f>W193-W194</f>
        <v>2113595.9963952671</v>
      </c>
      <c r="X195" s="1087">
        <f>SUM(C195:G195)/SUM(S195:W195)-1</f>
        <v>0.11134243380824893</v>
      </c>
      <c r="Y195" s="1757">
        <f>Y193-Y194</f>
        <v>1448266.6674634297</v>
      </c>
      <c r="Z195" s="1053">
        <f>Z193-Z194</f>
        <v>1443419.0452503946</v>
      </c>
      <c r="AA195" s="1053">
        <f>AA193-AA194</f>
        <v>1438571.4230373593</v>
      </c>
      <c r="AB195" s="1053">
        <f>AB193-AB194</f>
        <v>1443419.0452503946</v>
      </c>
      <c r="AC195" s="1053">
        <f>AC193-AC194</f>
        <v>1438571.4230373593</v>
      </c>
      <c r="AD195" s="1090">
        <f>SUM(H195:L195)/SUM(Y195:AC195)-1</f>
        <v>1.0989170488005366</v>
      </c>
      <c r="AH195" s="1757">
        <f>AH193-AH194</f>
        <v>0</v>
      </c>
      <c r="AI195" s="1053">
        <f t="shared" ref="AI195:AO195" si="95">AI193-AI194</f>
        <v>0</v>
      </c>
      <c r="AJ195" s="1053">
        <f t="shared" si="95"/>
        <v>0</v>
      </c>
      <c r="AK195" s="1053">
        <f t="shared" si="95"/>
        <v>0</v>
      </c>
      <c r="AL195" s="1054">
        <f t="shared" si="95"/>
        <v>0</v>
      </c>
      <c r="AM195" s="1757">
        <f t="shared" si="95"/>
        <v>0</v>
      </c>
      <c r="AN195" s="1053">
        <f t="shared" si="95"/>
        <v>0</v>
      </c>
      <c r="AO195" s="1054">
        <f t="shared" si="95"/>
        <v>0</v>
      </c>
    </row>
    <row r="196" spans="1:41" s="170" customFormat="1" ht="31.5" customHeight="1" thickBot="1">
      <c r="A196" s="775"/>
      <c r="B196" s="1472" t="s">
        <v>127</v>
      </c>
      <c r="C196" s="300"/>
      <c r="D196" s="1099"/>
      <c r="E196" s="1099"/>
      <c r="F196" s="1099"/>
      <c r="G196" s="1099"/>
      <c r="H196" s="1099"/>
      <c r="I196" s="1099"/>
      <c r="J196" s="1099"/>
      <c r="K196" s="1099"/>
      <c r="L196" s="1099"/>
      <c r="M196" s="1099"/>
      <c r="N196" s="1099"/>
      <c r="O196" s="1099"/>
      <c r="P196" s="1099"/>
      <c r="Q196" s="1100"/>
      <c r="R196" s="1268"/>
      <c r="S196" s="300"/>
      <c r="T196" s="1099"/>
      <c r="U196" s="1099"/>
      <c r="V196" s="1099"/>
      <c r="W196" s="1099"/>
      <c r="X196" s="1099"/>
      <c r="Y196" s="1099"/>
      <c r="Z196" s="1099"/>
      <c r="AA196" s="1099"/>
      <c r="AB196" s="1099"/>
      <c r="AC196" s="1099"/>
      <c r="AD196" s="1100"/>
      <c r="AE196"/>
      <c r="AH196" s="1762"/>
      <c r="AI196" s="1763"/>
      <c r="AJ196" s="1763"/>
      <c r="AK196" s="1763"/>
      <c r="AL196" s="1763"/>
      <c r="AM196" s="1763"/>
      <c r="AN196" s="1763"/>
      <c r="AO196" s="1764"/>
    </row>
    <row r="197" spans="1:41" ht="13.5" thickBot="1">
      <c r="A197" s="1268"/>
      <c r="B197" s="1268"/>
      <c r="C197" s="1268"/>
      <c r="D197" s="1268"/>
      <c r="E197" s="1268"/>
      <c r="F197" s="1268"/>
      <c r="G197" s="1268"/>
      <c r="H197" s="1268"/>
      <c r="I197" s="1268"/>
      <c r="J197" s="1268"/>
      <c r="K197" s="1268"/>
      <c r="L197" s="1268"/>
      <c r="M197" s="1268"/>
      <c r="N197" s="1268"/>
      <c r="O197" s="1268"/>
      <c r="P197" s="1268"/>
      <c r="Q197" s="1268"/>
      <c r="R197" s="1268"/>
      <c r="S197" s="1268"/>
      <c r="T197" s="1268"/>
      <c r="U197" s="1268"/>
      <c r="V197" s="1268"/>
      <c r="W197" s="1268"/>
      <c r="X197" s="1268"/>
      <c r="Y197" s="1268"/>
      <c r="Z197" s="1268"/>
      <c r="AA197" s="1268"/>
      <c r="AB197" s="1268"/>
      <c r="AC197" s="1268"/>
      <c r="AD197" s="1268"/>
      <c r="AH197" s="1268"/>
      <c r="AI197" s="1268"/>
      <c r="AJ197" s="1268"/>
      <c r="AK197" s="1268"/>
      <c r="AL197" s="1268"/>
      <c r="AM197" s="1268"/>
      <c r="AN197" s="1268"/>
      <c r="AO197" s="1268"/>
    </row>
    <row r="198" spans="1:41" ht="16.5" thickBot="1">
      <c r="A198" s="866"/>
      <c r="B198" s="292" t="s">
        <v>352</v>
      </c>
      <c r="C198" s="306"/>
      <c r="D198" s="306"/>
      <c r="E198" s="306"/>
      <c r="F198" s="306"/>
      <c r="G198" s="306"/>
      <c r="H198" s="306"/>
      <c r="I198" s="306"/>
      <c r="J198" s="306"/>
      <c r="K198" s="306"/>
      <c r="L198" s="306"/>
      <c r="M198" s="306"/>
      <c r="N198" s="306"/>
      <c r="O198" s="306"/>
      <c r="P198" s="306"/>
      <c r="Q198" s="307"/>
      <c r="R198" s="1268"/>
      <c r="S198" s="292"/>
      <c r="T198" s="306"/>
      <c r="U198" s="306"/>
      <c r="V198" s="306"/>
      <c r="W198" s="306"/>
      <c r="X198" s="306"/>
      <c r="Y198" s="306"/>
      <c r="Z198" s="306"/>
      <c r="AA198" s="306"/>
      <c r="AB198" s="306"/>
      <c r="AC198" s="306"/>
      <c r="AD198" s="307"/>
      <c r="AH198" s="292"/>
      <c r="AI198" s="306"/>
      <c r="AJ198" s="306"/>
      <c r="AK198" s="306"/>
      <c r="AL198" s="306"/>
      <c r="AM198" s="306"/>
      <c r="AN198" s="306"/>
      <c r="AO198" s="307"/>
    </row>
    <row r="199" spans="1:41">
      <c r="A199" s="299"/>
      <c r="B199" s="328" t="s">
        <v>121</v>
      </c>
      <c r="C199" s="1756">
        <f t="shared" ref="C199:Q199" si="96">C28</f>
        <v>0</v>
      </c>
      <c r="D199" s="330">
        <f t="shared" si="96"/>
        <v>0</v>
      </c>
      <c r="E199" s="330">
        <f t="shared" si="96"/>
        <v>0</v>
      </c>
      <c r="F199" s="330">
        <f t="shared" si="96"/>
        <v>0</v>
      </c>
      <c r="G199" s="1049">
        <f t="shared" si="96"/>
        <v>0</v>
      </c>
      <c r="H199" s="1756">
        <f t="shared" si="96"/>
        <v>7</v>
      </c>
      <c r="I199" s="330">
        <f t="shared" si="96"/>
        <v>6</v>
      </c>
      <c r="J199" s="330">
        <f t="shared" si="96"/>
        <v>14</v>
      </c>
      <c r="K199" s="330">
        <f t="shared" si="96"/>
        <v>9</v>
      </c>
      <c r="L199" s="1049">
        <f t="shared" si="96"/>
        <v>0</v>
      </c>
      <c r="M199" s="1756">
        <f t="shared" si="96"/>
        <v>0</v>
      </c>
      <c r="N199" s="330">
        <f t="shared" si="96"/>
        <v>0</v>
      </c>
      <c r="O199" s="330">
        <f t="shared" si="96"/>
        <v>0</v>
      </c>
      <c r="P199" s="330">
        <f t="shared" si="96"/>
        <v>0</v>
      </c>
      <c r="Q199" s="1049">
        <f t="shared" si="96"/>
        <v>0</v>
      </c>
      <c r="R199" s="1268"/>
      <c r="S199" s="1756">
        <f t="shared" ref="S199:AC199" si="97">S28</f>
        <v>0</v>
      </c>
      <c r="T199" s="330">
        <f t="shared" si="97"/>
        <v>0</v>
      </c>
      <c r="U199" s="330">
        <f t="shared" si="97"/>
        <v>0</v>
      </c>
      <c r="V199" s="330">
        <f t="shared" si="97"/>
        <v>0</v>
      </c>
      <c r="W199" s="1049">
        <f t="shared" si="97"/>
        <v>0</v>
      </c>
      <c r="X199" s="1084" t="e">
        <f t="shared" si="97"/>
        <v>#DIV/0!</v>
      </c>
      <c r="Y199" s="1756">
        <f t="shared" si="97"/>
        <v>0</v>
      </c>
      <c r="Z199" s="330">
        <f t="shared" si="97"/>
        <v>0</v>
      </c>
      <c r="AA199" s="330">
        <f t="shared" si="97"/>
        <v>0</v>
      </c>
      <c r="AB199" s="330">
        <f t="shared" si="97"/>
        <v>0</v>
      </c>
      <c r="AC199" s="330">
        <f t="shared" si="97"/>
        <v>0</v>
      </c>
      <c r="AD199" s="331" t="e">
        <f>SUM(H199:L199)/SUM(Y199:AC199)-1</f>
        <v>#DIV/0!</v>
      </c>
      <c r="AH199" s="1756">
        <f t="shared" ref="AH199:AO199" si="98">AH28</f>
        <v>0</v>
      </c>
      <c r="AI199" s="330">
        <f t="shared" si="98"/>
        <v>0</v>
      </c>
      <c r="AJ199" s="330">
        <f t="shared" si="98"/>
        <v>0</v>
      </c>
      <c r="AK199" s="330">
        <f t="shared" si="98"/>
        <v>0</v>
      </c>
      <c r="AL199" s="1049">
        <f t="shared" si="98"/>
        <v>0</v>
      </c>
      <c r="AM199" s="1756">
        <f t="shared" si="98"/>
        <v>0</v>
      </c>
      <c r="AN199" s="330">
        <f t="shared" si="98"/>
        <v>0</v>
      </c>
      <c r="AO199" s="1049">
        <f t="shared" si="98"/>
        <v>0</v>
      </c>
    </row>
    <row r="200" spans="1:41">
      <c r="A200" s="299"/>
      <c r="B200" s="1443" t="s">
        <v>584</v>
      </c>
      <c r="C200" s="332"/>
      <c r="D200" s="324"/>
      <c r="E200" s="324"/>
      <c r="F200" s="324"/>
      <c r="G200" s="333"/>
      <c r="H200" s="332"/>
      <c r="I200" s="324"/>
      <c r="J200" s="324"/>
      <c r="K200" s="324"/>
      <c r="L200" s="333"/>
      <c r="M200" s="332"/>
      <c r="N200" s="324"/>
      <c r="O200" s="324"/>
      <c r="P200" s="324"/>
      <c r="Q200" s="333"/>
      <c r="R200" s="1268"/>
      <c r="S200" s="332"/>
      <c r="T200" s="324"/>
      <c r="U200" s="324"/>
      <c r="V200" s="324"/>
      <c r="W200" s="333"/>
      <c r="X200" s="324"/>
      <c r="Y200" s="332"/>
      <c r="Z200" s="324"/>
      <c r="AA200" s="324"/>
      <c r="AB200" s="324"/>
      <c r="AC200" s="324"/>
      <c r="AD200" s="333"/>
      <c r="AH200" s="332"/>
      <c r="AI200" s="324"/>
      <c r="AJ200" s="324"/>
      <c r="AK200" s="324"/>
      <c r="AL200" s="333"/>
      <c r="AM200" s="332"/>
      <c r="AN200" s="324"/>
      <c r="AO200" s="333"/>
    </row>
    <row r="201" spans="1:41">
      <c r="A201" s="299"/>
      <c r="B201" s="1444" t="s">
        <v>59</v>
      </c>
      <c r="C201" s="294"/>
      <c r="D201" s="488"/>
      <c r="E201" s="488"/>
      <c r="F201" s="488"/>
      <c r="G201" s="317"/>
      <c r="H201" s="294"/>
      <c r="I201" s="488"/>
      <c r="J201" s="488"/>
      <c r="K201" s="488"/>
      <c r="L201" s="317">
        <v>123423.66516873417</v>
      </c>
      <c r="M201" s="294">
        <v>124150.63055657801</v>
      </c>
      <c r="N201" s="488">
        <v>124074.1078841734</v>
      </c>
      <c r="O201" s="488">
        <v>124341.93723758953</v>
      </c>
      <c r="P201" s="488">
        <v>124762.81193581493</v>
      </c>
      <c r="Q201" s="317">
        <v>124954.11861682645</v>
      </c>
      <c r="R201" s="1268"/>
      <c r="S201" s="294"/>
      <c r="T201" s="488"/>
      <c r="U201" s="488"/>
      <c r="V201" s="488"/>
      <c r="W201" s="317"/>
      <c r="X201" s="1085" t="e">
        <f>SUM(C201:G201)/SUM(S201:W201)-1</f>
        <v>#DIV/0!</v>
      </c>
      <c r="Y201" s="294"/>
      <c r="Z201" s="488"/>
      <c r="AA201" s="488"/>
      <c r="AB201" s="488"/>
      <c r="AC201" s="488"/>
      <c r="AD201" s="1089" t="e">
        <f>SUM(H201:L201)/SUM(Y201:AC201)-1</f>
        <v>#DIV/0!</v>
      </c>
      <c r="AH201" s="297"/>
      <c r="AI201" s="493"/>
      <c r="AJ201" s="493"/>
      <c r="AK201" s="493"/>
      <c r="AL201" s="319"/>
      <c r="AM201" s="297"/>
      <c r="AN201" s="493"/>
      <c r="AO201" s="319"/>
    </row>
    <row r="202" spans="1:41">
      <c r="A202" s="299"/>
      <c r="B202" s="1444" t="s">
        <v>62</v>
      </c>
      <c r="C202" s="294"/>
      <c r="D202" s="488"/>
      <c r="E202" s="488"/>
      <c r="F202" s="488"/>
      <c r="G202" s="317"/>
      <c r="H202" s="294"/>
      <c r="I202" s="488"/>
      <c r="J202" s="488"/>
      <c r="K202" s="488"/>
      <c r="L202" s="317">
        <v>185253.57046352114</v>
      </c>
      <c r="M202" s="294">
        <v>186344.71399355127</v>
      </c>
      <c r="N202" s="488">
        <v>186229.85677986391</v>
      </c>
      <c r="O202" s="488">
        <v>186631.85702776973</v>
      </c>
      <c r="P202" s="488">
        <v>187263.57170305034</v>
      </c>
      <c r="Q202" s="317">
        <v>187550.71473726881</v>
      </c>
      <c r="R202" s="1268"/>
      <c r="S202" s="294"/>
      <c r="T202" s="488"/>
      <c r="U202" s="488"/>
      <c r="V202" s="488"/>
      <c r="W202" s="317"/>
      <c r="X202" s="1085" t="e">
        <f>SUM(C202:G202)/SUM(S202:W202)-1</f>
        <v>#DIV/0!</v>
      </c>
      <c r="Y202" s="294"/>
      <c r="Z202" s="488"/>
      <c r="AA202" s="488"/>
      <c r="AB202" s="488"/>
      <c r="AC202" s="488"/>
      <c r="AD202" s="1089" t="e">
        <f>SUM(H202:L202)/SUM(Y202:AC202)-1</f>
        <v>#DIV/0!</v>
      </c>
      <c r="AH202" s="297"/>
      <c r="AI202" s="493"/>
      <c r="AJ202" s="493"/>
      <c r="AK202" s="493"/>
      <c r="AL202" s="319"/>
      <c r="AM202" s="297"/>
      <c r="AN202" s="493"/>
      <c r="AO202" s="319"/>
    </row>
    <row r="203" spans="1:41">
      <c r="A203" s="299"/>
      <c r="B203" s="1444" t="s">
        <v>63</v>
      </c>
      <c r="C203" s="294"/>
      <c r="D203" s="488"/>
      <c r="E203" s="488"/>
      <c r="F203" s="488"/>
      <c r="G203" s="317"/>
      <c r="H203" s="294"/>
      <c r="I203" s="488"/>
      <c r="J203" s="488"/>
      <c r="K203" s="488"/>
      <c r="L203" s="317">
        <v>193759.82998441131</v>
      </c>
      <c r="M203" s="294">
        <v>194901.07538301949</v>
      </c>
      <c r="N203" s="488">
        <v>194780.94428842916</v>
      </c>
      <c r="O203" s="488">
        <v>195201.40311949531</v>
      </c>
      <c r="P203" s="488">
        <v>195862.12413974217</v>
      </c>
      <c r="Q203" s="317">
        <v>196162.45187621799</v>
      </c>
      <c r="R203" s="1268"/>
      <c r="S203" s="294"/>
      <c r="T203" s="488"/>
      <c r="U203" s="488"/>
      <c r="V203" s="488"/>
      <c r="W203" s="317"/>
      <c r="X203" s="1085" t="e">
        <f>SUM(C203:G203)/SUM(S203:W203)-1</f>
        <v>#DIV/0!</v>
      </c>
      <c r="Y203" s="294"/>
      <c r="Z203" s="488"/>
      <c r="AA203" s="488"/>
      <c r="AB203" s="488"/>
      <c r="AC203" s="488"/>
      <c r="AD203" s="1089" t="e">
        <f>SUM(H203:L203)/SUM(Y203:AC203)-1</f>
        <v>#DIV/0!</v>
      </c>
      <c r="AH203" s="297"/>
      <c r="AI203" s="493"/>
      <c r="AJ203" s="493"/>
      <c r="AK203" s="493"/>
      <c r="AL203" s="319"/>
      <c r="AM203" s="297"/>
      <c r="AN203" s="493"/>
      <c r="AO203" s="319"/>
    </row>
    <row r="204" spans="1:41">
      <c r="A204" s="299"/>
      <c r="B204" s="1446" t="s">
        <v>589</v>
      </c>
      <c r="C204" s="297">
        <f t="shared" ref="C204:W204" si="99">SUM(C201:C203)</f>
        <v>0</v>
      </c>
      <c r="D204" s="493">
        <f t="shared" si="99"/>
        <v>0</v>
      </c>
      <c r="E204" s="493">
        <f t="shared" si="99"/>
        <v>0</v>
      </c>
      <c r="F204" s="493">
        <f t="shared" si="99"/>
        <v>0</v>
      </c>
      <c r="G204" s="319">
        <f t="shared" si="99"/>
        <v>0</v>
      </c>
      <c r="H204" s="297">
        <v>505270</v>
      </c>
      <c r="I204" s="3517"/>
      <c r="J204" s="3517"/>
      <c r="K204" s="493">
        <f>'[5]2.2 Connections'!$C$46</f>
        <v>871141</v>
      </c>
      <c r="L204" s="319">
        <f t="shared" si="99"/>
        <v>502437.06561666663</v>
      </c>
      <c r="M204" s="297">
        <f t="shared" si="99"/>
        <v>505396.41993314878</v>
      </c>
      <c r="N204" s="493">
        <f t="shared" si="99"/>
        <v>505084.9089524665</v>
      </c>
      <c r="O204" s="493">
        <f t="shared" si="99"/>
        <v>506175.1973848546</v>
      </c>
      <c r="P204" s="493">
        <f t="shared" si="99"/>
        <v>507888.50777860743</v>
      </c>
      <c r="Q204" s="319">
        <f t="shared" si="99"/>
        <v>508667.28523031319</v>
      </c>
      <c r="R204" s="1268"/>
      <c r="S204" s="297">
        <f t="shared" si="99"/>
        <v>0</v>
      </c>
      <c r="T204" s="493">
        <f t="shared" si="99"/>
        <v>0</v>
      </c>
      <c r="U204" s="493">
        <f t="shared" si="99"/>
        <v>0</v>
      </c>
      <c r="V204" s="493">
        <f t="shared" si="99"/>
        <v>0</v>
      </c>
      <c r="W204" s="319">
        <f t="shared" si="99"/>
        <v>0</v>
      </c>
      <c r="X204" s="1085" t="e">
        <f>SUM(C204:G204)/SUM(S204:W204)-1</f>
        <v>#DIV/0!</v>
      </c>
      <c r="Y204" s="297">
        <f>SUM(Y201:Y203)</f>
        <v>0</v>
      </c>
      <c r="Z204" s="493">
        <f>SUM(Z201:Z203)</f>
        <v>0</v>
      </c>
      <c r="AA204" s="493">
        <f>SUM(AA201:AA203)</f>
        <v>0</v>
      </c>
      <c r="AB204" s="493">
        <f>SUM(AB201:AB203)</f>
        <v>0</v>
      </c>
      <c r="AC204" s="493">
        <f>SUM(AC201:AC203)</f>
        <v>0</v>
      </c>
      <c r="AD204" s="1089" t="e">
        <f>SUM(H204:L204)/SUM(Y204:AC204)-1</f>
        <v>#DIV/0!</v>
      </c>
      <c r="AH204" s="297">
        <f t="shared" ref="AH204:AO204" si="100">SUM(AH201:AH203)</f>
        <v>0</v>
      </c>
      <c r="AI204" s="493">
        <f t="shared" si="100"/>
        <v>0</v>
      </c>
      <c r="AJ204" s="493">
        <f t="shared" si="100"/>
        <v>0</v>
      </c>
      <c r="AK204" s="493">
        <f t="shared" si="100"/>
        <v>0</v>
      </c>
      <c r="AL204" s="319">
        <f t="shared" si="100"/>
        <v>0</v>
      </c>
      <c r="AM204" s="297">
        <f t="shared" si="100"/>
        <v>0</v>
      </c>
      <c r="AN204" s="493">
        <f t="shared" si="100"/>
        <v>0</v>
      </c>
      <c r="AO204" s="319">
        <f t="shared" si="100"/>
        <v>0</v>
      </c>
    </row>
    <row r="205" spans="1:41">
      <c r="A205" s="299"/>
      <c r="B205" s="1442" t="s">
        <v>585</v>
      </c>
      <c r="C205" s="332"/>
      <c r="D205" s="324"/>
      <c r="E205" s="324"/>
      <c r="F205" s="324"/>
      <c r="G205" s="333"/>
      <c r="H205" s="332"/>
      <c r="I205" s="324"/>
      <c r="J205" s="324"/>
      <c r="K205" s="324"/>
      <c r="L205" s="333"/>
      <c r="M205" s="332"/>
      <c r="N205" s="324"/>
      <c r="O205" s="324"/>
      <c r="P205" s="324"/>
      <c r="Q205" s="333"/>
      <c r="R205" s="1268"/>
      <c r="S205" s="332"/>
      <c r="T205" s="324"/>
      <c r="U205" s="324"/>
      <c r="V205" s="324"/>
      <c r="W205" s="333"/>
      <c r="X205" s="324"/>
      <c r="Y205" s="332"/>
      <c r="Z205" s="324"/>
      <c r="AA205" s="324"/>
      <c r="AB205" s="324"/>
      <c r="AC205" s="324"/>
      <c r="AD205" s="333"/>
      <c r="AH205" s="332"/>
      <c r="AI205" s="324"/>
      <c r="AJ205" s="324"/>
      <c r="AK205" s="324"/>
      <c r="AL205" s="333"/>
      <c r="AM205" s="332"/>
      <c r="AN205" s="324"/>
      <c r="AO205" s="333"/>
    </row>
    <row r="206" spans="1:41">
      <c r="A206" s="299"/>
      <c r="B206" s="329" t="s">
        <v>59</v>
      </c>
      <c r="C206" s="3176"/>
      <c r="D206" s="488"/>
      <c r="E206" s="488"/>
      <c r="F206" s="488"/>
      <c r="G206" s="317"/>
      <c r="H206" s="294"/>
      <c r="I206" s="488"/>
      <c r="J206" s="488"/>
      <c r="K206" s="488"/>
      <c r="L206" s="317"/>
      <c r="M206" s="294"/>
      <c r="N206" s="488"/>
      <c r="O206" s="488"/>
      <c r="P206" s="488"/>
      <c r="Q206" s="317"/>
      <c r="R206" s="1268"/>
      <c r="S206" s="294"/>
      <c r="T206" s="488"/>
      <c r="U206" s="488"/>
      <c r="V206" s="488"/>
      <c r="W206" s="317"/>
      <c r="X206" s="1085" t="e">
        <f>SUM(C206:G206)/SUM(S206:W206)-1</f>
        <v>#DIV/0!</v>
      </c>
      <c r="Y206" s="294"/>
      <c r="Z206" s="488"/>
      <c r="AA206" s="488"/>
      <c r="AB206" s="488"/>
      <c r="AC206" s="488"/>
      <c r="AD206" s="1089" t="e">
        <f>SUM(H206:L206)/SUM(Y206:AC206)-1</f>
        <v>#DIV/0!</v>
      </c>
      <c r="AH206" s="297"/>
      <c r="AI206" s="493"/>
      <c r="AJ206" s="493"/>
      <c r="AK206" s="493"/>
      <c r="AL206" s="319"/>
      <c r="AM206" s="297"/>
      <c r="AN206" s="493"/>
      <c r="AO206" s="319"/>
    </row>
    <row r="207" spans="1:41">
      <c r="A207" s="299"/>
      <c r="B207" s="329" t="s">
        <v>62</v>
      </c>
      <c r="C207" s="3176"/>
      <c r="D207" s="488"/>
      <c r="E207" s="488"/>
      <c r="F207" s="488"/>
      <c r="G207" s="317"/>
      <c r="H207" s="294"/>
      <c r="I207" s="488"/>
      <c r="J207" s="488"/>
      <c r="K207" s="488"/>
      <c r="L207" s="317"/>
      <c r="M207" s="294"/>
      <c r="N207" s="488"/>
      <c r="O207" s="488"/>
      <c r="P207" s="488"/>
      <c r="Q207" s="317"/>
      <c r="R207" s="1268"/>
      <c r="S207" s="294"/>
      <c r="T207" s="488"/>
      <c r="U207" s="488"/>
      <c r="V207" s="488"/>
      <c r="W207" s="317"/>
      <c r="X207" s="1085" t="e">
        <f>SUM(C207:G207)/SUM(S207:W207)-1</f>
        <v>#DIV/0!</v>
      </c>
      <c r="Y207" s="294"/>
      <c r="Z207" s="488"/>
      <c r="AA207" s="488"/>
      <c r="AB207" s="488"/>
      <c r="AC207" s="488"/>
      <c r="AD207" s="1089" t="e">
        <f>SUM(H207:L207)/SUM(Y207:AC207)-1</f>
        <v>#DIV/0!</v>
      </c>
      <c r="AH207" s="297"/>
      <c r="AI207" s="493"/>
      <c r="AJ207" s="493"/>
      <c r="AK207" s="493"/>
      <c r="AL207" s="319"/>
      <c r="AM207" s="297"/>
      <c r="AN207" s="493"/>
      <c r="AO207" s="319"/>
    </row>
    <row r="208" spans="1:41">
      <c r="A208" s="299"/>
      <c r="B208" s="329" t="s">
        <v>63</v>
      </c>
      <c r="C208" s="3176"/>
      <c r="D208" s="488"/>
      <c r="E208" s="488"/>
      <c r="F208" s="488"/>
      <c r="G208" s="317"/>
      <c r="H208" s="294"/>
      <c r="I208" s="488"/>
      <c r="J208" s="488"/>
      <c r="K208" s="488"/>
      <c r="L208" s="317"/>
      <c r="M208" s="294"/>
      <c r="N208" s="488"/>
      <c r="O208" s="488"/>
      <c r="P208" s="488"/>
      <c r="Q208" s="317"/>
      <c r="R208" s="1268"/>
      <c r="S208" s="294"/>
      <c r="T208" s="488"/>
      <c r="U208" s="488"/>
      <c r="V208" s="488"/>
      <c r="W208" s="317"/>
      <c r="X208" s="1085" t="e">
        <f>SUM(C208:G208)/SUM(S208:W208)-1</f>
        <v>#DIV/0!</v>
      </c>
      <c r="Y208" s="294"/>
      <c r="Z208" s="488"/>
      <c r="AA208" s="488"/>
      <c r="AB208" s="488"/>
      <c r="AC208" s="488"/>
      <c r="AD208" s="1089" t="e">
        <f>SUM(H208:L208)/SUM(Y208:AC208)-1</f>
        <v>#DIV/0!</v>
      </c>
      <c r="AH208" s="297"/>
      <c r="AI208" s="493"/>
      <c r="AJ208" s="493"/>
      <c r="AK208" s="493"/>
      <c r="AL208" s="319"/>
      <c r="AM208" s="297"/>
      <c r="AN208" s="493"/>
      <c r="AO208" s="319"/>
    </row>
    <row r="209" spans="1:41">
      <c r="A209" s="299"/>
      <c r="B209" s="1446" t="s">
        <v>586</v>
      </c>
      <c r="C209" s="297">
        <f t="shared" ref="C209:W209" si="101">SUM(C206:C208)</f>
        <v>0</v>
      </c>
      <c r="D209" s="493">
        <f t="shared" si="101"/>
        <v>0</v>
      </c>
      <c r="E209" s="493">
        <f t="shared" si="101"/>
        <v>0</v>
      </c>
      <c r="F209" s="493">
        <f t="shared" si="101"/>
        <v>0</v>
      </c>
      <c r="G209" s="319">
        <f t="shared" si="101"/>
        <v>0</v>
      </c>
      <c r="H209" s="297">
        <f t="shared" si="101"/>
        <v>0</v>
      </c>
      <c r="I209" s="493">
        <f t="shared" si="101"/>
        <v>0</v>
      </c>
      <c r="J209" s="493">
        <f t="shared" si="101"/>
        <v>0</v>
      </c>
      <c r="K209" s="493">
        <f t="shared" si="101"/>
        <v>0</v>
      </c>
      <c r="L209" s="319">
        <f t="shared" si="101"/>
        <v>0</v>
      </c>
      <c r="M209" s="297">
        <f t="shared" si="101"/>
        <v>0</v>
      </c>
      <c r="N209" s="493">
        <f t="shared" si="101"/>
        <v>0</v>
      </c>
      <c r="O209" s="493">
        <f t="shared" si="101"/>
        <v>0</v>
      </c>
      <c r="P209" s="493">
        <f t="shared" si="101"/>
        <v>0</v>
      </c>
      <c r="Q209" s="319">
        <f t="shared" si="101"/>
        <v>0</v>
      </c>
      <c r="R209" s="1268"/>
      <c r="S209" s="297">
        <f t="shared" si="101"/>
        <v>0</v>
      </c>
      <c r="T209" s="493">
        <f t="shared" si="101"/>
        <v>0</v>
      </c>
      <c r="U209" s="493">
        <f t="shared" si="101"/>
        <v>0</v>
      </c>
      <c r="V209" s="493">
        <f t="shared" si="101"/>
        <v>0</v>
      </c>
      <c r="W209" s="319">
        <f t="shared" si="101"/>
        <v>0</v>
      </c>
      <c r="X209" s="1085" t="e">
        <f>SUM(C209:G209)/SUM(S209:W209)-1</f>
        <v>#DIV/0!</v>
      </c>
      <c r="Y209" s="297">
        <f>SUM(Y206:Y208)</f>
        <v>0</v>
      </c>
      <c r="Z209" s="493">
        <f>SUM(Z206:Z208)</f>
        <v>0</v>
      </c>
      <c r="AA209" s="493">
        <f>SUM(AA206:AA208)</f>
        <v>0</v>
      </c>
      <c r="AB209" s="493">
        <f>SUM(AB206:AB208)</f>
        <v>0</v>
      </c>
      <c r="AC209" s="493">
        <f>SUM(AC206:AC208)</f>
        <v>0</v>
      </c>
      <c r="AD209" s="1089" t="e">
        <f>SUM(H209:L209)/SUM(Y209:AC209)-1</f>
        <v>#DIV/0!</v>
      </c>
      <c r="AH209" s="297">
        <f t="shared" ref="AH209:AO209" si="102">SUM(AH206:AH208)</f>
        <v>0</v>
      </c>
      <c r="AI209" s="493">
        <f t="shared" si="102"/>
        <v>0</v>
      </c>
      <c r="AJ209" s="493">
        <f t="shared" si="102"/>
        <v>0</v>
      </c>
      <c r="AK209" s="493">
        <f t="shared" si="102"/>
        <v>0</v>
      </c>
      <c r="AL209" s="319">
        <f t="shared" si="102"/>
        <v>0</v>
      </c>
      <c r="AM209" s="297">
        <f t="shared" si="102"/>
        <v>0</v>
      </c>
      <c r="AN209" s="493">
        <f t="shared" si="102"/>
        <v>0</v>
      </c>
      <c r="AO209" s="319">
        <f t="shared" si="102"/>
        <v>0</v>
      </c>
    </row>
    <row r="210" spans="1:41">
      <c r="A210" s="299"/>
      <c r="B210" s="1445" t="s">
        <v>590</v>
      </c>
      <c r="C210" s="332"/>
      <c r="D210" s="324"/>
      <c r="E210" s="324"/>
      <c r="F210" s="324"/>
      <c r="G210" s="333"/>
      <c r="H210" s="332"/>
      <c r="I210" s="324"/>
      <c r="J210" s="324"/>
      <c r="K210" s="324"/>
      <c r="L210" s="333"/>
      <c r="M210" s="332"/>
      <c r="N210" s="324"/>
      <c r="O210" s="324"/>
      <c r="P210" s="324"/>
      <c r="Q210" s="333"/>
      <c r="R210" s="1268"/>
      <c r="S210" s="332"/>
      <c r="T210" s="324"/>
      <c r="U210" s="324"/>
      <c r="V210" s="324"/>
      <c r="W210" s="333"/>
      <c r="X210" s="324"/>
      <c r="Y210" s="332"/>
      <c r="Z210" s="324"/>
      <c r="AA210" s="324"/>
      <c r="AB210" s="324"/>
      <c r="AC210" s="324"/>
      <c r="AD210" s="333"/>
      <c r="AH210" s="332"/>
      <c r="AI210" s="324"/>
      <c r="AJ210" s="324"/>
      <c r="AK210" s="324"/>
      <c r="AL210" s="333"/>
      <c r="AM210" s="332"/>
      <c r="AN210" s="324"/>
      <c r="AO210" s="333"/>
    </row>
    <row r="211" spans="1:41">
      <c r="A211" s="299"/>
      <c r="B211" s="1444" t="s">
        <v>59</v>
      </c>
      <c r="C211" s="294"/>
      <c r="D211" s="488"/>
      <c r="E211" s="488"/>
      <c r="F211" s="488"/>
      <c r="G211" s="317"/>
      <c r="H211" s="294"/>
      <c r="I211" s="488"/>
      <c r="J211" s="488"/>
      <c r="K211" s="488"/>
      <c r="L211" s="317"/>
      <c r="M211" s="294"/>
      <c r="N211" s="488"/>
      <c r="O211" s="488"/>
      <c r="P211" s="488"/>
      <c r="Q211" s="317"/>
      <c r="R211" s="1268"/>
      <c r="S211" s="294"/>
      <c r="T211" s="488"/>
      <c r="U211" s="488"/>
      <c r="V211" s="488"/>
      <c r="W211" s="317"/>
      <c r="X211" s="1085" t="e">
        <f>SUM(C211:G211)/SUM(S211:W211)-1</f>
        <v>#DIV/0!</v>
      </c>
      <c r="Y211" s="294"/>
      <c r="Z211" s="488"/>
      <c r="AA211" s="488"/>
      <c r="AB211" s="488"/>
      <c r="AC211" s="488"/>
      <c r="AD211" s="1089" t="e">
        <f>SUM(H211:L211)/SUM(Y211:AC211)-1</f>
        <v>#DIV/0!</v>
      </c>
      <c r="AH211" s="297"/>
      <c r="AI211" s="493"/>
      <c r="AJ211" s="493"/>
      <c r="AK211" s="493"/>
      <c r="AL211" s="319"/>
      <c r="AM211" s="297"/>
      <c r="AN211" s="493"/>
      <c r="AO211" s="319"/>
    </row>
    <row r="212" spans="1:41">
      <c r="A212" s="299"/>
      <c r="B212" s="1444" t="s">
        <v>62</v>
      </c>
      <c r="C212" s="294"/>
      <c r="D212" s="488"/>
      <c r="E212" s="488"/>
      <c r="F212" s="488"/>
      <c r="G212" s="317"/>
      <c r="H212" s="294"/>
      <c r="I212" s="488"/>
      <c r="J212" s="488"/>
      <c r="K212" s="488"/>
      <c r="L212" s="317"/>
      <c r="M212" s="294"/>
      <c r="N212" s="488"/>
      <c r="O212" s="488"/>
      <c r="P212" s="488"/>
      <c r="Q212" s="317"/>
      <c r="R212" s="1268"/>
      <c r="S212" s="294"/>
      <c r="T212" s="488"/>
      <c r="U212" s="488"/>
      <c r="V212" s="488"/>
      <c r="W212" s="317"/>
      <c r="X212" s="1085" t="e">
        <f>SUM(C212:G212)/SUM(S212:W212)-1</f>
        <v>#DIV/0!</v>
      </c>
      <c r="Y212" s="294"/>
      <c r="Z212" s="488"/>
      <c r="AA212" s="488"/>
      <c r="AB212" s="488"/>
      <c r="AC212" s="488"/>
      <c r="AD212" s="1089" t="e">
        <f>SUM(H212:L212)/SUM(Y212:AC212)-1</f>
        <v>#DIV/0!</v>
      </c>
      <c r="AH212" s="297"/>
      <c r="AI212" s="493"/>
      <c r="AJ212" s="493"/>
      <c r="AK212" s="493"/>
      <c r="AL212" s="319"/>
      <c r="AM212" s="297"/>
      <c r="AN212" s="493"/>
      <c r="AO212" s="319"/>
    </row>
    <row r="213" spans="1:41">
      <c r="A213" s="299"/>
      <c r="B213" s="1444" t="s">
        <v>63</v>
      </c>
      <c r="C213" s="294"/>
      <c r="D213" s="488"/>
      <c r="E213" s="488"/>
      <c r="F213" s="488"/>
      <c r="G213" s="317"/>
      <c r="H213" s="294"/>
      <c r="I213" s="488"/>
      <c r="J213" s="488"/>
      <c r="K213" s="488"/>
      <c r="L213" s="317"/>
      <c r="M213" s="294"/>
      <c r="N213" s="488"/>
      <c r="O213" s="488"/>
      <c r="P213" s="488"/>
      <c r="Q213" s="317"/>
      <c r="R213" s="1268"/>
      <c r="S213" s="294"/>
      <c r="T213" s="488"/>
      <c r="U213" s="488"/>
      <c r="V213" s="488"/>
      <c r="W213" s="317"/>
      <c r="X213" s="1085" t="e">
        <f>SUM(C213:G213)/SUM(S213:W213)-1</f>
        <v>#DIV/0!</v>
      </c>
      <c r="Y213" s="294"/>
      <c r="Z213" s="488"/>
      <c r="AA213" s="488"/>
      <c r="AB213" s="488"/>
      <c r="AC213" s="488"/>
      <c r="AD213" s="1089" t="e">
        <f>SUM(H213:L213)/SUM(Y213:AC213)-1</f>
        <v>#DIV/0!</v>
      </c>
      <c r="AH213" s="297"/>
      <c r="AI213" s="493"/>
      <c r="AJ213" s="493"/>
      <c r="AK213" s="493"/>
      <c r="AL213" s="319"/>
      <c r="AM213" s="297"/>
      <c r="AN213" s="493"/>
      <c r="AO213" s="319"/>
    </row>
    <row r="214" spans="1:41">
      <c r="A214" s="299"/>
      <c r="B214" s="1446" t="s">
        <v>591</v>
      </c>
      <c r="C214" s="297">
        <f t="shared" ref="C214:W214" si="103">SUM(C211:C213)</f>
        <v>0</v>
      </c>
      <c r="D214" s="493">
        <f t="shared" si="103"/>
        <v>0</v>
      </c>
      <c r="E214" s="493">
        <f t="shared" si="103"/>
        <v>0</v>
      </c>
      <c r="F214" s="493">
        <f t="shared" si="103"/>
        <v>0</v>
      </c>
      <c r="G214" s="319">
        <f t="shared" si="103"/>
        <v>0</v>
      </c>
      <c r="H214" s="297">
        <f t="shared" si="103"/>
        <v>0</v>
      </c>
      <c r="I214" s="493">
        <f t="shared" si="103"/>
        <v>0</v>
      </c>
      <c r="J214" s="493">
        <f t="shared" si="103"/>
        <v>0</v>
      </c>
      <c r="K214" s="493">
        <f t="shared" si="103"/>
        <v>0</v>
      </c>
      <c r="L214" s="319">
        <f t="shared" si="103"/>
        <v>0</v>
      </c>
      <c r="M214" s="297">
        <f t="shared" si="103"/>
        <v>0</v>
      </c>
      <c r="N214" s="493">
        <f t="shared" si="103"/>
        <v>0</v>
      </c>
      <c r="O214" s="493">
        <f t="shared" si="103"/>
        <v>0</v>
      </c>
      <c r="P214" s="493">
        <f t="shared" si="103"/>
        <v>0</v>
      </c>
      <c r="Q214" s="319">
        <f t="shared" si="103"/>
        <v>0</v>
      </c>
      <c r="R214" s="1268"/>
      <c r="S214" s="297">
        <f t="shared" si="103"/>
        <v>0</v>
      </c>
      <c r="T214" s="493">
        <f t="shared" si="103"/>
        <v>0</v>
      </c>
      <c r="U214" s="493">
        <f t="shared" si="103"/>
        <v>0</v>
      </c>
      <c r="V214" s="493">
        <f t="shared" si="103"/>
        <v>0</v>
      </c>
      <c r="W214" s="319">
        <f t="shared" si="103"/>
        <v>0</v>
      </c>
      <c r="X214" s="1085" t="e">
        <f>SUM(C214:G214)/SUM(S214:W214)-1</f>
        <v>#DIV/0!</v>
      </c>
      <c r="Y214" s="297">
        <f>SUM(Y211:Y213)</f>
        <v>0</v>
      </c>
      <c r="Z214" s="493">
        <f>SUM(Z211:Z213)</f>
        <v>0</v>
      </c>
      <c r="AA214" s="493">
        <f>SUM(AA211:AA213)</f>
        <v>0</v>
      </c>
      <c r="AB214" s="493">
        <f>SUM(AB211:AB213)</f>
        <v>0</v>
      </c>
      <c r="AC214" s="493">
        <f>SUM(AC211:AC213)</f>
        <v>0</v>
      </c>
      <c r="AD214" s="1089" t="e">
        <f>SUM(H214:L214)/SUM(Y214:AC214)-1</f>
        <v>#DIV/0!</v>
      </c>
      <c r="AH214" s="297">
        <f t="shared" ref="AH214:AO214" si="104">SUM(AH211:AH213)</f>
        <v>0</v>
      </c>
      <c r="AI214" s="493">
        <f t="shared" si="104"/>
        <v>0</v>
      </c>
      <c r="AJ214" s="493">
        <f t="shared" si="104"/>
        <v>0</v>
      </c>
      <c r="AK214" s="493">
        <f t="shared" si="104"/>
        <v>0</v>
      </c>
      <c r="AL214" s="319">
        <f t="shared" si="104"/>
        <v>0</v>
      </c>
      <c r="AM214" s="297">
        <f t="shared" si="104"/>
        <v>0</v>
      </c>
      <c r="AN214" s="493">
        <f t="shared" si="104"/>
        <v>0</v>
      </c>
      <c r="AO214" s="319">
        <f t="shared" si="104"/>
        <v>0</v>
      </c>
    </row>
    <row r="215" spans="1:41">
      <c r="A215" s="299"/>
      <c r="B215" s="1448" t="s">
        <v>592</v>
      </c>
      <c r="C215" s="332"/>
      <c r="D215" s="324"/>
      <c r="E215" s="324"/>
      <c r="F215" s="324"/>
      <c r="G215" s="333"/>
      <c r="H215" s="332"/>
      <c r="I215" s="324"/>
      <c r="J215" s="324"/>
      <c r="K215" s="324"/>
      <c r="L215" s="333"/>
      <c r="M215" s="332"/>
      <c r="N215" s="324"/>
      <c r="O215" s="324"/>
      <c r="P215" s="324"/>
      <c r="Q215" s="333"/>
      <c r="R215" s="1268"/>
      <c r="S215" s="332"/>
      <c r="T215" s="324"/>
      <c r="U215" s="324"/>
      <c r="V215" s="324"/>
      <c r="W215" s="333"/>
      <c r="X215" s="324"/>
      <c r="Y215" s="332"/>
      <c r="Z215" s="324"/>
      <c r="AA215" s="324"/>
      <c r="AB215" s="324"/>
      <c r="AC215" s="324"/>
      <c r="AD215" s="333"/>
      <c r="AH215" s="332"/>
      <c r="AI215" s="324"/>
      <c r="AJ215" s="324"/>
      <c r="AK215" s="324"/>
      <c r="AL215" s="333"/>
      <c r="AM215" s="332"/>
      <c r="AN215" s="324"/>
      <c r="AO215" s="333"/>
    </row>
    <row r="216" spans="1:41">
      <c r="A216" s="299"/>
      <c r="B216" s="1449" t="s">
        <v>59</v>
      </c>
      <c r="C216" s="336">
        <f t="shared" ref="C216:W218" si="105">C206+C201+C211</f>
        <v>0</v>
      </c>
      <c r="D216" s="320">
        <f t="shared" si="105"/>
        <v>0</v>
      </c>
      <c r="E216" s="320">
        <f t="shared" si="105"/>
        <v>0</v>
      </c>
      <c r="F216" s="320">
        <f t="shared" si="105"/>
        <v>0</v>
      </c>
      <c r="G216" s="1051">
        <f t="shared" si="105"/>
        <v>0</v>
      </c>
      <c r="H216" s="336">
        <f t="shared" si="105"/>
        <v>0</v>
      </c>
      <c r="I216" s="320">
        <f t="shared" si="105"/>
        <v>0</v>
      </c>
      <c r="J216" s="320">
        <f t="shared" si="105"/>
        <v>0</v>
      </c>
      <c r="K216" s="320">
        <f t="shared" si="105"/>
        <v>0</v>
      </c>
      <c r="L216" s="1051">
        <f t="shared" si="105"/>
        <v>123423.66516873417</v>
      </c>
      <c r="M216" s="336">
        <f t="shared" si="105"/>
        <v>124150.63055657801</v>
      </c>
      <c r="N216" s="320">
        <f t="shared" si="105"/>
        <v>124074.1078841734</v>
      </c>
      <c r="O216" s="320">
        <f t="shared" si="105"/>
        <v>124341.93723758953</v>
      </c>
      <c r="P216" s="320">
        <f t="shared" si="105"/>
        <v>124762.81193581493</v>
      </c>
      <c r="Q216" s="1051">
        <f t="shared" si="105"/>
        <v>124954.11861682645</v>
      </c>
      <c r="R216" s="1268"/>
      <c r="S216" s="336">
        <f t="shared" si="105"/>
        <v>0</v>
      </c>
      <c r="T216" s="320">
        <f t="shared" si="105"/>
        <v>0</v>
      </c>
      <c r="U216" s="320">
        <f t="shared" si="105"/>
        <v>0</v>
      </c>
      <c r="V216" s="320">
        <f t="shared" si="105"/>
        <v>0</v>
      </c>
      <c r="W216" s="1051">
        <f t="shared" si="105"/>
        <v>0</v>
      </c>
      <c r="X216" s="321" t="e">
        <f t="shared" ref="X216:X222" si="106">SUM(C216:G216)/SUM(S216:W216)-1</f>
        <v>#DIV/0!</v>
      </c>
      <c r="Y216" s="336">
        <f t="shared" ref="Y216:AC218" si="107">Y206+Y201+Y211</f>
        <v>0</v>
      </c>
      <c r="Z216" s="320">
        <f t="shared" si="107"/>
        <v>0</v>
      </c>
      <c r="AA216" s="320">
        <f t="shared" si="107"/>
        <v>0</v>
      </c>
      <c r="AB216" s="320">
        <f t="shared" si="107"/>
        <v>0</v>
      </c>
      <c r="AC216" s="320">
        <f t="shared" si="107"/>
        <v>0</v>
      </c>
      <c r="AD216" s="338" t="e">
        <f t="shared" ref="AD216:AD222" si="108">SUM(H216:L216)/SUM(Y216:AC216)-1</f>
        <v>#DIV/0!</v>
      </c>
      <c r="AH216" s="336">
        <f t="shared" ref="AH216:AO216" si="109">AH206+AH201+AH211</f>
        <v>0</v>
      </c>
      <c r="AI216" s="320">
        <f t="shared" si="109"/>
        <v>0</v>
      </c>
      <c r="AJ216" s="320">
        <f t="shared" si="109"/>
        <v>0</v>
      </c>
      <c r="AK216" s="320">
        <f t="shared" si="109"/>
        <v>0</v>
      </c>
      <c r="AL216" s="1051">
        <f t="shared" si="109"/>
        <v>0</v>
      </c>
      <c r="AM216" s="336">
        <f t="shared" si="109"/>
        <v>0</v>
      </c>
      <c r="AN216" s="320">
        <f t="shared" si="109"/>
        <v>0</v>
      </c>
      <c r="AO216" s="1051">
        <f t="shared" si="109"/>
        <v>0</v>
      </c>
    </row>
    <row r="217" spans="1:41">
      <c r="A217" s="299"/>
      <c r="B217" s="1449" t="s">
        <v>62</v>
      </c>
      <c r="C217" s="336">
        <f t="shared" si="105"/>
        <v>0</v>
      </c>
      <c r="D217" s="320">
        <f t="shared" si="105"/>
        <v>0</v>
      </c>
      <c r="E217" s="320">
        <f t="shared" si="105"/>
        <v>0</v>
      </c>
      <c r="F217" s="320">
        <f t="shared" si="105"/>
        <v>0</v>
      </c>
      <c r="G217" s="1051">
        <f t="shared" si="105"/>
        <v>0</v>
      </c>
      <c r="H217" s="336">
        <f t="shared" si="105"/>
        <v>0</v>
      </c>
      <c r="I217" s="320">
        <f t="shared" si="105"/>
        <v>0</v>
      </c>
      <c r="J217" s="320">
        <f t="shared" si="105"/>
        <v>0</v>
      </c>
      <c r="K217" s="320">
        <f t="shared" si="105"/>
        <v>0</v>
      </c>
      <c r="L217" s="1051">
        <f t="shared" si="105"/>
        <v>185253.57046352114</v>
      </c>
      <c r="M217" s="336">
        <f t="shared" si="105"/>
        <v>186344.71399355127</v>
      </c>
      <c r="N217" s="320">
        <f t="shared" si="105"/>
        <v>186229.85677986391</v>
      </c>
      <c r="O217" s="320">
        <f t="shared" si="105"/>
        <v>186631.85702776973</v>
      </c>
      <c r="P217" s="320">
        <f t="shared" si="105"/>
        <v>187263.57170305034</v>
      </c>
      <c r="Q217" s="1051">
        <f t="shared" si="105"/>
        <v>187550.71473726881</v>
      </c>
      <c r="R217" s="1268"/>
      <c r="S217" s="336">
        <f t="shared" si="105"/>
        <v>0</v>
      </c>
      <c r="T217" s="320">
        <f t="shared" si="105"/>
        <v>0</v>
      </c>
      <c r="U217" s="320">
        <f t="shared" si="105"/>
        <v>0</v>
      </c>
      <c r="V217" s="320">
        <f t="shared" si="105"/>
        <v>0</v>
      </c>
      <c r="W217" s="1051">
        <f t="shared" si="105"/>
        <v>0</v>
      </c>
      <c r="X217" s="321" t="e">
        <f t="shared" si="106"/>
        <v>#DIV/0!</v>
      </c>
      <c r="Y217" s="336">
        <f t="shared" si="107"/>
        <v>0</v>
      </c>
      <c r="Z217" s="320">
        <f t="shared" si="107"/>
        <v>0</v>
      </c>
      <c r="AA217" s="320">
        <f t="shared" si="107"/>
        <v>0</v>
      </c>
      <c r="AB217" s="320">
        <f t="shared" si="107"/>
        <v>0</v>
      </c>
      <c r="AC217" s="320">
        <f t="shared" si="107"/>
        <v>0</v>
      </c>
      <c r="AD217" s="338" t="e">
        <f t="shared" si="108"/>
        <v>#DIV/0!</v>
      </c>
      <c r="AH217" s="336">
        <f t="shared" ref="AH217:AO217" si="110">AH207+AH202+AH212</f>
        <v>0</v>
      </c>
      <c r="AI217" s="320">
        <f t="shared" si="110"/>
        <v>0</v>
      </c>
      <c r="AJ217" s="320">
        <f t="shared" si="110"/>
        <v>0</v>
      </c>
      <c r="AK217" s="320">
        <f t="shared" si="110"/>
        <v>0</v>
      </c>
      <c r="AL217" s="1051">
        <f t="shared" si="110"/>
        <v>0</v>
      </c>
      <c r="AM217" s="336">
        <f t="shared" si="110"/>
        <v>0</v>
      </c>
      <c r="AN217" s="320">
        <f t="shared" si="110"/>
        <v>0</v>
      </c>
      <c r="AO217" s="1051">
        <f t="shared" si="110"/>
        <v>0</v>
      </c>
    </row>
    <row r="218" spans="1:41">
      <c r="A218" s="299"/>
      <c r="B218" s="1449" t="s">
        <v>63</v>
      </c>
      <c r="C218" s="336">
        <f t="shared" si="105"/>
        <v>0</v>
      </c>
      <c r="D218" s="320">
        <f t="shared" si="105"/>
        <v>0</v>
      </c>
      <c r="E218" s="320">
        <f t="shared" si="105"/>
        <v>0</v>
      </c>
      <c r="F218" s="320">
        <f t="shared" si="105"/>
        <v>0</v>
      </c>
      <c r="G218" s="1051">
        <f t="shared" si="105"/>
        <v>0</v>
      </c>
      <c r="H218" s="336">
        <f t="shared" si="105"/>
        <v>0</v>
      </c>
      <c r="I218" s="320">
        <f t="shared" si="105"/>
        <v>0</v>
      </c>
      <c r="J218" s="320">
        <f t="shared" si="105"/>
        <v>0</v>
      </c>
      <c r="K218" s="320">
        <f t="shared" si="105"/>
        <v>0</v>
      </c>
      <c r="L218" s="1051">
        <f t="shared" si="105"/>
        <v>193759.82998441131</v>
      </c>
      <c r="M218" s="336">
        <f t="shared" si="105"/>
        <v>194901.07538301949</v>
      </c>
      <c r="N218" s="320">
        <f t="shared" si="105"/>
        <v>194780.94428842916</v>
      </c>
      <c r="O218" s="320">
        <f t="shared" si="105"/>
        <v>195201.40311949531</v>
      </c>
      <c r="P218" s="320">
        <f t="shared" si="105"/>
        <v>195862.12413974217</v>
      </c>
      <c r="Q218" s="1051">
        <f t="shared" si="105"/>
        <v>196162.45187621799</v>
      </c>
      <c r="R218" s="1268"/>
      <c r="S218" s="336">
        <f t="shared" si="105"/>
        <v>0</v>
      </c>
      <c r="T218" s="320">
        <f t="shared" si="105"/>
        <v>0</v>
      </c>
      <c r="U218" s="320">
        <f t="shared" si="105"/>
        <v>0</v>
      </c>
      <c r="V218" s="320">
        <f t="shared" si="105"/>
        <v>0</v>
      </c>
      <c r="W218" s="1051">
        <f t="shared" si="105"/>
        <v>0</v>
      </c>
      <c r="X218" s="321" t="e">
        <f t="shared" si="106"/>
        <v>#DIV/0!</v>
      </c>
      <c r="Y218" s="336">
        <f t="shared" si="107"/>
        <v>0</v>
      </c>
      <c r="Z218" s="320">
        <f t="shared" si="107"/>
        <v>0</v>
      </c>
      <c r="AA218" s="320">
        <f t="shared" si="107"/>
        <v>0</v>
      </c>
      <c r="AB218" s="320">
        <f t="shared" si="107"/>
        <v>0</v>
      </c>
      <c r="AC218" s="320">
        <f t="shared" si="107"/>
        <v>0</v>
      </c>
      <c r="AD218" s="338" t="e">
        <f t="shared" si="108"/>
        <v>#DIV/0!</v>
      </c>
      <c r="AH218" s="336">
        <f t="shared" ref="AH218:AO218" si="111">AH208+AH203+AH213</f>
        <v>0</v>
      </c>
      <c r="AI218" s="320">
        <f t="shared" si="111"/>
        <v>0</v>
      </c>
      <c r="AJ218" s="320">
        <f t="shared" si="111"/>
        <v>0</v>
      </c>
      <c r="AK218" s="320">
        <f t="shared" si="111"/>
        <v>0</v>
      </c>
      <c r="AL218" s="1051">
        <f t="shared" si="111"/>
        <v>0</v>
      </c>
      <c r="AM218" s="336">
        <f t="shared" si="111"/>
        <v>0</v>
      </c>
      <c r="AN218" s="320">
        <f t="shared" si="111"/>
        <v>0</v>
      </c>
      <c r="AO218" s="1051">
        <f t="shared" si="111"/>
        <v>0</v>
      </c>
    </row>
    <row r="219" spans="1:41">
      <c r="A219" s="299"/>
      <c r="B219" s="1450" t="s">
        <v>592</v>
      </c>
      <c r="C219" s="345">
        <f>SUM(C216:C218)</f>
        <v>0</v>
      </c>
      <c r="D219" s="346">
        <f t="shared" ref="D219:V219" si="112">SUM(D216:D218)</f>
        <v>0</v>
      </c>
      <c r="E219" s="346">
        <f t="shared" si="112"/>
        <v>0</v>
      </c>
      <c r="F219" s="346">
        <f t="shared" si="112"/>
        <v>0</v>
      </c>
      <c r="G219" s="347">
        <f t="shared" si="112"/>
        <v>0</v>
      </c>
      <c r="H219" s="345">
        <f>H204+H209+H214</f>
        <v>505270</v>
      </c>
      <c r="I219" s="346">
        <f>I204+I209+I214</f>
        <v>0</v>
      </c>
      <c r="J219" s="346">
        <f>J204+J209+J214</f>
        <v>0</v>
      </c>
      <c r="K219" s="346">
        <f>K204+K209+K214</f>
        <v>871141</v>
      </c>
      <c r="L219" s="347">
        <f>L204+L209+L214</f>
        <v>502437.06561666663</v>
      </c>
      <c r="M219" s="345">
        <f t="shared" si="112"/>
        <v>505396.41993314878</v>
      </c>
      <c r="N219" s="346">
        <f t="shared" si="112"/>
        <v>505084.9089524665</v>
      </c>
      <c r="O219" s="346">
        <f t="shared" si="112"/>
        <v>506175.1973848546</v>
      </c>
      <c r="P219" s="346">
        <f t="shared" si="112"/>
        <v>507888.50777860743</v>
      </c>
      <c r="Q219" s="347">
        <f t="shared" si="112"/>
        <v>508667.28523031319</v>
      </c>
      <c r="R219" s="1268"/>
      <c r="S219" s="345">
        <f t="shared" si="112"/>
        <v>0</v>
      </c>
      <c r="T219" s="346">
        <f t="shared" si="112"/>
        <v>0</v>
      </c>
      <c r="U219" s="346">
        <f t="shared" si="112"/>
        <v>0</v>
      </c>
      <c r="V219" s="346">
        <f t="shared" si="112"/>
        <v>0</v>
      </c>
      <c r="W219" s="347">
        <f>SUM(W216:W218)</f>
        <v>0</v>
      </c>
      <c r="X219" s="1086" t="e">
        <f t="shared" si="106"/>
        <v>#DIV/0!</v>
      </c>
      <c r="Y219" s="345">
        <f>SUM(Y216:Y218)</f>
        <v>0</v>
      </c>
      <c r="Z219" s="346">
        <f>SUM(Z216:Z218)</f>
        <v>0</v>
      </c>
      <c r="AA219" s="346">
        <f>SUM(AA216:AA218)</f>
        <v>0</v>
      </c>
      <c r="AB219" s="346">
        <f>SUM(AB216:AB218)</f>
        <v>0</v>
      </c>
      <c r="AC219" s="346">
        <f>SUM(AC216:AC218)</f>
        <v>0</v>
      </c>
      <c r="AD219" s="347" t="e">
        <f t="shared" si="108"/>
        <v>#DIV/0!</v>
      </c>
      <c r="AH219" s="345">
        <f>SUM(AH216:AH218)</f>
        <v>0</v>
      </c>
      <c r="AI219" s="346">
        <f t="shared" ref="AI219:AO219" si="113">SUM(AI216:AI218)</f>
        <v>0</v>
      </c>
      <c r="AJ219" s="346">
        <f t="shared" si="113"/>
        <v>0</v>
      </c>
      <c r="AK219" s="346">
        <f t="shared" si="113"/>
        <v>0</v>
      </c>
      <c r="AL219" s="347">
        <f t="shared" si="113"/>
        <v>0</v>
      </c>
      <c r="AM219" s="345">
        <f t="shared" si="113"/>
        <v>0</v>
      </c>
      <c r="AN219" s="346">
        <f t="shared" si="113"/>
        <v>0</v>
      </c>
      <c r="AO219" s="347">
        <f t="shared" si="113"/>
        <v>0</v>
      </c>
    </row>
    <row r="220" spans="1:41">
      <c r="A220" s="299"/>
      <c r="B220" s="1447" t="s">
        <v>593</v>
      </c>
      <c r="C220" s="339"/>
      <c r="D220" s="327"/>
      <c r="E220" s="327"/>
      <c r="F220" s="327"/>
      <c r="G220" s="1052"/>
      <c r="H220" s="294"/>
      <c r="I220" s="488"/>
      <c r="J220" s="488"/>
      <c r="K220" s="488">
        <f>K219*0.07345591</f>
        <v>63990.454893310001</v>
      </c>
      <c r="L220" s="1052">
        <f>L219*0.06</f>
        <v>30146.223936999995</v>
      </c>
      <c r="M220" s="294">
        <f t="shared" ref="M220:Q220" si="114">M219*0.06</f>
        <v>30323.785195988927</v>
      </c>
      <c r="N220" s="488">
        <f t="shared" si="114"/>
        <v>30305.09453714799</v>
      </c>
      <c r="O220" s="488">
        <f t="shared" si="114"/>
        <v>30370.511843091273</v>
      </c>
      <c r="P220" s="488">
        <f t="shared" si="114"/>
        <v>30473.310466716444</v>
      </c>
      <c r="Q220" s="1052">
        <f t="shared" si="114"/>
        <v>30520.037113818791</v>
      </c>
      <c r="R220" s="1268"/>
      <c r="S220" s="339"/>
      <c r="T220" s="327"/>
      <c r="U220" s="327"/>
      <c r="V220" s="327"/>
      <c r="W220" s="1052"/>
      <c r="X220" s="321" t="e">
        <f t="shared" si="106"/>
        <v>#DIV/0!</v>
      </c>
      <c r="Y220" s="339"/>
      <c r="Z220" s="327"/>
      <c r="AA220" s="327"/>
      <c r="AB220" s="327"/>
      <c r="AC220" s="327"/>
      <c r="AD220" s="338" t="e">
        <f t="shared" si="108"/>
        <v>#DIV/0!</v>
      </c>
      <c r="AH220" s="1765"/>
      <c r="AI220" s="1766"/>
      <c r="AJ220" s="1766"/>
      <c r="AK220" s="1766"/>
      <c r="AL220" s="1767"/>
      <c r="AM220" s="1765"/>
      <c r="AN220" s="1766"/>
      <c r="AO220" s="1767"/>
    </row>
    <row r="221" spans="1:41">
      <c r="A221" s="299"/>
      <c r="B221" s="344" t="s">
        <v>159</v>
      </c>
      <c r="C221" s="339"/>
      <c r="D221" s="327"/>
      <c r="E221" s="327"/>
      <c r="F221" s="327"/>
      <c r="G221" s="1052"/>
      <c r="H221" s="339"/>
      <c r="I221" s="327"/>
      <c r="J221" s="327"/>
      <c r="K221" s="327"/>
      <c r="L221" s="1052"/>
      <c r="M221" s="339"/>
      <c r="N221" s="327"/>
      <c r="O221" s="327"/>
      <c r="P221" s="327"/>
      <c r="Q221" s="1052"/>
      <c r="R221" s="1268"/>
      <c r="S221" s="339"/>
      <c r="T221" s="327"/>
      <c r="U221" s="327"/>
      <c r="V221" s="327"/>
      <c r="W221" s="1052"/>
      <c r="X221" s="321" t="e">
        <f t="shared" si="106"/>
        <v>#DIV/0!</v>
      </c>
      <c r="Y221" s="339"/>
      <c r="Z221" s="327"/>
      <c r="AA221" s="327"/>
      <c r="AB221" s="327"/>
      <c r="AC221" s="327"/>
      <c r="AD221" s="338" t="e">
        <f t="shared" si="108"/>
        <v>#DIV/0!</v>
      </c>
      <c r="AH221" s="1765"/>
      <c r="AI221" s="1766"/>
      <c r="AJ221" s="1766"/>
      <c r="AK221" s="1766"/>
      <c r="AL221" s="1767"/>
      <c r="AM221" s="1765"/>
      <c r="AN221" s="1766"/>
      <c r="AO221" s="1767"/>
    </row>
    <row r="222" spans="1:41">
      <c r="A222" s="299"/>
      <c r="B222" s="3106" t="s">
        <v>597</v>
      </c>
      <c r="C222" s="340">
        <f>SUM(C219,C220,C221)</f>
        <v>0</v>
      </c>
      <c r="D222" s="322">
        <f t="shared" ref="D222:Q222" si="115">SUM(D219,D220,D221)</f>
        <v>0</v>
      </c>
      <c r="E222" s="322">
        <f t="shared" si="115"/>
        <v>0</v>
      </c>
      <c r="F222" s="322">
        <f t="shared" si="115"/>
        <v>0</v>
      </c>
      <c r="G222" s="341">
        <f t="shared" si="115"/>
        <v>0</v>
      </c>
      <c r="H222" s="340">
        <f t="shared" si="115"/>
        <v>505270</v>
      </c>
      <c r="I222" s="322">
        <f t="shared" si="115"/>
        <v>0</v>
      </c>
      <c r="J222" s="322">
        <f t="shared" si="115"/>
        <v>0</v>
      </c>
      <c r="K222" s="322">
        <f t="shared" si="115"/>
        <v>935131.45489330997</v>
      </c>
      <c r="L222" s="341">
        <f t="shared" si="115"/>
        <v>532583.2895536666</v>
      </c>
      <c r="M222" s="340">
        <f t="shared" si="115"/>
        <v>535720.20512913773</v>
      </c>
      <c r="N222" s="322">
        <f t="shared" si="115"/>
        <v>535390.00348961446</v>
      </c>
      <c r="O222" s="322">
        <f t="shared" si="115"/>
        <v>536545.70922794589</v>
      </c>
      <c r="P222" s="322">
        <f t="shared" si="115"/>
        <v>538361.81824532384</v>
      </c>
      <c r="Q222" s="341">
        <f t="shared" si="115"/>
        <v>539187.322344132</v>
      </c>
      <c r="R222" s="1268"/>
      <c r="S222" s="340">
        <f>SUM(S219,S220,S221)</f>
        <v>0</v>
      </c>
      <c r="T222" s="322">
        <f>SUM(T219,T220,T221)</f>
        <v>0</v>
      </c>
      <c r="U222" s="322">
        <f>SUM(U219,U220,U221)</f>
        <v>0</v>
      </c>
      <c r="V222" s="322">
        <f>SUM(V219,V220,V221)</f>
        <v>0</v>
      </c>
      <c r="W222" s="341">
        <f>SUM(W219,W220,W221)</f>
        <v>0</v>
      </c>
      <c r="X222" s="1087" t="e">
        <f t="shared" si="106"/>
        <v>#DIV/0!</v>
      </c>
      <c r="Y222" s="340">
        <f>SUM(Y219,Y220,Y221)</f>
        <v>0</v>
      </c>
      <c r="Z222" s="322">
        <f>SUM(Z219,Z220,Z221)</f>
        <v>0</v>
      </c>
      <c r="AA222" s="322">
        <f>SUM(AA219,AA220,AA221)</f>
        <v>0</v>
      </c>
      <c r="AB222" s="322">
        <f>SUM(AB219,AB220,AB221)</f>
        <v>0</v>
      </c>
      <c r="AC222" s="322">
        <f>SUM(AC219,AC220,AC221)</f>
        <v>0</v>
      </c>
      <c r="AD222" s="1090" t="e">
        <f t="shared" si="108"/>
        <v>#DIV/0!</v>
      </c>
      <c r="AH222" s="1768">
        <f>SUM(AH219,AH220,AH221)</f>
        <v>0</v>
      </c>
      <c r="AI222" s="1769">
        <f t="shared" ref="AI222:AO222" si="116">SUM(AI219,AI220,AI221)</f>
        <v>0</v>
      </c>
      <c r="AJ222" s="1769">
        <f t="shared" si="116"/>
        <v>0</v>
      </c>
      <c r="AK222" s="1769">
        <f t="shared" si="116"/>
        <v>0</v>
      </c>
      <c r="AL222" s="1770">
        <f t="shared" si="116"/>
        <v>0</v>
      </c>
      <c r="AM222" s="1768">
        <f t="shared" si="116"/>
        <v>0</v>
      </c>
      <c r="AN222" s="1769">
        <f t="shared" si="116"/>
        <v>0</v>
      </c>
      <c r="AO222" s="1770">
        <f t="shared" si="116"/>
        <v>0</v>
      </c>
    </row>
    <row r="223" spans="1:41">
      <c r="A223" s="299"/>
      <c r="B223" s="1966" t="s">
        <v>35</v>
      </c>
      <c r="C223" s="342"/>
      <c r="D223" s="323"/>
      <c r="E223" s="323"/>
      <c r="F223" s="323"/>
      <c r="G223" s="343"/>
      <c r="H223" s="342"/>
      <c r="I223" s="323"/>
      <c r="J223" s="323"/>
      <c r="K223" s="323"/>
      <c r="L223" s="343"/>
      <c r="M223" s="342"/>
      <c r="N223" s="323"/>
      <c r="O223" s="323"/>
      <c r="P223" s="323"/>
      <c r="Q223" s="343"/>
      <c r="R223" s="1268"/>
      <c r="S223" s="342"/>
      <c r="T223" s="323"/>
      <c r="U223" s="323"/>
      <c r="V223" s="323"/>
      <c r="W223" s="343"/>
      <c r="X223" s="1088"/>
      <c r="Y223" s="342"/>
      <c r="Z223" s="323"/>
      <c r="AA223" s="323"/>
      <c r="AB223" s="323"/>
      <c r="AC223" s="323"/>
      <c r="AD223" s="1091"/>
      <c r="AH223" s="336"/>
      <c r="AI223" s="320"/>
      <c r="AJ223" s="320"/>
      <c r="AK223" s="320"/>
      <c r="AL223" s="1051"/>
      <c r="AM223" s="336"/>
      <c r="AN223" s="320"/>
      <c r="AO223" s="1051"/>
    </row>
    <row r="224" spans="1:41" ht="13.5" thickBot="1">
      <c r="A224" s="299"/>
      <c r="B224" s="1441" t="s">
        <v>598</v>
      </c>
      <c r="C224" s="1757">
        <f>C222-C223</f>
        <v>0</v>
      </c>
      <c r="D224" s="1053">
        <f t="shared" ref="D224:V224" si="117">D222-D223</f>
        <v>0</v>
      </c>
      <c r="E224" s="1053">
        <f t="shared" si="117"/>
        <v>0</v>
      </c>
      <c r="F224" s="1053">
        <f t="shared" si="117"/>
        <v>0</v>
      </c>
      <c r="G224" s="1054">
        <f t="shared" si="117"/>
        <v>0</v>
      </c>
      <c r="H224" s="1757">
        <f t="shared" si="117"/>
        <v>505270</v>
      </c>
      <c r="I224" s="1053">
        <f t="shared" si="117"/>
        <v>0</v>
      </c>
      <c r="J224" s="1053">
        <f t="shared" si="117"/>
        <v>0</v>
      </c>
      <c r="K224" s="1053">
        <f t="shared" si="117"/>
        <v>935131.45489330997</v>
      </c>
      <c r="L224" s="1054">
        <f t="shared" si="117"/>
        <v>532583.2895536666</v>
      </c>
      <c r="M224" s="1757">
        <f t="shared" si="117"/>
        <v>535720.20512913773</v>
      </c>
      <c r="N224" s="1053">
        <f t="shared" si="117"/>
        <v>535390.00348961446</v>
      </c>
      <c r="O224" s="1053">
        <f t="shared" si="117"/>
        <v>536545.70922794589</v>
      </c>
      <c r="P224" s="1053">
        <f t="shared" si="117"/>
        <v>538361.81824532384</v>
      </c>
      <c r="Q224" s="1054">
        <f t="shared" si="117"/>
        <v>539187.322344132</v>
      </c>
      <c r="R224" s="1268"/>
      <c r="S224" s="1757">
        <f t="shared" si="117"/>
        <v>0</v>
      </c>
      <c r="T224" s="1053">
        <f t="shared" si="117"/>
        <v>0</v>
      </c>
      <c r="U224" s="1053">
        <f t="shared" si="117"/>
        <v>0</v>
      </c>
      <c r="V224" s="1053">
        <f t="shared" si="117"/>
        <v>0</v>
      </c>
      <c r="W224" s="1054">
        <f>W222-W223</f>
        <v>0</v>
      </c>
      <c r="X224" s="1087" t="e">
        <f>SUM(C224:G224)/SUM(S224:W224)-1</f>
        <v>#DIV/0!</v>
      </c>
      <c r="Y224" s="1757">
        <f>Y222-Y223</f>
        <v>0</v>
      </c>
      <c r="Z224" s="1053">
        <f>Z222-Z223</f>
        <v>0</v>
      </c>
      <c r="AA224" s="1053">
        <f>AA222-AA223</f>
        <v>0</v>
      </c>
      <c r="AB224" s="1053">
        <f>AB222-AB223</f>
        <v>0</v>
      </c>
      <c r="AC224" s="1053">
        <f>AC222-AC223</f>
        <v>0</v>
      </c>
      <c r="AD224" s="1090" t="e">
        <f>SUM(H224:L224)/SUM(Y224:AC224)-1</f>
        <v>#DIV/0!</v>
      </c>
      <c r="AH224" s="1757">
        <f>AH222-AH223</f>
        <v>0</v>
      </c>
      <c r="AI224" s="1053">
        <f t="shared" ref="AI224:AO224" si="118">AI222-AI223</f>
        <v>0</v>
      </c>
      <c r="AJ224" s="1053">
        <f t="shared" si="118"/>
        <v>0</v>
      </c>
      <c r="AK224" s="1053">
        <f t="shared" si="118"/>
        <v>0</v>
      </c>
      <c r="AL224" s="1054">
        <f t="shared" si="118"/>
        <v>0</v>
      </c>
      <c r="AM224" s="1757">
        <f t="shared" si="118"/>
        <v>0</v>
      </c>
      <c r="AN224" s="1053">
        <f t="shared" si="118"/>
        <v>0</v>
      </c>
      <c r="AO224" s="1054">
        <f t="shared" si="118"/>
        <v>0</v>
      </c>
    </row>
    <row r="225" spans="1:44" s="170" customFormat="1" ht="31.5" customHeight="1" thickBot="1">
      <c r="A225" s="775"/>
      <c r="B225" s="1472" t="s">
        <v>127</v>
      </c>
      <c r="C225" s="300"/>
      <c r="D225" s="1099"/>
      <c r="E225" s="1099"/>
      <c r="F225" s="1099"/>
      <c r="G225" s="1099"/>
      <c r="H225" s="1099"/>
      <c r="I225" s="1099"/>
      <c r="J225" s="1099"/>
      <c r="K225" s="1099"/>
      <c r="L225" s="1099"/>
      <c r="M225" s="1099"/>
      <c r="N225" s="1099"/>
      <c r="O225" s="1099"/>
      <c r="P225" s="1099"/>
      <c r="Q225" s="1100"/>
      <c r="R225" s="1268"/>
      <c r="S225" s="300"/>
      <c r="T225" s="1099"/>
      <c r="U225" s="1099"/>
      <c r="V225" s="1099"/>
      <c r="W225" s="1099"/>
      <c r="X225" s="1099"/>
      <c r="Y225" s="1099"/>
      <c r="Z225" s="1099"/>
      <c r="AA225" s="1099"/>
      <c r="AB225" s="1099"/>
      <c r="AC225" s="1099"/>
      <c r="AD225" s="1100"/>
      <c r="AE225"/>
      <c r="AH225" s="1762"/>
      <c r="AI225" s="1763"/>
      <c r="AJ225" s="1763"/>
      <c r="AK225" s="1763"/>
      <c r="AL225" s="1763"/>
      <c r="AM225" s="1763"/>
      <c r="AN225" s="1763"/>
      <c r="AO225" s="1764"/>
    </row>
    <row r="226" spans="1:44" ht="13.5" thickBot="1">
      <c r="A226" s="1268"/>
      <c r="B226" s="1268"/>
      <c r="C226" s="1268"/>
      <c r="D226" s="1268"/>
      <c r="E226" s="1268"/>
      <c r="F226" s="1268"/>
      <c r="G226" s="1268"/>
      <c r="H226" s="1268"/>
      <c r="I226" s="1268"/>
      <c r="J226" s="1268"/>
      <c r="K226" s="3518"/>
      <c r="L226" s="1268"/>
      <c r="M226" s="1268"/>
      <c r="N226" s="1268"/>
      <c r="O226" s="1268"/>
      <c r="P226" s="1268"/>
      <c r="Q226" s="1268"/>
      <c r="R226" s="1268"/>
      <c r="S226" s="1268"/>
      <c r="T226" s="1268"/>
      <c r="U226" s="1268"/>
      <c r="V226" s="1268"/>
      <c r="W226" s="1268"/>
      <c r="X226" s="1268"/>
      <c r="Y226" s="1268"/>
      <c r="Z226" s="1268"/>
      <c r="AA226" s="1268"/>
      <c r="AB226" s="1268"/>
      <c r="AC226" s="1268"/>
      <c r="AD226" s="1268"/>
      <c r="AH226" s="1268"/>
      <c r="AI226" s="1268"/>
      <c r="AJ226" s="1268"/>
      <c r="AK226" s="1268"/>
      <c r="AL226" s="1268"/>
      <c r="AM226" s="1268"/>
      <c r="AN226" s="1268"/>
      <c r="AO226" s="1268"/>
    </row>
    <row r="227" spans="1:44" ht="16.5" thickBot="1">
      <c r="A227" s="866"/>
      <c r="B227" s="292" t="s">
        <v>583</v>
      </c>
      <c r="C227" s="306"/>
      <c r="D227" s="306"/>
      <c r="E227" s="306"/>
      <c r="F227" s="306"/>
      <c r="G227" s="306"/>
      <c r="H227" s="306"/>
      <c r="I227" s="306"/>
      <c r="J227" s="306"/>
      <c r="K227" s="306"/>
      <c r="L227" s="306"/>
      <c r="M227" s="306"/>
      <c r="N227" s="306"/>
      <c r="O227" s="306"/>
      <c r="P227" s="306"/>
      <c r="Q227" s="307"/>
      <c r="R227" s="1268"/>
      <c r="S227" s="292"/>
      <c r="T227" s="306"/>
      <c r="U227" s="306"/>
      <c r="V227" s="306"/>
      <c r="W227" s="306"/>
      <c r="X227" s="306"/>
      <c r="Y227" s="306"/>
      <c r="Z227" s="306"/>
      <c r="AA227" s="306"/>
      <c r="AB227" s="306"/>
      <c r="AC227" s="306"/>
      <c r="AD227" s="307"/>
      <c r="AH227" s="292"/>
      <c r="AI227" s="306"/>
      <c r="AJ227" s="306"/>
      <c r="AK227" s="306"/>
      <c r="AL227" s="306"/>
      <c r="AM227" s="306"/>
      <c r="AN227" s="306"/>
      <c r="AO227" s="307"/>
    </row>
    <row r="228" spans="1:44">
      <c r="A228" s="299"/>
      <c r="B228" s="364" t="s">
        <v>592</v>
      </c>
      <c r="C228" s="1745">
        <f t="shared" ref="C228:Q230" si="119">SUM(C103,C132,C161,C190,C219)</f>
        <v>17104639.634999998</v>
      </c>
      <c r="D228" s="366">
        <f t="shared" si="119"/>
        <v>20082823.127000012</v>
      </c>
      <c r="E228" s="366">
        <f t="shared" si="119"/>
        <v>13612045.887000008</v>
      </c>
      <c r="F228" s="366">
        <f t="shared" si="119"/>
        <v>15941924.104935048</v>
      </c>
      <c r="G228" s="1067">
        <f>SUM(G103,G132,G161,G190,G219)</f>
        <v>16652985.111361075</v>
      </c>
      <c r="H228" s="1745">
        <f t="shared" si="119"/>
        <v>16648012.09050001</v>
      </c>
      <c r="I228" s="366">
        <f t="shared" si="119"/>
        <v>19028162.441414427</v>
      </c>
      <c r="J228" s="366">
        <f t="shared" si="119"/>
        <v>22617682.941550527</v>
      </c>
      <c r="K228" s="366">
        <f t="shared" si="119"/>
        <v>22713375.497528151</v>
      </c>
      <c r="L228" s="366">
        <f t="shared" si="119"/>
        <v>20810000.000000007</v>
      </c>
      <c r="M228" s="1745">
        <f t="shared" si="119"/>
        <v>22750203.482029531</v>
      </c>
      <c r="N228" s="366">
        <f t="shared" si="119"/>
        <v>21752620.642136883</v>
      </c>
      <c r="O228" s="366">
        <f t="shared" si="119"/>
        <v>20996594.250828404</v>
      </c>
      <c r="P228" s="366">
        <f t="shared" si="119"/>
        <v>21480899.963646356</v>
      </c>
      <c r="Q228" s="1067">
        <f t="shared" si="119"/>
        <v>22046897.70830163</v>
      </c>
      <c r="R228" s="1268"/>
      <c r="S228" s="1745">
        <f>SUM(S103,S135,S161,S193,S219)</f>
        <v>15149625.961739991</v>
      </c>
      <c r="T228" s="1745">
        <f>SUM(T103,T135,T161,T193,T219)</f>
        <v>16199859.997215899</v>
      </c>
      <c r="U228" s="1745">
        <f>SUM(U103,U135,U161,U193,U219)</f>
        <v>16882512.12027524</v>
      </c>
      <c r="V228" s="1745">
        <f>SUM(V103,V135,V161,V193,V219)</f>
        <v>17670187.646882173</v>
      </c>
      <c r="W228" s="1745">
        <f>SUM(W103,W135,W161,W193,W219)</f>
        <v>16987535.523822829</v>
      </c>
      <c r="X228" s="1081">
        <f t="shared" ref="X228:X233" si="120">SUM(C228:G228)/SUM(S228:W228)-1</f>
        <v>6.0887720184050753E-3</v>
      </c>
      <c r="Y228" s="1745">
        <f>SUM(Y103,Y135,Y161,Y193,Y219)</f>
        <v>15478377.62818839</v>
      </c>
      <c r="Z228" s="1745">
        <f>SUM(Z103,Z135,Z161,Z193,Z219)</f>
        <v>17319085.599849302</v>
      </c>
      <c r="AA228" s="1745">
        <f>SUM(AA103,AA135,AA161,AA193,AA219)</f>
        <v>17272773.116946269</v>
      </c>
      <c r="AB228" s="1745">
        <f>SUM(AB103,AB135,AB161,AB193,AB219)</f>
        <v>16822505.746896971</v>
      </c>
      <c r="AC228" s="1745">
        <f>SUM(AC103,AC135,AC161,AC193,AC219)</f>
        <v>16867341.424486991</v>
      </c>
      <c r="AD228" s="1746">
        <f t="shared" ref="AD228:AD233" si="121">SUM(H228:L228)/SUM(Y228:AC228)-1</f>
        <v>0.2155817985914088</v>
      </c>
      <c r="AH228" s="365">
        <f t="shared" ref="AH228:AO228" si="122">SUM(AH103,AH132,AH161,AH190,AH219)</f>
        <v>0</v>
      </c>
      <c r="AI228" s="366">
        <f t="shared" si="122"/>
        <v>0</v>
      </c>
      <c r="AJ228" s="366">
        <f t="shared" si="122"/>
        <v>0</v>
      </c>
      <c r="AK228" s="366">
        <f t="shared" si="122"/>
        <v>0</v>
      </c>
      <c r="AL228" s="1067">
        <f t="shared" si="122"/>
        <v>0</v>
      </c>
      <c r="AM228" s="365">
        <f t="shared" si="122"/>
        <v>0</v>
      </c>
      <c r="AN228" s="366">
        <f t="shared" si="122"/>
        <v>0</v>
      </c>
      <c r="AO228" s="366">
        <f t="shared" si="122"/>
        <v>0</v>
      </c>
    </row>
    <row r="229" spans="1:44">
      <c r="A229" s="299"/>
      <c r="B229" s="3647" t="s">
        <v>593</v>
      </c>
      <c r="C229" s="536">
        <f t="shared" si="119"/>
        <v>1900515.5149999999</v>
      </c>
      <c r="D229" s="537">
        <f t="shared" si="119"/>
        <v>-197464.09699999966</v>
      </c>
      <c r="E229" s="537">
        <f t="shared" si="119"/>
        <v>1512449.5430000008</v>
      </c>
      <c r="F229" s="537">
        <f t="shared" si="119"/>
        <v>1771324.9005483389</v>
      </c>
      <c r="G229" s="573">
        <f t="shared" si="119"/>
        <v>1618233.5187906954</v>
      </c>
      <c r="H229" s="536">
        <f t="shared" si="119"/>
        <v>864994.17999999993</v>
      </c>
      <c r="I229" s="537">
        <f t="shared" si="119"/>
        <v>944674.32000000007</v>
      </c>
      <c r="J229" s="537">
        <f t="shared" si="119"/>
        <v>1206192.9495464035</v>
      </c>
      <c r="K229" s="537">
        <f t="shared" si="119"/>
        <v>1337993.0663954874</v>
      </c>
      <c r="L229" s="537">
        <f t="shared" si="119"/>
        <v>1248600.0000000005</v>
      </c>
      <c r="M229" s="536">
        <f t="shared" si="119"/>
        <v>1365012.2089217717</v>
      </c>
      <c r="N229" s="537">
        <f t="shared" si="119"/>
        <v>1305157.238528213</v>
      </c>
      <c r="O229" s="537">
        <f t="shared" si="119"/>
        <v>1259795.6550497042</v>
      </c>
      <c r="P229" s="537">
        <f t="shared" si="119"/>
        <v>1288853.9978187813</v>
      </c>
      <c r="Q229" s="573">
        <f t="shared" si="119"/>
        <v>1322813.8624980981</v>
      </c>
      <c r="R229" s="1268"/>
      <c r="S229" s="536">
        <f t="shared" ref="S229:W230" si="123">SUM(S104,S133,S162,S191,S220)</f>
        <v>0</v>
      </c>
      <c r="T229" s="537">
        <f t="shared" si="123"/>
        <v>0</v>
      </c>
      <c r="U229" s="537">
        <f t="shared" si="123"/>
        <v>0</v>
      </c>
      <c r="V229" s="537">
        <f t="shared" si="123"/>
        <v>0</v>
      </c>
      <c r="W229" s="573">
        <f t="shared" si="123"/>
        <v>0</v>
      </c>
      <c r="X229" s="1082" t="e">
        <f t="shared" si="120"/>
        <v>#DIV/0!</v>
      </c>
      <c r="Y229" s="536">
        <f>Y228*0.04194</f>
        <v>649163.15772622102</v>
      </c>
      <c r="Z229" s="536">
        <f>Z228*0.04194</f>
        <v>726362.45005767967</v>
      </c>
      <c r="AA229" s="536">
        <f>AA228*0.04194</f>
        <v>724420.10452472651</v>
      </c>
      <c r="AB229" s="536">
        <f>AB228*0.04194</f>
        <v>705535.89102485892</v>
      </c>
      <c r="AC229" s="536">
        <f>AC228*0.04194</f>
        <v>707416.29934298433</v>
      </c>
      <c r="AD229" s="1747">
        <f t="shared" si="121"/>
        <v>0.59482417968179258</v>
      </c>
      <c r="AH229" s="536">
        <f t="shared" ref="AH229:AO229" si="124">SUM(AH104,AH133,AH162,AH191,AH220)</f>
        <v>0</v>
      </c>
      <c r="AI229" s="537">
        <f t="shared" si="124"/>
        <v>0</v>
      </c>
      <c r="AJ229" s="537">
        <f t="shared" si="124"/>
        <v>0</v>
      </c>
      <c r="AK229" s="537">
        <f t="shared" si="124"/>
        <v>0</v>
      </c>
      <c r="AL229" s="573">
        <f t="shared" si="124"/>
        <v>0</v>
      </c>
      <c r="AM229" s="536">
        <f t="shared" si="124"/>
        <v>0</v>
      </c>
      <c r="AN229" s="537">
        <f t="shared" si="124"/>
        <v>0</v>
      </c>
      <c r="AO229" s="537">
        <f t="shared" si="124"/>
        <v>0</v>
      </c>
    </row>
    <row r="230" spans="1:44">
      <c r="A230" s="299"/>
      <c r="B230" s="3647" t="s">
        <v>159</v>
      </c>
      <c r="C230" s="536">
        <f t="shared" si="119"/>
        <v>0</v>
      </c>
      <c r="D230" s="537">
        <f t="shared" si="119"/>
        <v>0</v>
      </c>
      <c r="E230" s="537">
        <f t="shared" si="119"/>
        <v>0</v>
      </c>
      <c r="F230" s="537">
        <f t="shared" si="119"/>
        <v>0</v>
      </c>
      <c r="G230" s="573">
        <f t="shared" si="119"/>
        <v>0</v>
      </c>
      <c r="H230" s="536">
        <f t="shared" si="119"/>
        <v>0</v>
      </c>
      <c r="I230" s="537">
        <f t="shared" si="119"/>
        <v>0</v>
      </c>
      <c r="J230" s="537">
        <f t="shared" si="119"/>
        <v>0</v>
      </c>
      <c r="K230" s="537">
        <f t="shared" si="119"/>
        <v>0</v>
      </c>
      <c r="L230" s="537">
        <f t="shared" si="119"/>
        <v>0</v>
      </c>
      <c r="M230" s="536">
        <f t="shared" si="119"/>
        <v>0</v>
      </c>
      <c r="N230" s="537">
        <f t="shared" si="119"/>
        <v>0</v>
      </c>
      <c r="O230" s="537">
        <f t="shared" si="119"/>
        <v>0</v>
      </c>
      <c r="P230" s="537">
        <f t="shared" si="119"/>
        <v>0</v>
      </c>
      <c r="Q230" s="573">
        <f t="shared" si="119"/>
        <v>0</v>
      </c>
      <c r="R230" s="1268"/>
      <c r="S230" s="536">
        <f t="shared" si="123"/>
        <v>0</v>
      </c>
      <c r="T230" s="537">
        <f t="shared" si="123"/>
        <v>0</v>
      </c>
      <c r="U230" s="537">
        <f t="shared" si="123"/>
        <v>0</v>
      </c>
      <c r="V230" s="537">
        <f t="shared" si="123"/>
        <v>0</v>
      </c>
      <c r="W230" s="573">
        <f t="shared" si="123"/>
        <v>0</v>
      </c>
      <c r="X230" s="1082" t="e">
        <f t="shared" si="120"/>
        <v>#DIV/0!</v>
      </c>
      <c r="Y230" s="536">
        <f>SUM(Y105,Y134,Y163,Y192,Y221)</f>
        <v>0</v>
      </c>
      <c r="Z230" s="537">
        <f>SUM(Z105,Z134,Z163,Z192,Z221)</f>
        <v>0</v>
      </c>
      <c r="AA230" s="537">
        <f>SUM(AA105,AA134,AA163,AA192,AA221)</f>
        <v>0</v>
      </c>
      <c r="AB230" s="537">
        <f>SUM(AB105,AB134,AB163,AB192,AB221)</f>
        <v>0</v>
      </c>
      <c r="AC230" s="537">
        <f>SUM(AC105,AC134,AC163,AC192,AC221)</f>
        <v>0</v>
      </c>
      <c r="AD230" s="1747" t="e">
        <f t="shared" si="121"/>
        <v>#DIV/0!</v>
      </c>
      <c r="AH230" s="536">
        <f t="shared" ref="AH230:AO230" si="125">SUM(AH105,AH134,AH163,AH192,AH221)</f>
        <v>0</v>
      </c>
      <c r="AI230" s="537">
        <f t="shared" si="125"/>
        <v>0</v>
      </c>
      <c r="AJ230" s="537">
        <f t="shared" si="125"/>
        <v>0</v>
      </c>
      <c r="AK230" s="537">
        <f t="shared" si="125"/>
        <v>0</v>
      </c>
      <c r="AL230" s="573">
        <f t="shared" si="125"/>
        <v>0</v>
      </c>
      <c r="AM230" s="536">
        <f t="shared" si="125"/>
        <v>0</v>
      </c>
      <c r="AN230" s="537">
        <f t="shared" si="125"/>
        <v>0</v>
      </c>
      <c r="AO230" s="537">
        <f t="shared" si="125"/>
        <v>0</v>
      </c>
    </row>
    <row r="231" spans="1:44">
      <c r="A231" s="299"/>
      <c r="B231" s="884" t="s">
        <v>599</v>
      </c>
      <c r="C231" s="367">
        <f>SUM(C228,C229,C230)</f>
        <v>19005155.149999999</v>
      </c>
      <c r="D231" s="368">
        <f t="shared" ref="D231:Q231" si="126">SUM(D228,D229,D230)</f>
        <v>19885359.030000012</v>
      </c>
      <c r="E231" s="368">
        <f t="shared" si="126"/>
        <v>15124495.430000009</v>
      </c>
      <c r="F231" s="368">
        <f t="shared" si="126"/>
        <v>17713249.005483389</v>
      </c>
      <c r="G231" s="1068">
        <f t="shared" si="126"/>
        <v>18271218.630151771</v>
      </c>
      <c r="H231" s="367">
        <f t="shared" si="126"/>
        <v>17513006.270500012</v>
      </c>
      <c r="I231" s="368">
        <f t="shared" si="126"/>
        <v>19972836.761414427</v>
      </c>
      <c r="J231" s="368">
        <f t="shared" si="126"/>
        <v>23823875.891096931</v>
      </c>
      <c r="K231" s="368">
        <f t="shared" si="126"/>
        <v>24051368.563923638</v>
      </c>
      <c r="L231" s="368">
        <f t="shared" si="126"/>
        <v>22058600.000000007</v>
      </c>
      <c r="M231" s="367">
        <f t="shared" si="126"/>
        <v>24115215.690951303</v>
      </c>
      <c r="N231" s="368">
        <f t="shared" si="126"/>
        <v>23057777.880665097</v>
      </c>
      <c r="O231" s="368">
        <f t="shared" si="126"/>
        <v>22256389.905878108</v>
      </c>
      <c r="P231" s="368">
        <f t="shared" si="126"/>
        <v>22769753.961465139</v>
      </c>
      <c r="Q231" s="1068">
        <f t="shared" si="126"/>
        <v>23369711.570799727</v>
      </c>
      <c r="R231" s="1268"/>
      <c r="S231" s="367">
        <f>SUM(S228,S229,S230)</f>
        <v>15149625.961739991</v>
      </c>
      <c r="T231" s="368">
        <f>SUM(T228,T229,T230)</f>
        <v>16199859.997215899</v>
      </c>
      <c r="U231" s="368">
        <f>SUM(U228,U229,U230)</f>
        <v>16882512.12027524</v>
      </c>
      <c r="V231" s="368">
        <f>SUM(V228,V229,V230)</f>
        <v>17670187.646882173</v>
      </c>
      <c r="W231" s="1068">
        <f>SUM(W228,W229,W230)</f>
        <v>16987535.523822829</v>
      </c>
      <c r="X231" s="1083">
        <f t="shared" si="120"/>
        <v>8.5773674811393086E-2</v>
      </c>
      <c r="Y231" s="367">
        <f>SUM(Y228,Y229,Y230)</f>
        <v>16127540.785914611</v>
      </c>
      <c r="Z231" s="368">
        <f>SUM(Z228,Z229,Z230)</f>
        <v>18045448.04990698</v>
      </c>
      <c r="AA231" s="368">
        <f>SUM(AA228,AA229,AA230)</f>
        <v>17997193.221470997</v>
      </c>
      <c r="AB231" s="368">
        <f>SUM(AB228,AB229,AB230)</f>
        <v>17528041.637921829</v>
      </c>
      <c r="AC231" s="368">
        <f>SUM(AC228,AC229,AC230)</f>
        <v>17574757.723829977</v>
      </c>
      <c r="AD231" s="1748">
        <f t="shared" si="121"/>
        <v>0.23084700144659287</v>
      </c>
      <c r="AH231" s="367">
        <f>SUM(AH228,AH229,AH230)</f>
        <v>0</v>
      </c>
      <c r="AI231" s="368">
        <f t="shared" ref="AI231:AO231" si="127">SUM(AI228,AI229,AI230)</f>
        <v>0</v>
      </c>
      <c r="AJ231" s="368">
        <f t="shared" si="127"/>
        <v>0</v>
      </c>
      <c r="AK231" s="368">
        <f t="shared" si="127"/>
        <v>0</v>
      </c>
      <c r="AL231" s="1068">
        <f t="shared" si="127"/>
        <v>0</v>
      </c>
      <c r="AM231" s="367">
        <f t="shared" si="127"/>
        <v>0</v>
      </c>
      <c r="AN231" s="368">
        <f t="shared" si="127"/>
        <v>0</v>
      </c>
      <c r="AO231" s="368">
        <f t="shared" si="127"/>
        <v>0</v>
      </c>
    </row>
    <row r="232" spans="1:44">
      <c r="A232" s="299"/>
      <c r="B232" s="3647" t="s">
        <v>35</v>
      </c>
      <c r="C232" s="536">
        <f t="shared" ref="C232:Q232" si="128">SUM(C107,C136,C165,C194,C223)</f>
        <v>-2157906.5150000001</v>
      </c>
      <c r="D232" s="537">
        <f t="shared" si="128"/>
        <v>-2218546.1430000002</v>
      </c>
      <c r="E232" s="537">
        <f t="shared" si="128"/>
        <v>-2275714.7999999998</v>
      </c>
      <c r="F232" s="537">
        <f t="shared" si="128"/>
        <v>-2123222.4300000002</v>
      </c>
      <c r="G232" s="573">
        <f t="shared" si="128"/>
        <v>-2445919.2400000002</v>
      </c>
      <c r="H232" s="536">
        <v>2399283</v>
      </c>
      <c r="I232" s="537">
        <v>2268772</v>
      </c>
      <c r="J232" s="537">
        <v>2695829</v>
      </c>
      <c r="K232" s="537"/>
      <c r="L232" s="537">
        <f t="shared" si="128"/>
        <v>0</v>
      </c>
      <c r="M232" s="536">
        <f t="shared" si="128"/>
        <v>2000000</v>
      </c>
      <c r="N232" s="537">
        <f t="shared" si="128"/>
        <v>2000000</v>
      </c>
      <c r="O232" s="537">
        <f t="shared" si="128"/>
        <v>2000000</v>
      </c>
      <c r="P232" s="537">
        <f t="shared" si="128"/>
        <v>2000000</v>
      </c>
      <c r="Q232" s="573">
        <f t="shared" si="128"/>
        <v>2000000</v>
      </c>
      <c r="R232" s="1268"/>
      <c r="S232" s="536">
        <f>SUM(S107,S136,S165,S194,S223)</f>
        <v>0</v>
      </c>
      <c r="T232" s="537">
        <f>SUM(T107,T136,T165,T194,T223)</f>
        <v>0</v>
      </c>
      <c r="U232" s="537">
        <f>SUM(U107,U136,U165,U194,U223)</f>
        <v>0</v>
      </c>
      <c r="V232" s="537">
        <f>SUM(V107,V136,V165,V194,V223)</f>
        <v>0</v>
      </c>
      <c r="W232" s="573">
        <f>SUM(W107,W136,W165,W194,W223)</f>
        <v>0</v>
      </c>
      <c r="X232" s="1082" t="e">
        <f t="shared" si="120"/>
        <v>#DIV/0!</v>
      </c>
      <c r="Y232" s="536">
        <f>SUM(Y107,Y136,Y165,Y194,Y223)</f>
        <v>0</v>
      </c>
      <c r="Z232" s="537">
        <f>SUM(Z107,Z136,Z165,Z194,Z223)</f>
        <v>0</v>
      </c>
      <c r="AA232" s="537">
        <f>SUM(AA107,AA136,AA165,AA194,AA223)</f>
        <v>0</v>
      </c>
      <c r="AB232" s="537">
        <f>SUM(AB107,AB136,AB165,AB194,AB223)</f>
        <v>0</v>
      </c>
      <c r="AC232" s="537">
        <f>SUM(AC107,AC136,AC165,AC194,AC223)</f>
        <v>0</v>
      </c>
      <c r="AD232" s="1747" t="e">
        <f t="shared" si="121"/>
        <v>#DIV/0!</v>
      </c>
      <c r="AH232" s="536">
        <f t="shared" ref="AH232:AO232" si="129">SUM(AH107,AH136,AH165,AH194,AH223)</f>
        <v>0</v>
      </c>
      <c r="AI232" s="537">
        <f t="shared" si="129"/>
        <v>0</v>
      </c>
      <c r="AJ232" s="537">
        <f t="shared" si="129"/>
        <v>0</v>
      </c>
      <c r="AK232" s="537">
        <f t="shared" si="129"/>
        <v>0</v>
      </c>
      <c r="AL232" s="573">
        <f t="shared" si="129"/>
        <v>0</v>
      </c>
      <c r="AM232" s="536">
        <f t="shared" si="129"/>
        <v>0</v>
      </c>
      <c r="AN232" s="537">
        <f t="shared" si="129"/>
        <v>0</v>
      </c>
      <c r="AO232" s="537">
        <f t="shared" si="129"/>
        <v>0</v>
      </c>
    </row>
    <row r="233" spans="1:44" ht="13.5" thickBot="1">
      <c r="A233" s="349"/>
      <c r="B233" s="369" t="s">
        <v>600</v>
      </c>
      <c r="C233" s="1749">
        <f>SUM(C231:C232)</f>
        <v>16847248.634999998</v>
      </c>
      <c r="D233" s="361">
        <f>SUM(D231:D232)</f>
        <v>17666812.887000013</v>
      </c>
      <c r="E233" s="361">
        <f>SUM(E231:E232)</f>
        <v>12848780.63000001</v>
      </c>
      <c r="F233" s="361">
        <f>SUM(F231:F232)</f>
        <v>15590026.575483389</v>
      </c>
      <c r="G233" s="361">
        <f>SUM(G231:G232)</f>
        <v>15825299.390151771</v>
      </c>
      <c r="H233" s="1749">
        <f t="shared" ref="H233:W233" si="130">H231-H232</f>
        <v>15113723.270500012</v>
      </c>
      <c r="I233" s="361">
        <f t="shared" si="130"/>
        <v>17704064.761414427</v>
      </c>
      <c r="J233" s="361">
        <f t="shared" si="130"/>
        <v>21128046.891096931</v>
      </c>
      <c r="K233" s="361">
        <f>K231+K232</f>
        <v>24051368.563923638</v>
      </c>
      <c r="L233" s="361">
        <f t="shared" si="130"/>
        <v>22058600.000000007</v>
      </c>
      <c r="M233" s="1749">
        <f t="shared" si="130"/>
        <v>22115215.690951303</v>
      </c>
      <c r="N233" s="361">
        <f t="shared" si="130"/>
        <v>21057777.880665097</v>
      </c>
      <c r="O233" s="361">
        <f t="shared" si="130"/>
        <v>20256389.905878108</v>
      </c>
      <c r="P233" s="361">
        <f t="shared" si="130"/>
        <v>20769753.961465139</v>
      </c>
      <c r="Q233" s="362">
        <f t="shared" si="130"/>
        <v>21369711.570799727</v>
      </c>
      <c r="R233" s="1268"/>
      <c r="S233" s="1749">
        <f t="shared" si="130"/>
        <v>15149625.961739991</v>
      </c>
      <c r="T233" s="361">
        <f t="shared" si="130"/>
        <v>16199859.997215899</v>
      </c>
      <c r="U233" s="361">
        <f t="shared" si="130"/>
        <v>16882512.12027524</v>
      </c>
      <c r="V233" s="361">
        <f t="shared" si="130"/>
        <v>17670187.646882173</v>
      </c>
      <c r="W233" s="362">
        <f t="shared" si="130"/>
        <v>16987535.523822829</v>
      </c>
      <c r="X233" s="1074">
        <f t="shared" si="120"/>
        <v>-4.9602689818481149E-2</v>
      </c>
      <c r="Y233" s="1749">
        <f>Y231-Y232</f>
        <v>16127540.785914611</v>
      </c>
      <c r="Z233" s="361">
        <f>Z231-Z232</f>
        <v>18045448.04990698</v>
      </c>
      <c r="AA233" s="361">
        <f>AA231-AA232</f>
        <v>17997193.221470997</v>
      </c>
      <c r="AB233" s="361">
        <f>AB231-AB232</f>
        <v>17528041.637921829</v>
      </c>
      <c r="AC233" s="361">
        <f>AC231-AC232</f>
        <v>17574757.723829977</v>
      </c>
      <c r="AD233" s="1080">
        <f t="shared" si="121"/>
        <v>0.14646940966200561</v>
      </c>
      <c r="AH233" s="363">
        <f t="shared" ref="AH233:AO233" si="131">AH231-AH232</f>
        <v>0</v>
      </c>
      <c r="AI233" s="361">
        <f t="shared" si="131"/>
        <v>0</v>
      </c>
      <c r="AJ233" s="361">
        <f t="shared" si="131"/>
        <v>0</v>
      </c>
      <c r="AK233" s="361">
        <f t="shared" si="131"/>
        <v>0</v>
      </c>
      <c r="AL233" s="362">
        <f t="shared" si="131"/>
        <v>0</v>
      </c>
      <c r="AM233" s="363">
        <f t="shared" si="131"/>
        <v>0</v>
      </c>
      <c r="AN233" s="361">
        <f t="shared" si="131"/>
        <v>0</v>
      </c>
      <c r="AO233" s="361">
        <f t="shared" si="131"/>
        <v>0</v>
      </c>
    </row>
    <row r="234" spans="1:44" ht="36.75" customHeight="1" thickBot="1">
      <c r="A234" s="1268"/>
      <c r="B234" s="1268"/>
      <c r="C234" s="3519"/>
      <c r="D234" s="3519"/>
      <c r="E234" s="3519"/>
      <c r="F234" s="3519"/>
      <c r="G234" s="3519"/>
      <c r="H234" s="3123"/>
      <c r="I234" s="3123"/>
      <c r="J234" s="3123"/>
      <c r="K234" s="3123"/>
      <c r="L234" s="3123"/>
      <c r="M234" s="3123"/>
      <c r="N234" s="3123"/>
      <c r="O234" s="3123"/>
      <c r="P234" s="3123"/>
      <c r="Q234" s="3123"/>
      <c r="R234" s="1268"/>
      <c r="S234" s="1268"/>
      <c r="T234" s="1268"/>
      <c r="U234" s="1268"/>
      <c r="V234" s="1268"/>
      <c r="W234" s="1268"/>
      <c r="X234" s="1268"/>
      <c r="Y234" s="1268"/>
      <c r="Z234" s="1268"/>
      <c r="AA234" s="1268"/>
      <c r="AB234" s="1268"/>
      <c r="AC234" s="1268"/>
      <c r="AD234" s="1268"/>
      <c r="AH234" s="1268"/>
      <c r="AI234" s="1268"/>
      <c r="AJ234" s="1268"/>
      <c r="AK234" s="1268"/>
      <c r="AL234" s="1268"/>
      <c r="AM234" s="1268"/>
      <c r="AN234" s="1268"/>
      <c r="AO234" s="1268"/>
    </row>
    <row r="235" spans="1:44" s="227" customFormat="1" ht="36.75" customHeight="1" thickBot="1">
      <c r="A235" s="865"/>
      <c r="B235" s="1367" t="s">
        <v>353</v>
      </c>
      <c r="C235" s="1370"/>
      <c r="D235" s="1370"/>
      <c r="E235" s="1370"/>
      <c r="F235" s="1370"/>
      <c r="G235" s="1370"/>
      <c r="H235" s="1370"/>
      <c r="I235" s="1370"/>
      <c r="J235" s="1370"/>
      <c r="K235" s="1370"/>
      <c r="L235" s="1370"/>
      <c r="M235" s="1370"/>
      <c r="N235" s="1370"/>
      <c r="O235" s="1370"/>
      <c r="P235" s="1370"/>
      <c r="Q235" s="1371"/>
      <c r="R235" s="1268"/>
      <c r="S235" s="1367"/>
      <c r="T235" s="1370"/>
      <c r="U235" s="1370"/>
      <c r="V235" s="1370"/>
      <c r="W235" s="1370"/>
      <c r="X235" s="1370"/>
      <c r="Y235" s="1370"/>
      <c r="Z235" s="1370"/>
      <c r="AA235" s="1370"/>
      <c r="AB235" s="1370"/>
      <c r="AC235" s="1370"/>
      <c r="AD235" s="1371"/>
      <c r="AE235" s="1266"/>
      <c r="AH235" s="1744"/>
      <c r="AI235" s="1370"/>
      <c r="AJ235" s="1370"/>
      <c r="AK235" s="1370"/>
      <c r="AL235" s="1370"/>
      <c r="AM235" s="1370"/>
      <c r="AN235" s="1370"/>
      <c r="AO235" s="1371"/>
      <c r="AP235"/>
      <c r="AQ235"/>
      <c r="AR235"/>
    </row>
    <row r="236" spans="1:44" ht="32.25" customHeight="1">
      <c r="A236" s="1268"/>
      <c r="B236" s="3648"/>
      <c r="C236" s="4136" t="s">
        <v>36</v>
      </c>
      <c r="D236" s="4137"/>
      <c r="E236" s="4137"/>
      <c r="F236" s="4137"/>
      <c r="G236" s="4137"/>
      <c r="H236" s="4138" t="s">
        <v>37</v>
      </c>
      <c r="I236" s="4138"/>
      <c r="J236" s="4138"/>
      <c r="K236" s="4138"/>
      <c r="L236" s="4138"/>
      <c r="M236" s="4139" t="s">
        <v>75</v>
      </c>
      <c r="N236" s="4137"/>
      <c r="O236" s="4137"/>
      <c r="P236" s="4137"/>
      <c r="Q236" s="4140"/>
      <c r="R236" s="1268"/>
      <c r="S236" s="4136" t="s">
        <v>36</v>
      </c>
      <c r="T236" s="4139"/>
      <c r="U236" s="4139"/>
      <c r="V236" s="4139"/>
      <c r="W236" s="4139"/>
      <c r="X236" s="4139"/>
      <c r="Y236" s="4138" t="s">
        <v>37</v>
      </c>
      <c r="Z236" s="4138"/>
      <c r="AA236" s="4138"/>
      <c r="AB236" s="4138"/>
      <c r="AC236" s="4138"/>
      <c r="AD236" s="4141"/>
      <c r="AH236" s="4136" t="s">
        <v>36</v>
      </c>
      <c r="AI236" s="4137"/>
      <c r="AJ236" s="4137"/>
      <c r="AK236" s="4137"/>
      <c r="AL236" s="4137"/>
      <c r="AM236" s="4174" t="s">
        <v>37</v>
      </c>
      <c r="AN236" s="4175"/>
      <c r="AO236" s="4176"/>
    </row>
    <row r="237" spans="1:44" ht="15" customHeight="1">
      <c r="A237" s="285"/>
      <c r="B237" s="3649"/>
      <c r="C237" s="4125" t="s">
        <v>569</v>
      </c>
      <c r="D237" s="4126"/>
      <c r="E237" s="4126"/>
      <c r="F237" s="4126"/>
      <c r="G237" s="4126"/>
      <c r="H237" s="4126"/>
      <c r="I237" s="4126"/>
      <c r="J237" s="4127"/>
      <c r="K237" s="4128" t="str">
        <f>CONCATENATE("$0's, real ",dms_DollarReal)</f>
        <v>$0's, real December 2017</v>
      </c>
      <c r="L237" s="4129"/>
      <c r="M237" s="4129"/>
      <c r="N237" s="4129"/>
      <c r="O237" s="4129"/>
      <c r="P237" s="4129"/>
      <c r="Q237" s="4130"/>
      <c r="R237" s="1268"/>
      <c r="S237" s="4131" t="str">
        <f>CONCATENATE("$0's, real ",dms_DollarReal)</f>
        <v>$0's, real December 2017</v>
      </c>
      <c r="T237" s="4132"/>
      <c r="U237" s="4132"/>
      <c r="V237" s="4132"/>
      <c r="W237" s="4132"/>
      <c r="X237" s="1096" t="s">
        <v>120</v>
      </c>
      <c r="Y237" s="4133" t="str">
        <f>CONCATENATE("$0's, real ",dms_DollarReal)</f>
        <v>$0's, real December 2017</v>
      </c>
      <c r="Z237" s="4133"/>
      <c r="AA237" s="4133"/>
      <c r="AB237" s="4133"/>
      <c r="AC237" s="4133"/>
      <c r="AD237" s="1316" t="s">
        <v>120</v>
      </c>
      <c r="AH237" s="4125" t="str">
        <f>CONCATENATE("$0's, real ",dms_DollarReal)</f>
        <v>$0's, real December 2017</v>
      </c>
      <c r="AI237" s="4126"/>
      <c r="AJ237" s="4126"/>
      <c r="AK237" s="4126"/>
      <c r="AL237" s="4126"/>
      <c r="AM237" s="4126"/>
      <c r="AN237" s="4126"/>
      <c r="AO237" s="4169"/>
    </row>
    <row r="238" spans="1:44" ht="30">
      <c r="A238" s="1268"/>
      <c r="B238" s="3650"/>
      <c r="C238" s="4134" t="s">
        <v>56</v>
      </c>
      <c r="D238" s="4135"/>
      <c r="E238" s="4135"/>
      <c r="F238" s="4135"/>
      <c r="G238" s="4135"/>
      <c r="H238" s="4135"/>
      <c r="I238" s="4135"/>
      <c r="J238" s="4135"/>
      <c r="K238" s="4129" t="s">
        <v>57</v>
      </c>
      <c r="L238" s="4129"/>
      <c r="M238" s="4129"/>
      <c r="N238" s="4129"/>
      <c r="O238" s="4129"/>
      <c r="P238" s="4129"/>
      <c r="Q238" s="4130"/>
      <c r="R238" s="1268"/>
      <c r="S238" s="4131" t="s">
        <v>76</v>
      </c>
      <c r="T238" s="4132"/>
      <c r="U238" s="4132"/>
      <c r="V238" s="4132"/>
      <c r="W238" s="4132"/>
      <c r="X238" s="1096" t="s">
        <v>347</v>
      </c>
      <c r="Y238" s="4133" t="s">
        <v>76</v>
      </c>
      <c r="Z238" s="4133"/>
      <c r="AA238" s="4133"/>
      <c r="AB238" s="4133"/>
      <c r="AC238" s="4133"/>
      <c r="AD238" s="1316" t="s">
        <v>347</v>
      </c>
      <c r="AH238" s="4134" t="s">
        <v>56</v>
      </c>
      <c r="AI238" s="4135"/>
      <c r="AJ238" s="4135"/>
      <c r="AK238" s="4135"/>
      <c r="AL238" s="4135"/>
      <c r="AM238" s="4135"/>
      <c r="AN238" s="4135"/>
      <c r="AO238" s="4170"/>
    </row>
    <row r="239" spans="1:44" ht="15.75" thickBot="1">
      <c r="A239" s="287"/>
      <c r="B239" s="3175"/>
      <c r="C239" s="1521">
        <f t="array" ref="C239:G239">PRCP</f>
        <v>2008</v>
      </c>
      <c r="D239" s="374">
        <v>2009</v>
      </c>
      <c r="E239" s="374">
        <v>2010</v>
      </c>
      <c r="F239" s="374">
        <v>2011</v>
      </c>
      <c r="G239" s="374">
        <v>2012</v>
      </c>
      <c r="H239" s="376">
        <f>CRCP_y1</f>
        <v>2013</v>
      </c>
      <c r="I239" s="376">
        <f>CRCP_y2</f>
        <v>2014</v>
      </c>
      <c r="J239" s="376">
        <f>CRCP_y3</f>
        <v>2015</v>
      </c>
      <c r="K239" s="376">
        <f>CRCP_y4</f>
        <v>2016</v>
      </c>
      <c r="L239" s="376">
        <f>CRCP_y5</f>
        <v>2017</v>
      </c>
      <c r="M239" s="374" t="str">
        <f t="array" ref="M239:Q239">FRCP</f>
        <v>2018</v>
      </c>
      <c r="N239" s="374">
        <v>2019</v>
      </c>
      <c r="O239" s="374">
        <v>2020</v>
      </c>
      <c r="P239" s="374">
        <v>2021</v>
      </c>
      <c r="Q239" s="470">
        <v>2022</v>
      </c>
      <c r="R239" s="1268"/>
      <c r="S239" s="1521">
        <f t="array" ref="S239:W239">PRCP</f>
        <v>2008</v>
      </c>
      <c r="T239" s="374">
        <v>2009</v>
      </c>
      <c r="U239" s="374">
        <v>2010</v>
      </c>
      <c r="V239" s="374">
        <v>2011</v>
      </c>
      <c r="W239" s="374">
        <v>2012</v>
      </c>
      <c r="X239" s="1097" t="s">
        <v>118</v>
      </c>
      <c r="Y239" s="376">
        <f>CRCP_y1</f>
        <v>2013</v>
      </c>
      <c r="Z239" s="376">
        <f>CRCP_y2</f>
        <v>2014</v>
      </c>
      <c r="AA239" s="376">
        <f>CRCP_y3</f>
        <v>2015</v>
      </c>
      <c r="AB239" s="376">
        <f>CRCP_y4</f>
        <v>2016</v>
      </c>
      <c r="AC239" s="376">
        <f>CRCP_y5</f>
        <v>2017</v>
      </c>
      <c r="AD239" s="1317" t="s">
        <v>118</v>
      </c>
      <c r="AH239" s="1521">
        <f t="array" ref="AH239:AL239">PRCP</f>
        <v>2008</v>
      </c>
      <c r="AI239" s="374">
        <v>2009</v>
      </c>
      <c r="AJ239" s="374">
        <v>2010</v>
      </c>
      <c r="AK239" s="374">
        <v>2011</v>
      </c>
      <c r="AL239" s="374">
        <v>2012</v>
      </c>
      <c r="AM239" s="376">
        <f>CRCP_y1</f>
        <v>2013</v>
      </c>
      <c r="AN239" s="376">
        <f>CRCP_y2</f>
        <v>2014</v>
      </c>
      <c r="AO239" s="568">
        <f>CRCP_y3</f>
        <v>2015</v>
      </c>
    </row>
    <row r="240" spans="1:44">
      <c r="A240" s="299"/>
      <c r="B240" s="370" t="s">
        <v>601</v>
      </c>
      <c r="C240" s="1015"/>
      <c r="D240" s="1016"/>
      <c r="E240" s="1016"/>
      <c r="F240" s="1016"/>
      <c r="G240" s="350"/>
      <c r="H240" s="1015"/>
      <c r="I240" s="1016"/>
      <c r="J240" s="1016"/>
      <c r="K240" s="1016"/>
      <c r="L240" s="1016"/>
      <c r="M240" s="1015"/>
      <c r="N240" s="1016"/>
      <c r="O240" s="1016"/>
      <c r="P240" s="1016"/>
      <c r="Q240" s="350"/>
      <c r="R240" s="1268"/>
      <c r="S240" s="3520"/>
      <c r="T240" s="959"/>
      <c r="U240" s="959"/>
      <c r="V240" s="959"/>
      <c r="W240" s="351"/>
      <c r="X240" s="1016"/>
      <c r="Y240" s="3520"/>
      <c r="Z240" s="959"/>
      <c r="AA240" s="959"/>
      <c r="AB240" s="959"/>
      <c r="AC240" s="959"/>
      <c r="AD240" s="350"/>
      <c r="AH240" s="1015"/>
      <c r="AI240" s="1016"/>
      <c r="AJ240" s="1016"/>
      <c r="AK240" s="1016"/>
      <c r="AL240" s="350"/>
      <c r="AM240" s="1015"/>
      <c r="AN240" s="1016"/>
      <c r="AO240" s="350"/>
    </row>
    <row r="241" spans="1:41">
      <c r="A241" s="299"/>
      <c r="B241" s="3646" t="str">
        <f>B24</f>
        <v>Electricity to gas</v>
      </c>
      <c r="C241" s="486"/>
      <c r="D241" s="485"/>
      <c r="E241" s="485"/>
      <c r="F241" s="485"/>
      <c r="G241" s="487"/>
      <c r="H241" s="486"/>
      <c r="I241" s="485"/>
      <c r="J241" s="485"/>
      <c r="K241" s="485"/>
      <c r="L241" s="485"/>
      <c r="M241" s="486"/>
      <c r="N241" s="485"/>
      <c r="O241" s="485"/>
      <c r="P241" s="485"/>
      <c r="Q241" s="487"/>
      <c r="R241" s="1268"/>
      <c r="S241" s="486"/>
      <c r="T241" s="485"/>
      <c r="U241" s="485"/>
      <c r="V241" s="485"/>
      <c r="W241" s="487"/>
      <c r="X241" s="1070"/>
      <c r="Y241" s="486"/>
      <c r="Z241" s="485"/>
      <c r="AA241" s="485"/>
      <c r="AB241" s="485"/>
      <c r="AC241" s="485"/>
      <c r="AD241" s="1075" t="e">
        <f>SUM(H241:L241)/SUM(Y241:AC241)-1</f>
        <v>#DIV/0!</v>
      </c>
      <c r="AH241" s="489"/>
      <c r="AI241" s="490"/>
      <c r="AJ241" s="490"/>
      <c r="AK241" s="490"/>
      <c r="AL241" s="491"/>
      <c r="AM241" s="489"/>
      <c r="AN241" s="490"/>
      <c r="AO241" s="491"/>
    </row>
    <row r="242" spans="1:41">
      <c r="A242" s="299"/>
      <c r="B242" s="3646" t="str">
        <f>B25</f>
        <v>New homes</v>
      </c>
      <c r="C242" s="486"/>
      <c r="D242" s="485"/>
      <c r="E242" s="485"/>
      <c r="F242" s="485"/>
      <c r="G242" s="487"/>
      <c r="H242" s="486"/>
      <c r="I242" s="485"/>
      <c r="J242" s="485"/>
      <c r="K242" s="485"/>
      <c r="L242" s="485"/>
      <c r="M242" s="486"/>
      <c r="N242" s="485"/>
      <c r="O242" s="485"/>
      <c r="P242" s="485"/>
      <c r="Q242" s="487"/>
      <c r="R242" s="1268"/>
      <c r="S242" s="486"/>
      <c r="T242" s="485"/>
      <c r="U242" s="485"/>
      <c r="V242" s="485"/>
      <c r="W242" s="487"/>
      <c r="X242" s="1070"/>
      <c r="Y242" s="486"/>
      <c r="Z242" s="485"/>
      <c r="AA242" s="485"/>
      <c r="AB242" s="485"/>
      <c r="AC242" s="485"/>
      <c r="AD242" s="1075" t="e">
        <f>SUM(H242:L242)/SUM(Y242:AC242)-1</f>
        <v>#DIV/0!</v>
      </c>
      <c r="AH242" s="489"/>
      <c r="AI242" s="490"/>
      <c r="AJ242" s="490"/>
      <c r="AK242" s="490"/>
      <c r="AL242" s="491"/>
      <c r="AM242" s="489"/>
      <c r="AN242" s="490"/>
      <c r="AO242" s="491"/>
    </row>
    <row r="243" spans="1:41">
      <c r="A243" s="299"/>
      <c r="B243" s="3646" t="str">
        <f>B26</f>
        <v>New medium density / high rise</v>
      </c>
      <c r="C243" s="486"/>
      <c r="D243" s="485"/>
      <c r="E243" s="485"/>
      <c r="F243" s="485"/>
      <c r="G243" s="487"/>
      <c r="H243" s="486"/>
      <c r="I243" s="485"/>
      <c r="J243" s="485"/>
      <c r="K243" s="485"/>
      <c r="L243" s="485"/>
      <c r="M243" s="486"/>
      <c r="N243" s="485"/>
      <c r="O243" s="485"/>
      <c r="P243" s="485"/>
      <c r="Q243" s="487"/>
      <c r="R243" s="1268"/>
      <c r="S243" s="486"/>
      <c r="T243" s="485"/>
      <c r="U243" s="485"/>
      <c r="V243" s="485"/>
      <c r="W243" s="487"/>
      <c r="X243" s="1070"/>
      <c r="Y243" s="486"/>
      <c r="Z243" s="485"/>
      <c r="AA243" s="485"/>
      <c r="AB243" s="485"/>
      <c r="AC243" s="485"/>
      <c r="AD243" s="1075" t="e">
        <f>SUM(H243:L243)/SUM(Y243:AC243)-1</f>
        <v>#DIV/0!</v>
      </c>
      <c r="AH243" s="489"/>
      <c r="AI243" s="490"/>
      <c r="AJ243" s="490"/>
      <c r="AK243" s="490"/>
      <c r="AL243" s="491"/>
      <c r="AM243" s="489"/>
      <c r="AN243" s="490"/>
      <c r="AO243" s="491"/>
    </row>
    <row r="244" spans="1:41">
      <c r="A244" s="299"/>
      <c r="B244" s="3646" t="str">
        <f>B27</f>
        <v>I&amp;C tariff</v>
      </c>
      <c r="C244" s="486"/>
      <c r="D244" s="485"/>
      <c r="E244" s="485"/>
      <c r="F244" s="485"/>
      <c r="G244" s="487"/>
      <c r="H244" s="486"/>
      <c r="I244" s="485"/>
      <c r="J244" s="485"/>
      <c r="K244" s="485"/>
      <c r="L244" s="485"/>
      <c r="M244" s="486"/>
      <c r="N244" s="485"/>
      <c r="O244" s="485"/>
      <c r="P244" s="485"/>
      <c r="Q244" s="487"/>
      <c r="R244" s="1268"/>
      <c r="S244" s="486"/>
      <c r="T244" s="485"/>
      <c r="U244" s="485"/>
      <c r="V244" s="485"/>
      <c r="W244" s="487"/>
      <c r="X244" s="1070"/>
      <c r="Y244" s="486"/>
      <c r="Z244" s="485"/>
      <c r="AA244" s="485"/>
      <c r="AB244" s="485"/>
      <c r="AC244" s="485"/>
      <c r="AD244" s="1075" t="e">
        <f>SUM(H244:L244)/SUM(Y244:AC244)-1</f>
        <v>#DIV/0!</v>
      </c>
      <c r="AH244" s="489"/>
      <c r="AI244" s="490"/>
      <c r="AJ244" s="490"/>
      <c r="AK244" s="490"/>
      <c r="AL244" s="491"/>
      <c r="AM244" s="489"/>
      <c r="AN244" s="490"/>
      <c r="AO244" s="491"/>
    </row>
    <row r="245" spans="1:41">
      <c r="A245" s="299"/>
      <c r="B245" s="3646" t="str">
        <f>B28</f>
        <v>I&amp;C contract</v>
      </c>
      <c r="C245" s="486"/>
      <c r="D245" s="485"/>
      <c r="E245" s="485"/>
      <c r="F245" s="485"/>
      <c r="G245" s="487"/>
      <c r="H245" s="486"/>
      <c r="I245" s="485"/>
      <c r="J245" s="485"/>
      <c r="K245" s="485"/>
      <c r="L245" s="485"/>
      <c r="M245" s="486"/>
      <c r="N245" s="485"/>
      <c r="O245" s="485"/>
      <c r="P245" s="485"/>
      <c r="Q245" s="487"/>
      <c r="R245" s="1268"/>
      <c r="S245" s="489"/>
      <c r="T245" s="490"/>
      <c r="U245" s="490"/>
      <c r="V245" s="490"/>
      <c r="W245" s="491"/>
      <c r="X245" s="1071"/>
      <c r="Y245" s="489"/>
      <c r="Z245" s="490"/>
      <c r="AA245" s="490"/>
      <c r="AB245" s="490"/>
      <c r="AC245" s="490"/>
      <c r="AD245" s="1076" t="e">
        <f>SUM(H245:L245)/SUM(Y245:AC245)-1</f>
        <v>#DIV/0!</v>
      </c>
      <c r="AH245" s="489"/>
      <c r="AI245" s="490"/>
      <c r="AJ245" s="490"/>
      <c r="AK245" s="490"/>
      <c r="AL245" s="491"/>
      <c r="AM245" s="489"/>
      <c r="AN245" s="490"/>
      <c r="AO245" s="491"/>
    </row>
    <row r="246" spans="1:41">
      <c r="A246" s="299"/>
      <c r="B246" s="370" t="s">
        <v>167</v>
      </c>
      <c r="C246" s="840"/>
      <c r="D246" s="1017"/>
      <c r="E246" s="1017"/>
      <c r="F246" s="1017"/>
      <c r="G246" s="352"/>
      <c r="H246" s="840"/>
      <c r="I246" s="1017"/>
      <c r="J246" s="1017"/>
      <c r="K246" s="1017"/>
      <c r="L246" s="1017"/>
      <c r="M246" s="840"/>
      <c r="N246" s="1017"/>
      <c r="O246" s="1017"/>
      <c r="P246" s="1017"/>
      <c r="Q246" s="352"/>
      <c r="R246" s="1268"/>
      <c r="S246" s="840"/>
      <c r="T246" s="1017"/>
      <c r="U246" s="1017"/>
      <c r="V246" s="1017"/>
      <c r="W246" s="352"/>
      <c r="X246" s="1017"/>
      <c r="Y246" s="840"/>
      <c r="Z246" s="1017"/>
      <c r="AA246" s="1017"/>
      <c r="AB246" s="1017"/>
      <c r="AC246" s="1017"/>
      <c r="AD246" s="352"/>
      <c r="AH246" s="840"/>
      <c r="AI246" s="1017"/>
      <c r="AJ246" s="1017"/>
      <c r="AK246" s="1017"/>
      <c r="AL246" s="352"/>
      <c r="AM246" s="840"/>
      <c r="AN246" s="1017"/>
      <c r="AO246" s="352"/>
    </row>
    <row r="247" spans="1:41">
      <c r="A247" s="299"/>
      <c r="B247" s="3646" t="str">
        <f>B24</f>
        <v>Electricity to gas</v>
      </c>
      <c r="C247" s="353" t="e">
        <f t="shared" ref="C247:Q251" si="132">C241/C24</f>
        <v>#DIV/0!</v>
      </c>
      <c r="D247" s="354" t="e">
        <f t="shared" si="132"/>
        <v>#DIV/0!</v>
      </c>
      <c r="E247" s="354" t="e">
        <f t="shared" si="132"/>
        <v>#DIV/0!</v>
      </c>
      <c r="F247" s="354" t="e">
        <f t="shared" si="132"/>
        <v>#DIV/0!</v>
      </c>
      <c r="G247" s="355" t="e">
        <f t="shared" si="132"/>
        <v>#DIV/0!</v>
      </c>
      <c r="H247" s="353" t="e">
        <f t="shared" si="132"/>
        <v>#DIV/0!</v>
      </c>
      <c r="I247" s="354" t="e">
        <f t="shared" si="132"/>
        <v>#DIV/0!</v>
      </c>
      <c r="J247" s="354" t="e">
        <f t="shared" si="132"/>
        <v>#DIV/0!</v>
      </c>
      <c r="K247" s="354" t="e">
        <f t="shared" si="132"/>
        <v>#DIV/0!</v>
      </c>
      <c r="L247" s="354" t="e">
        <f t="shared" si="132"/>
        <v>#DIV/0!</v>
      </c>
      <c r="M247" s="353" t="e">
        <f t="shared" si="132"/>
        <v>#DIV/0!</v>
      </c>
      <c r="N247" s="354" t="e">
        <f t="shared" si="132"/>
        <v>#DIV/0!</v>
      </c>
      <c r="O247" s="354" t="e">
        <f t="shared" si="132"/>
        <v>#DIV/0!</v>
      </c>
      <c r="P247" s="354" t="e">
        <f t="shared" si="132"/>
        <v>#DIV/0!</v>
      </c>
      <c r="Q247" s="355" t="e">
        <f t="shared" si="132"/>
        <v>#DIV/0!</v>
      </c>
      <c r="R247" s="1268"/>
      <c r="S247" s="486"/>
      <c r="T247" s="485"/>
      <c r="U247" s="485"/>
      <c r="V247" s="485"/>
      <c r="W247" s="487"/>
      <c r="X247" s="1070"/>
      <c r="Y247" s="486"/>
      <c r="Z247" s="485"/>
      <c r="AA247" s="485"/>
      <c r="AB247" s="485"/>
      <c r="AC247" s="485"/>
      <c r="AD247" s="1077" t="e">
        <f>SUM(H247:L247)/SUM(Y247:AC247)-1</f>
        <v>#DIV/0!</v>
      </c>
      <c r="AH247" s="353" t="e">
        <f t="shared" ref="AH247:AO251" si="133">AH241/AH24</f>
        <v>#DIV/0!</v>
      </c>
      <c r="AI247" s="354" t="e">
        <f t="shared" si="133"/>
        <v>#DIV/0!</v>
      </c>
      <c r="AJ247" s="354" t="e">
        <f t="shared" si="133"/>
        <v>#DIV/0!</v>
      </c>
      <c r="AK247" s="354" t="e">
        <f t="shared" si="133"/>
        <v>#DIV/0!</v>
      </c>
      <c r="AL247" s="355" t="e">
        <f t="shared" si="133"/>
        <v>#DIV/0!</v>
      </c>
      <c r="AM247" s="353" t="e">
        <f t="shared" si="133"/>
        <v>#DIV/0!</v>
      </c>
      <c r="AN247" s="354" t="e">
        <f t="shared" si="133"/>
        <v>#DIV/0!</v>
      </c>
      <c r="AO247" s="355" t="e">
        <f t="shared" si="133"/>
        <v>#DIV/0!</v>
      </c>
    </row>
    <row r="248" spans="1:41">
      <c r="A248" s="299"/>
      <c r="B248" s="3646" t="str">
        <f>B25</f>
        <v>New homes</v>
      </c>
      <c r="C248" s="353">
        <f t="shared" si="132"/>
        <v>0</v>
      </c>
      <c r="D248" s="354">
        <f t="shared" si="132"/>
        <v>0</v>
      </c>
      <c r="E248" s="354">
        <f t="shared" si="132"/>
        <v>0</v>
      </c>
      <c r="F248" s="354">
        <f t="shared" si="132"/>
        <v>0</v>
      </c>
      <c r="G248" s="355">
        <f t="shared" si="132"/>
        <v>0</v>
      </c>
      <c r="H248" s="353">
        <f t="shared" si="132"/>
        <v>0</v>
      </c>
      <c r="I248" s="354">
        <f t="shared" si="132"/>
        <v>0</v>
      </c>
      <c r="J248" s="354">
        <f t="shared" si="132"/>
        <v>0</v>
      </c>
      <c r="K248" s="354">
        <f t="shared" si="132"/>
        <v>0</v>
      </c>
      <c r="L248" s="354">
        <f t="shared" si="132"/>
        <v>0</v>
      </c>
      <c r="M248" s="353">
        <f t="shared" si="132"/>
        <v>0</v>
      </c>
      <c r="N248" s="354">
        <f t="shared" si="132"/>
        <v>0</v>
      </c>
      <c r="O248" s="354">
        <f t="shared" si="132"/>
        <v>0</v>
      </c>
      <c r="P248" s="354">
        <f t="shared" si="132"/>
        <v>0</v>
      </c>
      <c r="Q248" s="355">
        <f t="shared" si="132"/>
        <v>0</v>
      </c>
      <c r="R248" s="1268"/>
      <c r="S248" s="486"/>
      <c r="T248" s="485"/>
      <c r="U248" s="485"/>
      <c r="V248" s="485"/>
      <c r="W248" s="487"/>
      <c r="X248" s="1070"/>
      <c r="Y248" s="486"/>
      <c r="Z248" s="485"/>
      <c r="AA248" s="485"/>
      <c r="AB248" s="485"/>
      <c r="AC248" s="485"/>
      <c r="AD248" s="1077" t="e">
        <f>SUM(H248:L248)/SUM(Y248:AC248)-1</f>
        <v>#DIV/0!</v>
      </c>
      <c r="AH248" s="353" t="e">
        <f t="shared" si="133"/>
        <v>#DIV/0!</v>
      </c>
      <c r="AI248" s="354" t="e">
        <f t="shared" si="133"/>
        <v>#DIV/0!</v>
      </c>
      <c r="AJ248" s="354" t="e">
        <f t="shared" si="133"/>
        <v>#DIV/0!</v>
      </c>
      <c r="AK248" s="354" t="e">
        <f t="shared" si="133"/>
        <v>#DIV/0!</v>
      </c>
      <c r="AL248" s="355" t="e">
        <f t="shared" si="133"/>
        <v>#DIV/0!</v>
      </c>
      <c r="AM248" s="353" t="e">
        <f t="shared" si="133"/>
        <v>#DIV/0!</v>
      </c>
      <c r="AN248" s="354" t="e">
        <f t="shared" si="133"/>
        <v>#DIV/0!</v>
      </c>
      <c r="AO248" s="355" t="e">
        <f t="shared" si="133"/>
        <v>#DIV/0!</v>
      </c>
    </row>
    <row r="249" spans="1:41">
      <c r="A249" s="299"/>
      <c r="B249" s="3646" t="str">
        <f>B26</f>
        <v>New medium density / high rise</v>
      </c>
      <c r="C249" s="353" t="e">
        <f t="shared" si="132"/>
        <v>#DIV/0!</v>
      </c>
      <c r="D249" s="354" t="e">
        <f t="shared" si="132"/>
        <v>#DIV/0!</v>
      </c>
      <c r="E249" s="354" t="e">
        <f t="shared" si="132"/>
        <v>#DIV/0!</v>
      </c>
      <c r="F249" s="354" t="e">
        <f t="shared" si="132"/>
        <v>#DIV/0!</v>
      </c>
      <c r="G249" s="355" t="e">
        <f t="shared" si="132"/>
        <v>#DIV/0!</v>
      </c>
      <c r="H249" s="353" t="e">
        <f t="shared" si="132"/>
        <v>#DIV/0!</v>
      </c>
      <c r="I249" s="354" t="e">
        <f t="shared" si="132"/>
        <v>#DIV/0!</v>
      </c>
      <c r="J249" s="354" t="e">
        <f t="shared" si="132"/>
        <v>#DIV/0!</v>
      </c>
      <c r="K249" s="354" t="e">
        <f t="shared" si="132"/>
        <v>#DIV/0!</v>
      </c>
      <c r="L249" s="354" t="e">
        <f t="shared" si="132"/>
        <v>#DIV/0!</v>
      </c>
      <c r="M249" s="353" t="e">
        <f t="shared" si="132"/>
        <v>#DIV/0!</v>
      </c>
      <c r="N249" s="354" t="e">
        <f t="shared" si="132"/>
        <v>#DIV/0!</v>
      </c>
      <c r="O249" s="354" t="e">
        <f t="shared" si="132"/>
        <v>#DIV/0!</v>
      </c>
      <c r="P249" s="354" t="e">
        <f t="shared" si="132"/>
        <v>#DIV/0!</v>
      </c>
      <c r="Q249" s="355" t="e">
        <f t="shared" si="132"/>
        <v>#DIV/0!</v>
      </c>
      <c r="R249" s="1268"/>
      <c r="S249" s="486"/>
      <c r="T249" s="485"/>
      <c r="U249" s="485"/>
      <c r="V249" s="485"/>
      <c r="W249" s="487"/>
      <c r="X249" s="1070"/>
      <c r="Y249" s="486"/>
      <c r="Z249" s="485"/>
      <c r="AA249" s="485"/>
      <c r="AB249" s="485"/>
      <c r="AC249" s="485"/>
      <c r="AD249" s="1077" t="e">
        <f>SUM(H249:L249)/SUM(Y249:AC249)-1</f>
        <v>#DIV/0!</v>
      </c>
      <c r="AH249" s="353" t="e">
        <f t="shared" si="133"/>
        <v>#DIV/0!</v>
      </c>
      <c r="AI249" s="354" t="e">
        <f t="shared" si="133"/>
        <v>#DIV/0!</v>
      </c>
      <c r="AJ249" s="354" t="e">
        <f t="shared" si="133"/>
        <v>#DIV/0!</v>
      </c>
      <c r="AK249" s="354" t="e">
        <f t="shared" si="133"/>
        <v>#DIV/0!</v>
      </c>
      <c r="AL249" s="355" t="e">
        <f t="shared" si="133"/>
        <v>#DIV/0!</v>
      </c>
      <c r="AM249" s="353" t="e">
        <f t="shared" si="133"/>
        <v>#DIV/0!</v>
      </c>
      <c r="AN249" s="354" t="e">
        <f t="shared" si="133"/>
        <v>#DIV/0!</v>
      </c>
      <c r="AO249" s="355" t="e">
        <f t="shared" si="133"/>
        <v>#DIV/0!</v>
      </c>
    </row>
    <row r="250" spans="1:41">
      <c r="A250" s="299"/>
      <c r="B250" s="3646" t="str">
        <f>B27</f>
        <v>I&amp;C tariff</v>
      </c>
      <c r="C250" s="353">
        <f t="shared" si="132"/>
        <v>0</v>
      </c>
      <c r="D250" s="354">
        <f t="shared" si="132"/>
        <v>0</v>
      </c>
      <c r="E250" s="354">
        <f t="shared" si="132"/>
        <v>0</v>
      </c>
      <c r="F250" s="354">
        <f t="shared" si="132"/>
        <v>0</v>
      </c>
      <c r="G250" s="355">
        <f t="shared" si="132"/>
        <v>0</v>
      </c>
      <c r="H250" s="353">
        <f t="shared" si="132"/>
        <v>0</v>
      </c>
      <c r="I250" s="354">
        <f t="shared" si="132"/>
        <v>0</v>
      </c>
      <c r="J250" s="354">
        <f t="shared" si="132"/>
        <v>0</v>
      </c>
      <c r="K250" s="354">
        <f t="shared" si="132"/>
        <v>0</v>
      </c>
      <c r="L250" s="354">
        <f t="shared" si="132"/>
        <v>0</v>
      </c>
      <c r="M250" s="353">
        <f t="shared" si="132"/>
        <v>0</v>
      </c>
      <c r="N250" s="354">
        <f t="shared" si="132"/>
        <v>0</v>
      </c>
      <c r="O250" s="354">
        <f t="shared" si="132"/>
        <v>0</v>
      </c>
      <c r="P250" s="354">
        <f t="shared" si="132"/>
        <v>0</v>
      </c>
      <c r="Q250" s="355">
        <f t="shared" si="132"/>
        <v>0</v>
      </c>
      <c r="R250" s="1268"/>
      <c r="S250" s="486"/>
      <c r="T250" s="485"/>
      <c r="U250" s="485"/>
      <c r="V250" s="485"/>
      <c r="W250" s="487"/>
      <c r="X250" s="1070"/>
      <c r="Y250" s="486"/>
      <c r="Z250" s="485"/>
      <c r="AA250" s="485"/>
      <c r="AB250" s="485"/>
      <c r="AC250" s="485"/>
      <c r="AD250" s="1077" t="e">
        <f>SUM(H250:L250)/SUM(Y250:AC250)-1</f>
        <v>#DIV/0!</v>
      </c>
      <c r="AH250" s="353" t="e">
        <f t="shared" si="133"/>
        <v>#DIV/0!</v>
      </c>
      <c r="AI250" s="354" t="e">
        <f t="shared" si="133"/>
        <v>#DIV/0!</v>
      </c>
      <c r="AJ250" s="354" t="e">
        <f t="shared" si="133"/>
        <v>#DIV/0!</v>
      </c>
      <c r="AK250" s="354" t="e">
        <f t="shared" si="133"/>
        <v>#DIV/0!</v>
      </c>
      <c r="AL250" s="355" t="e">
        <f t="shared" si="133"/>
        <v>#DIV/0!</v>
      </c>
      <c r="AM250" s="353" t="e">
        <f t="shared" si="133"/>
        <v>#DIV/0!</v>
      </c>
      <c r="AN250" s="354" t="e">
        <f t="shared" si="133"/>
        <v>#DIV/0!</v>
      </c>
      <c r="AO250" s="355" t="e">
        <f t="shared" si="133"/>
        <v>#DIV/0!</v>
      </c>
    </row>
    <row r="251" spans="1:41">
      <c r="A251" s="299"/>
      <c r="B251" s="3646" t="str">
        <f>B28</f>
        <v>I&amp;C contract</v>
      </c>
      <c r="C251" s="353" t="e">
        <f t="shared" si="132"/>
        <v>#DIV/0!</v>
      </c>
      <c r="D251" s="354" t="e">
        <f t="shared" si="132"/>
        <v>#DIV/0!</v>
      </c>
      <c r="E251" s="354" t="e">
        <f t="shared" si="132"/>
        <v>#DIV/0!</v>
      </c>
      <c r="F251" s="354" t="e">
        <f t="shared" si="132"/>
        <v>#DIV/0!</v>
      </c>
      <c r="G251" s="355" t="e">
        <f t="shared" si="132"/>
        <v>#DIV/0!</v>
      </c>
      <c r="H251" s="353">
        <f t="shared" si="132"/>
        <v>0</v>
      </c>
      <c r="I251" s="354">
        <f t="shared" si="132"/>
        <v>0</v>
      </c>
      <c r="J251" s="354">
        <f t="shared" si="132"/>
        <v>0</v>
      </c>
      <c r="K251" s="354">
        <f t="shared" si="132"/>
        <v>0</v>
      </c>
      <c r="L251" s="354" t="e">
        <f t="shared" si="132"/>
        <v>#DIV/0!</v>
      </c>
      <c r="M251" s="353" t="e">
        <f t="shared" si="132"/>
        <v>#DIV/0!</v>
      </c>
      <c r="N251" s="354" t="e">
        <f t="shared" si="132"/>
        <v>#DIV/0!</v>
      </c>
      <c r="O251" s="354" t="e">
        <f t="shared" si="132"/>
        <v>#DIV/0!</v>
      </c>
      <c r="P251" s="354" t="e">
        <f t="shared" si="132"/>
        <v>#DIV/0!</v>
      </c>
      <c r="Q251" s="355" t="e">
        <f t="shared" si="132"/>
        <v>#DIV/0!</v>
      </c>
      <c r="R251" s="1268"/>
      <c r="S251" s="353"/>
      <c r="T251" s="354"/>
      <c r="U251" s="354"/>
      <c r="V251" s="354"/>
      <c r="W251" s="355"/>
      <c r="X251" s="1072"/>
      <c r="Y251" s="353"/>
      <c r="Z251" s="354"/>
      <c r="AA251" s="354"/>
      <c r="AB251" s="354"/>
      <c r="AC251" s="354"/>
      <c r="AD251" s="1077" t="e">
        <f>SUM(H251:L251)/SUM(Y251:AC251)-1</f>
        <v>#DIV/0!</v>
      </c>
      <c r="AH251" s="353" t="e">
        <f t="shared" si="133"/>
        <v>#DIV/0!</v>
      </c>
      <c r="AI251" s="354" t="e">
        <f t="shared" si="133"/>
        <v>#DIV/0!</v>
      </c>
      <c r="AJ251" s="354" t="e">
        <f t="shared" si="133"/>
        <v>#DIV/0!</v>
      </c>
      <c r="AK251" s="354" t="e">
        <f t="shared" si="133"/>
        <v>#DIV/0!</v>
      </c>
      <c r="AL251" s="355" t="e">
        <f t="shared" si="133"/>
        <v>#DIV/0!</v>
      </c>
      <c r="AM251" s="353" t="e">
        <f t="shared" si="133"/>
        <v>#DIV/0!</v>
      </c>
      <c r="AN251" s="354" t="e">
        <f t="shared" si="133"/>
        <v>#DIV/0!</v>
      </c>
      <c r="AO251" s="355" t="e">
        <f t="shared" si="133"/>
        <v>#DIV/0!</v>
      </c>
    </row>
    <row r="252" spans="1:41">
      <c r="A252" s="299"/>
      <c r="B252" s="370" t="s">
        <v>168</v>
      </c>
      <c r="C252" s="840"/>
      <c r="D252" s="1017"/>
      <c r="E252" s="1017"/>
      <c r="F252" s="1017"/>
      <c r="G252" s="352"/>
      <c r="H252" s="840"/>
      <c r="I252" s="1017"/>
      <c r="J252" s="1017"/>
      <c r="K252" s="1017"/>
      <c r="L252" s="1017"/>
      <c r="M252" s="840"/>
      <c r="N252" s="1017"/>
      <c r="O252" s="1017"/>
      <c r="P252" s="1017"/>
      <c r="Q252" s="352"/>
      <c r="R252" s="1268"/>
      <c r="S252" s="840"/>
      <c r="T252" s="1017"/>
      <c r="U252" s="1017"/>
      <c r="V252" s="1017"/>
      <c r="W252" s="352"/>
      <c r="X252" s="1017"/>
      <c r="Y252" s="840"/>
      <c r="Z252" s="1017"/>
      <c r="AA252" s="1017"/>
      <c r="AB252" s="1017"/>
      <c r="AC252" s="1017"/>
      <c r="AD252" s="352"/>
      <c r="AH252" s="840"/>
      <c r="AI252" s="1017"/>
      <c r="AJ252" s="1017"/>
      <c r="AK252" s="1017"/>
      <c r="AL252" s="352"/>
      <c r="AM252" s="840"/>
      <c r="AN252" s="1017"/>
      <c r="AO252" s="352"/>
    </row>
    <row r="253" spans="1:41">
      <c r="A253" s="299"/>
      <c r="B253" s="3646" t="str">
        <f>B24</f>
        <v>Electricity to gas</v>
      </c>
      <c r="C253" s="486"/>
      <c r="D253" s="485"/>
      <c r="E253" s="485"/>
      <c r="F253" s="485"/>
      <c r="G253" s="487"/>
      <c r="H253" s="486"/>
      <c r="I253" s="485"/>
      <c r="J253" s="485"/>
      <c r="K253" s="485"/>
      <c r="L253" s="485"/>
      <c r="M253" s="486"/>
      <c r="N253" s="485"/>
      <c r="O253" s="485"/>
      <c r="P253" s="485"/>
      <c r="Q253" s="487"/>
      <c r="R253" s="1268"/>
      <c r="S253" s="486"/>
      <c r="T253" s="485"/>
      <c r="U253" s="485"/>
      <c r="V253" s="485"/>
      <c r="W253" s="487"/>
      <c r="X253" s="1070"/>
      <c r="Y253" s="486"/>
      <c r="Z253" s="485"/>
      <c r="AA253" s="485"/>
      <c r="AB253" s="485"/>
      <c r="AC253" s="485"/>
      <c r="AD253" s="1075" t="e">
        <f>SUM(H253:L253)/SUM(Y253:AC253)-1</f>
        <v>#DIV/0!</v>
      </c>
      <c r="AH253" s="489"/>
      <c r="AI253" s="490"/>
      <c r="AJ253" s="490"/>
      <c r="AK253" s="490"/>
      <c r="AL253" s="491"/>
      <c r="AM253" s="489"/>
      <c r="AN253" s="490"/>
      <c r="AO253" s="491"/>
    </row>
    <row r="254" spans="1:41">
      <c r="A254" s="299"/>
      <c r="B254" s="3646" t="s">
        <v>471</v>
      </c>
      <c r="C254" s="486"/>
      <c r="D254" s="485"/>
      <c r="E254" s="485"/>
      <c r="F254" s="485"/>
      <c r="G254" s="487"/>
      <c r="H254" s="486"/>
      <c r="I254" s="485"/>
      <c r="J254" s="485"/>
      <c r="K254" s="485"/>
      <c r="L254" s="485"/>
      <c r="M254" s="486"/>
      <c r="N254" s="485"/>
      <c r="O254" s="485"/>
      <c r="P254" s="485"/>
      <c r="Q254" s="487"/>
      <c r="R254" s="1268"/>
      <c r="S254" s="486">
        <v>1811653.7111959432</v>
      </c>
      <c r="T254" s="485">
        <v>1837909.5620828411</v>
      </c>
      <c r="U254" s="485">
        <v>1916677.1147435342</v>
      </c>
      <c r="V254" s="485">
        <v>1890421.2638566364</v>
      </c>
      <c r="W254" s="487">
        <v>2218619.3999428577</v>
      </c>
      <c r="X254" s="1070"/>
      <c r="Y254" s="486">
        <v>12715793.469661217</v>
      </c>
      <c r="Z254" s="485">
        <v>4713613.0965123484</v>
      </c>
      <c r="AA254" s="485">
        <v>1753902.5475394784</v>
      </c>
      <c r="AB254" s="485">
        <v>1753902.5475394784</v>
      </c>
      <c r="AC254" s="485">
        <v>1753902.5475394784</v>
      </c>
      <c r="AD254" s="1075">
        <f>SUM(H254:L254)/SUM(Y254:AC254)-1</f>
        <v>-1</v>
      </c>
      <c r="AH254" s="489"/>
      <c r="AI254" s="490"/>
      <c r="AJ254" s="490"/>
      <c r="AK254" s="490"/>
      <c r="AL254" s="491"/>
      <c r="AM254" s="489"/>
      <c r="AN254" s="490"/>
      <c r="AO254" s="491"/>
    </row>
    <row r="255" spans="1:41">
      <c r="A255" s="299"/>
      <c r="B255" s="3646" t="s">
        <v>582</v>
      </c>
      <c r="C255" s="486"/>
      <c r="D255" s="485"/>
      <c r="E255" s="485"/>
      <c r="F255" s="485"/>
      <c r="G255" s="487"/>
      <c r="H255" s="486"/>
      <c r="I255" s="485"/>
      <c r="J255" s="485"/>
      <c r="K255" s="485"/>
      <c r="L255" s="485"/>
      <c r="M255" s="486"/>
      <c r="N255" s="485"/>
      <c r="O255" s="485"/>
      <c r="P255" s="485"/>
      <c r="Q255" s="487"/>
      <c r="R255" s="1268"/>
      <c r="S255" s="486">
        <v>0</v>
      </c>
      <c r="T255" s="485">
        <v>0</v>
      </c>
      <c r="U255" s="485">
        <v>0</v>
      </c>
      <c r="V255" s="485">
        <v>0</v>
      </c>
      <c r="W255" s="487">
        <v>0</v>
      </c>
      <c r="X255" s="1070"/>
      <c r="Y255" s="486"/>
      <c r="Z255" s="485"/>
      <c r="AA255" s="485"/>
      <c r="AB255" s="485"/>
      <c r="AC255" s="485"/>
      <c r="AD255" s="1075" t="e">
        <f>SUM(H255:L255)/SUM(Y255:AC255)-1</f>
        <v>#DIV/0!</v>
      </c>
      <c r="AH255" s="489"/>
      <c r="AI255" s="490"/>
      <c r="AJ255" s="490"/>
      <c r="AK255" s="490"/>
      <c r="AL255" s="491"/>
      <c r="AM255" s="489"/>
      <c r="AN255" s="490"/>
      <c r="AO255" s="491"/>
    </row>
    <row r="256" spans="1:41">
      <c r="A256" s="299"/>
      <c r="B256" s="3646" t="s">
        <v>472</v>
      </c>
      <c r="C256" s="486"/>
      <c r="D256" s="485"/>
      <c r="E256" s="485"/>
      <c r="F256" s="485"/>
      <c r="G256" s="487"/>
      <c r="H256" s="486"/>
      <c r="I256" s="485"/>
      <c r="J256" s="485"/>
      <c r="K256" s="485"/>
      <c r="L256" s="485"/>
      <c r="M256" s="486"/>
      <c r="N256" s="485"/>
      <c r="O256" s="485"/>
      <c r="P256" s="485"/>
      <c r="Q256" s="487"/>
      <c r="R256" s="1268"/>
      <c r="S256" s="486">
        <v>8309976.8057031315</v>
      </c>
      <c r="T256" s="485">
        <v>5539984.5371354204</v>
      </c>
      <c r="U256" s="485">
        <v>0</v>
      </c>
      <c r="V256" s="485">
        <v>0</v>
      </c>
      <c r="W256" s="487">
        <v>0</v>
      </c>
      <c r="X256" s="1070"/>
      <c r="Y256" s="486"/>
      <c r="Z256" s="485"/>
      <c r="AA256" s="485"/>
      <c r="AB256" s="485"/>
      <c r="AC256" s="485"/>
      <c r="AD256" s="1075" t="e">
        <f>SUM(H256:L256)/SUM(Y256:AC256)-1</f>
        <v>#DIV/0!</v>
      </c>
      <c r="AH256" s="489"/>
      <c r="AI256" s="490"/>
      <c r="AJ256" s="490"/>
      <c r="AK256" s="490"/>
      <c r="AL256" s="491"/>
      <c r="AM256" s="489"/>
      <c r="AN256" s="490"/>
      <c r="AO256" s="491"/>
    </row>
    <row r="257" spans="1:41">
      <c r="A257" s="299"/>
      <c r="B257" s="3646" t="s">
        <v>473</v>
      </c>
      <c r="C257" s="486"/>
      <c r="D257" s="485"/>
      <c r="E257" s="485"/>
      <c r="F257" s="485"/>
      <c r="G257" s="487"/>
      <c r="H257" s="486"/>
      <c r="I257" s="485"/>
      <c r="J257" s="485"/>
      <c r="K257" s="485"/>
      <c r="L257" s="485"/>
      <c r="M257" s="486"/>
      <c r="N257" s="485"/>
      <c r="O257" s="485"/>
      <c r="P257" s="485"/>
      <c r="Q257" s="487"/>
      <c r="R257" s="1268"/>
      <c r="S257" s="489"/>
      <c r="T257" s="490"/>
      <c r="U257" s="490"/>
      <c r="V257" s="490"/>
      <c r="W257" s="491"/>
      <c r="X257" s="1071"/>
      <c r="Y257" s="489"/>
      <c r="Z257" s="490"/>
      <c r="AA257" s="490"/>
      <c r="AB257" s="490"/>
      <c r="AC257" s="490"/>
      <c r="AD257" s="1076" t="e">
        <f>SUM(H257:L257)/SUM(Y257:AC257)-1</f>
        <v>#DIV/0!</v>
      </c>
      <c r="AH257" s="489"/>
      <c r="AI257" s="490"/>
      <c r="AJ257" s="490"/>
      <c r="AK257" s="490"/>
      <c r="AL257" s="491"/>
      <c r="AM257" s="489"/>
      <c r="AN257" s="490"/>
      <c r="AO257" s="491"/>
    </row>
    <row r="258" spans="1:41">
      <c r="A258" s="299"/>
      <c r="B258" s="370" t="s">
        <v>169</v>
      </c>
      <c r="C258" s="840"/>
      <c r="D258" s="1017"/>
      <c r="E258" s="1017"/>
      <c r="F258" s="1017"/>
      <c r="G258" s="352"/>
      <c r="H258" s="840"/>
      <c r="I258" s="1017"/>
      <c r="J258" s="1017"/>
      <c r="K258" s="1017"/>
      <c r="L258" s="1017"/>
      <c r="M258" s="840"/>
      <c r="N258" s="1017"/>
      <c r="O258" s="1017"/>
      <c r="P258" s="1017"/>
      <c r="Q258" s="352"/>
      <c r="R258" s="1268"/>
      <c r="S258" s="840"/>
      <c r="T258" s="1017"/>
      <c r="U258" s="1017"/>
      <c r="V258" s="1017"/>
      <c r="W258" s="352"/>
      <c r="X258" s="1017"/>
      <c r="Y258" s="840"/>
      <c r="Z258" s="1017"/>
      <c r="AA258" s="1017"/>
      <c r="AB258" s="1017"/>
      <c r="AC258" s="1017"/>
      <c r="AD258" s="352"/>
      <c r="AH258" s="840"/>
      <c r="AI258" s="1017"/>
      <c r="AJ258" s="1017"/>
      <c r="AK258" s="1017"/>
      <c r="AL258" s="352"/>
      <c r="AM258" s="840"/>
      <c r="AN258" s="1017"/>
      <c r="AO258" s="352"/>
    </row>
    <row r="259" spans="1:41">
      <c r="A259" s="299"/>
      <c r="B259" s="3646" t="str">
        <f>B24</f>
        <v>Electricity to gas</v>
      </c>
      <c r="C259" s="356" t="e">
        <f t="shared" ref="C259:L263" si="134">C253/C241</f>
        <v>#DIV/0!</v>
      </c>
      <c r="D259" s="357" t="e">
        <f t="shared" si="134"/>
        <v>#DIV/0!</v>
      </c>
      <c r="E259" s="357" t="e">
        <f t="shared" si="134"/>
        <v>#DIV/0!</v>
      </c>
      <c r="F259" s="357" t="e">
        <f t="shared" si="134"/>
        <v>#DIV/0!</v>
      </c>
      <c r="G259" s="358" t="e">
        <f t="shared" si="134"/>
        <v>#DIV/0!</v>
      </c>
      <c r="H259" s="356" t="e">
        <f t="shared" si="134"/>
        <v>#DIV/0!</v>
      </c>
      <c r="I259" s="357" t="e">
        <f t="shared" si="134"/>
        <v>#DIV/0!</v>
      </c>
      <c r="J259" s="357" t="e">
        <f t="shared" si="134"/>
        <v>#DIV/0!</v>
      </c>
      <c r="K259" s="357" t="e">
        <f t="shared" si="134"/>
        <v>#DIV/0!</v>
      </c>
      <c r="L259" s="357" t="e">
        <f t="shared" si="134"/>
        <v>#DIV/0!</v>
      </c>
      <c r="M259" s="356" t="e">
        <f>AVERAGE($H$259:$L$259)</f>
        <v>#DIV/0!</v>
      </c>
      <c r="N259" s="357" t="e">
        <f>AVERAGE($H$259:$L$259)</f>
        <v>#DIV/0!</v>
      </c>
      <c r="O259" s="357" t="e">
        <f>AVERAGE($H$259:$L$259)</f>
        <v>#DIV/0!</v>
      </c>
      <c r="P259" s="357" t="e">
        <f>AVERAGE($H$259:$L$259)</f>
        <v>#DIV/0!</v>
      </c>
      <c r="Q259" s="358" t="e">
        <f>AVERAGE($H$259:$L$259)</f>
        <v>#DIV/0!</v>
      </c>
      <c r="R259" s="1268"/>
      <c r="S259" s="356" t="e">
        <f t="shared" ref="S259:AC263" si="135">S253/S241</f>
        <v>#DIV/0!</v>
      </c>
      <c r="T259" s="357" t="e">
        <f t="shared" si="135"/>
        <v>#DIV/0!</v>
      </c>
      <c r="U259" s="357" t="e">
        <f t="shared" si="135"/>
        <v>#DIV/0!</v>
      </c>
      <c r="V259" s="357" t="e">
        <f t="shared" si="135"/>
        <v>#DIV/0!</v>
      </c>
      <c r="W259" s="358" t="e">
        <f t="shared" si="135"/>
        <v>#DIV/0!</v>
      </c>
      <c r="X259" s="1073" t="e">
        <f t="shared" si="135"/>
        <v>#DIV/0!</v>
      </c>
      <c r="Y259" s="356" t="e">
        <f t="shared" si="135"/>
        <v>#DIV/0!</v>
      </c>
      <c r="Z259" s="357" t="e">
        <f t="shared" si="135"/>
        <v>#DIV/0!</v>
      </c>
      <c r="AA259" s="357" t="e">
        <f t="shared" si="135"/>
        <v>#DIV/0!</v>
      </c>
      <c r="AB259" s="357" t="e">
        <f t="shared" si="135"/>
        <v>#DIV/0!</v>
      </c>
      <c r="AC259" s="357" t="e">
        <f t="shared" si="135"/>
        <v>#DIV/0!</v>
      </c>
      <c r="AD259" s="1078" t="e">
        <f>SUM(H259:L259)/SUM(Y259:AC259)-1</f>
        <v>#DIV/0!</v>
      </c>
      <c r="AH259" s="356" t="e">
        <f t="shared" ref="AH259:AO259" si="136">AH253/AH241</f>
        <v>#DIV/0!</v>
      </c>
      <c r="AI259" s="357" t="e">
        <f t="shared" si="136"/>
        <v>#DIV/0!</v>
      </c>
      <c r="AJ259" s="357" t="e">
        <f t="shared" si="136"/>
        <v>#DIV/0!</v>
      </c>
      <c r="AK259" s="357" t="e">
        <f t="shared" si="136"/>
        <v>#DIV/0!</v>
      </c>
      <c r="AL259" s="358" t="e">
        <f t="shared" si="136"/>
        <v>#DIV/0!</v>
      </c>
      <c r="AM259" s="356" t="e">
        <f t="shared" si="136"/>
        <v>#DIV/0!</v>
      </c>
      <c r="AN259" s="357" t="e">
        <f t="shared" si="136"/>
        <v>#DIV/0!</v>
      </c>
      <c r="AO259" s="358" t="e">
        <f t="shared" si="136"/>
        <v>#DIV/0!</v>
      </c>
    </row>
    <row r="260" spans="1:41">
      <c r="A260" s="299"/>
      <c r="B260" s="3646" t="str">
        <f>B25</f>
        <v>New homes</v>
      </c>
      <c r="C260" s="356" t="e">
        <f t="shared" si="134"/>
        <v>#DIV/0!</v>
      </c>
      <c r="D260" s="357" t="e">
        <f t="shared" si="134"/>
        <v>#DIV/0!</v>
      </c>
      <c r="E260" s="357" t="e">
        <f t="shared" si="134"/>
        <v>#DIV/0!</v>
      </c>
      <c r="F260" s="357" t="e">
        <f t="shared" si="134"/>
        <v>#DIV/0!</v>
      </c>
      <c r="G260" s="358" t="e">
        <f t="shared" si="134"/>
        <v>#DIV/0!</v>
      </c>
      <c r="H260" s="356" t="e">
        <f t="shared" si="134"/>
        <v>#DIV/0!</v>
      </c>
      <c r="I260" s="357" t="e">
        <f t="shared" si="134"/>
        <v>#DIV/0!</v>
      </c>
      <c r="J260" s="357" t="e">
        <f t="shared" si="134"/>
        <v>#DIV/0!</v>
      </c>
      <c r="K260" s="357" t="e">
        <f t="shared" si="134"/>
        <v>#DIV/0!</v>
      </c>
      <c r="L260" s="357" t="e">
        <f t="shared" si="134"/>
        <v>#DIV/0!</v>
      </c>
      <c r="M260" s="356" t="e">
        <f>AVERAGE($H$260:$L$260)</f>
        <v>#DIV/0!</v>
      </c>
      <c r="N260" s="357" t="e">
        <f>AVERAGE($H$260:$L$260)</f>
        <v>#DIV/0!</v>
      </c>
      <c r="O260" s="357" t="e">
        <f>AVERAGE($H$260:$L$260)</f>
        <v>#DIV/0!</v>
      </c>
      <c r="P260" s="357" t="e">
        <f>AVERAGE($H$260:$L$260)</f>
        <v>#DIV/0!</v>
      </c>
      <c r="Q260" s="358" t="e">
        <f>AVERAGE($H$260:$L$260)</f>
        <v>#DIV/0!</v>
      </c>
      <c r="R260" s="1268"/>
      <c r="S260" s="356" t="e">
        <f t="shared" si="135"/>
        <v>#DIV/0!</v>
      </c>
      <c r="T260" s="357" t="e">
        <f t="shared" si="135"/>
        <v>#DIV/0!</v>
      </c>
      <c r="U260" s="357" t="e">
        <f t="shared" si="135"/>
        <v>#DIV/0!</v>
      </c>
      <c r="V260" s="357" t="e">
        <f t="shared" si="135"/>
        <v>#DIV/0!</v>
      </c>
      <c r="W260" s="358" t="e">
        <f t="shared" si="135"/>
        <v>#DIV/0!</v>
      </c>
      <c r="X260" s="1073" t="e">
        <f t="shared" si="135"/>
        <v>#DIV/0!</v>
      </c>
      <c r="Y260" s="356" t="e">
        <f t="shared" si="135"/>
        <v>#DIV/0!</v>
      </c>
      <c r="Z260" s="357" t="e">
        <f t="shared" si="135"/>
        <v>#DIV/0!</v>
      </c>
      <c r="AA260" s="357" t="e">
        <f t="shared" si="135"/>
        <v>#DIV/0!</v>
      </c>
      <c r="AB260" s="357" t="e">
        <f t="shared" si="135"/>
        <v>#DIV/0!</v>
      </c>
      <c r="AC260" s="357" t="e">
        <f t="shared" si="135"/>
        <v>#DIV/0!</v>
      </c>
      <c r="AD260" s="1078" t="e">
        <f>SUM(H260:L260)/SUM(Y260:AC260)-1</f>
        <v>#DIV/0!</v>
      </c>
      <c r="AH260" s="356" t="e">
        <f t="shared" ref="AH260:AO260" si="137">AH254/AH242</f>
        <v>#DIV/0!</v>
      </c>
      <c r="AI260" s="357" t="e">
        <f t="shared" si="137"/>
        <v>#DIV/0!</v>
      </c>
      <c r="AJ260" s="357" t="e">
        <f t="shared" si="137"/>
        <v>#DIV/0!</v>
      </c>
      <c r="AK260" s="357" t="e">
        <f t="shared" si="137"/>
        <v>#DIV/0!</v>
      </c>
      <c r="AL260" s="358" t="e">
        <f t="shared" si="137"/>
        <v>#DIV/0!</v>
      </c>
      <c r="AM260" s="356" t="e">
        <f t="shared" si="137"/>
        <v>#DIV/0!</v>
      </c>
      <c r="AN260" s="357" t="e">
        <f t="shared" si="137"/>
        <v>#DIV/0!</v>
      </c>
      <c r="AO260" s="358" t="e">
        <f t="shared" si="137"/>
        <v>#DIV/0!</v>
      </c>
    </row>
    <row r="261" spans="1:41">
      <c r="A261" s="299"/>
      <c r="B261" s="3646" t="str">
        <f>B26</f>
        <v>New medium density / high rise</v>
      </c>
      <c r="C261" s="356" t="e">
        <f t="shared" si="134"/>
        <v>#DIV/0!</v>
      </c>
      <c r="D261" s="357" t="e">
        <f t="shared" si="134"/>
        <v>#DIV/0!</v>
      </c>
      <c r="E261" s="357" t="e">
        <f t="shared" si="134"/>
        <v>#DIV/0!</v>
      </c>
      <c r="F261" s="357" t="e">
        <f t="shared" si="134"/>
        <v>#DIV/0!</v>
      </c>
      <c r="G261" s="358" t="e">
        <f t="shared" si="134"/>
        <v>#DIV/0!</v>
      </c>
      <c r="H261" s="356" t="e">
        <f t="shared" si="134"/>
        <v>#DIV/0!</v>
      </c>
      <c r="I261" s="357" t="e">
        <f t="shared" si="134"/>
        <v>#DIV/0!</v>
      </c>
      <c r="J261" s="357" t="e">
        <f t="shared" si="134"/>
        <v>#DIV/0!</v>
      </c>
      <c r="K261" s="357" t="e">
        <f t="shared" si="134"/>
        <v>#DIV/0!</v>
      </c>
      <c r="L261" s="357" t="e">
        <f t="shared" si="134"/>
        <v>#DIV/0!</v>
      </c>
      <c r="M261" s="356" t="e">
        <f>AVERAGE($H$261:$L$261)</f>
        <v>#DIV/0!</v>
      </c>
      <c r="N261" s="357" t="e">
        <f>AVERAGE($H$261:$L$261)</f>
        <v>#DIV/0!</v>
      </c>
      <c r="O261" s="357" t="e">
        <f>AVERAGE($H$261:$L$261)</f>
        <v>#DIV/0!</v>
      </c>
      <c r="P261" s="357" t="e">
        <f>AVERAGE($H$261:$L$261)</f>
        <v>#DIV/0!</v>
      </c>
      <c r="Q261" s="358" t="e">
        <f>AVERAGE($H$261:$L$261)</f>
        <v>#DIV/0!</v>
      </c>
      <c r="R261" s="1268"/>
      <c r="S261" s="356" t="e">
        <f t="shared" si="135"/>
        <v>#DIV/0!</v>
      </c>
      <c r="T261" s="357" t="e">
        <f t="shared" si="135"/>
        <v>#DIV/0!</v>
      </c>
      <c r="U261" s="357" t="e">
        <f t="shared" si="135"/>
        <v>#DIV/0!</v>
      </c>
      <c r="V261" s="357" t="e">
        <f t="shared" si="135"/>
        <v>#DIV/0!</v>
      </c>
      <c r="W261" s="358" t="e">
        <f t="shared" si="135"/>
        <v>#DIV/0!</v>
      </c>
      <c r="X261" s="1073" t="e">
        <f t="shared" si="135"/>
        <v>#DIV/0!</v>
      </c>
      <c r="Y261" s="356" t="e">
        <f t="shared" si="135"/>
        <v>#DIV/0!</v>
      </c>
      <c r="Z261" s="357" t="e">
        <f t="shared" si="135"/>
        <v>#DIV/0!</v>
      </c>
      <c r="AA261" s="357" t="e">
        <f t="shared" si="135"/>
        <v>#DIV/0!</v>
      </c>
      <c r="AB261" s="357" t="e">
        <f t="shared" si="135"/>
        <v>#DIV/0!</v>
      </c>
      <c r="AC261" s="357" t="e">
        <f t="shared" si="135"/>
        <v>#DIV/0!</v>
      </c>
      <c r="AD261" s="1078" t="e">
        <f>SUM(H261:L261)/SUM(Y261:AC261)-1</f>
        <v>#DIV/0!</v>
      </c>
      <c r="AH261" s="356" t="e">
        <f t="shared" ref="AH261:AO261" si="138">AH255/AH243</f>
        <v>#DIV/0!</v>
      </c>
      <c r="AI261" s="357" t="e">
        <f t="shared" si="138"/>
        <v>#DIV/0!</v>
      </c>
      <c r="AJ261" s="357" t="e">
        <f t="shared" si="138"/>
        <v>#DIV/0!</v>
      </c>
      <c r="AK261" s="357" t="e">
        <f t="shared" si="138"/>
        <v>#DIV/0!</v>
      </c>
      <c r="AL261" s="358" t="e">
        <f t="shared" si="138"/>
        <v>#DIV/0!</v>
      </c>
      <c r="AM261" s="356" t="e">
        <f t="shared" si="138"/>
        <v>#DIV/0!</v>
      </c>
      <c r="AN261" s="357" t="e">
        <f t="shared" si="138"/>
        <v>#DIV/0!</v>
      </c>
      <c r="AO261" s="358" t="e">
        <f t="shared" si="138"/>
        <v>#DIV/0!</v>
      </c>
    </row>
    <row r="262" spans="1:41">
      <c r="A262" s="299"/>
      <c r="B262" s="3646" t="str">
        <f>B27</f>
        <v>I&amp;C tariff</v>
      </c>
      <c r="C262" s="356" t="e">
        <f t="shared" si="134"/>
        <v>#DIV/0!</v>
      </c>
      <c r="D262" s="357" t="e">
        <f t="shared" si="134"/>
        <v>#DIV/0!</v>
      </c>
      <c r="E262" s="357" t="e">
        <f t="shared" si="134"/>
        <v>#DIV/0!</v>
      </c>
      <c r="F262" s="357" t="e">
        <f t="shared" si="134"/>
        <v>#DIV/0!</v>
      </c>
      <c r="G262" s="358" t="e">
        <f t="shared" si="134"/>
        <v>#DIV/0!</v>
      </c>
      <c r="H262" s="356" t="e">
        <f t="shared" si="134"/>
        <v>#DIV/0!</v>
      </c>
      <c r="I262" s="357" t="e">
        <f t="shared" si="134"/>
        <v>#DIV/0!</v>
      </c>
      <c r="J262" s="357" t="e">
        <f t="shared" si="134"/>
        <v>#DIV/0!</v>
      </c>
      <c r="K262" s="357" t="e">
        <f t="shared" si="134"/>
        <v>#DIV/0!</v>
      </c>
      <c r="L262" s="357" t="e">
        <f t="shared" si="134"/>
        <v>#DIV/0!</v>
      </c>
      <c r="M262" s="356" t="e">
        <f>AVERAGE($H$262:$L$262)</f>
        <v>#DIV/0!</v>
      </c>
      <c r="N262" s="357" t="e">
        <f>AVERAGE($H$262:$L$262)</f>
        <v>#DIV/0!</v>
      </c>
      <c r="O262" s="357" t="e">
        <f>AVERAGE($H$262:$L$262)</f>
        <v>#DIV/0!</v>
      </c>
      <c r="P262" s="357" t="e">
        <f>AVERAGE($H$262:$L$262)</f>
        <v>#DIV/0!</v>
      </c>
      <c r="Q262" s="358" t="e">
        <f>AVERAGE($H$262:$L$262)</f>
        <v>#DIV/0!</v>
      </c>
      <c r="R262" s="1268"/>
      <c r="S262" s="356" t="e">
        <f t="shared" si="135"/>
        <v>#DIV/0!</v>
      </c>
      <c r="T262" s="357" t="e">
        <f t="shared" si="135"/>
        <v>#DIV/0!</v>
      </c>
      <c r="U262" s="357" t="e">
        <f t="shared" si="135"/>
        <v>#DIV/0!</v>
      </c>
      <c r="V262" s="357" t="e">
        <f t="shared" si="135"/>
        <v>#DIV/0!</v>
      </c>
      <c r="W262" s="358" t="e">
        <f t="shared" si="135"/>
        <v>#DIV/0!</v>
      </c>
      <c r="X262" s="1073" t="e">
        <f t="shared" si="135"/>
        <v>#DIV/0!</v>
      </c>
      <c r="Y262" s="356" t="e">
        <f t="shared" si="135"/>
        <v>#DIV/0!</v>
      </c>
      <c r="Z262" s="357" t="e">
        <f t="shared" si="135"/>
        <v>#DIV/0!</v>
      </c>
      <c r="AA262" s="357" t="e">
        <f t="shared" si="135"/>
        <v>#DIV/0!</v>
      </c>
      <c r="AB262" s="357" t="e">
        <f t="shared" si="135"/>
        <v>#DIV/0!</v>
      </c>
      <c r="AC262" s="357" t="e">
        <f t="shared" si="135"/>
        <v>#DIV/0!</v>
      </c>
      <c r="AD262" s="1078" t="e">
        <f>SUM(H262:L262)/SUM(Y262:AC262)-1</f>
        <v>#DIV/0!</v>
      </c>
      <c r="AH262" s="356" t="e">
        <f t="shared" ref="AH262:AO262" si="139">AH256/AH244</f>
        <v>#DIV/0!</v>
      </c>
      <c r="AI262" s="357" t="e">
        <f t="shared" si="139"/>
        <v>#DIV/0!</v>
      </c>
      <c r="AJ262" s="357" t="e">
        <f t="shared" si="139"/>
        <v>#DIV/0!</v>
      </c>
      <c r="AK262" s="357" t="e">
        <f t="shared" si="139"/>
        <v>#DIV/0!</v>
      </c>
      <c r="AL262" s="358" t="e">
        <f t="shared" si="139"/>
        <v>#DIV/0!</v>
      </c>
      <c r="AM262" s="356" t="e">
        <f t="shared" si="139"/>
        <v>#DIV/0!</v>
      </c>
      <c r="AN262" s="357" t="e">
        <f t="shared" si="139"/>
        <v>#DIV/0!</v>
      </c>
      <c r="AO262" s="358" t="e">
        <f t="shared" si="139"/>
        <v>#DIV/0!</v>
      </c>
    </row>
    <row r="263" spans="1:41">
      <c r="A263" s="299"/>
      <c r="B263" s="3646" t="str">
        <f>B28</f>
        <v>I&amp;C contract</v>
      </c>
      <c r="C263" s="356" t="e">
        <f t="shared" si="134"/>
        <v>#DIV/0!</v>
      </c>
      <c r="D263" s="357" t="e">
        <f t="shared" si="134"/>
        <v>#DIV/0!</v>
      </c>
      <c r="E263" s="357" t="e">
        <f t="shared" si="134"/>
        <v>#DIV/0!</v>
      </c>
      <c r="F263" s="357" t="e">
        <f t="shared" si="134"/>
        <v>#DIV/0!</v>
      </c>
      <c r="G263" s="358" t="e">
        <f t="shared" si="134"/>
        <v>#DIV/0!</v>
      </c>
      <c r="H263" s="356" t="e">
        <f t="shared" si="134"/>
        <v>#DIV/0!</v>
      </c>
      <c r="I263" s="357" t="e">
        <f t="shared" si="134"/>
        <v>#DIV/0!</v>
      </c>
      <c r="J263" s="357" t="e">
        <f t="shared" si="134"/>
        <v>#DIV/0!</v>
      </c>
      <c r="K263" s="357" t="e">
        <f t="shared" si="134"/>
        <v>#DIV/0!</v>
      </c>
      <c r="L263" s="357" t="e">
        <f t="shared" si="134"/>
        <v>#DIV/0!</v>
      </c>
      <c r="M263" s="356" t="e">
        <f>AVERAGE($H$263:$L$263)</f>
        <v>#DIV/0!</v>
      </c>
      <c r="N263" s="357" t="e">
        <f>AVERAGE($H$263:$L$263)</f>
        <v>#DIV/0!</v>
      </c>
      <c r="O263" s="357" t="e">
        <f>AVERAGE($H$263:$L$263)</f>
        <v>#DIV/0!</v>
      </c>
      <c r="P263" s="357" t="e">
        <f>AVERAGE($H$263:$L$263)</f>
        <v>#DIV/0!</v>
      </c>
      <c r="Q263" s="358" t="e">
        <f>AVERAGE($H$263:$L$263)</f>
        <v>#DIV/0!</v>
      </c>
      <c r="R263" s="1268"/>
      <c r="S263" s="356" t="e">
        <f t="shared" si="135"/>
        <v>#DIV/0!</v>
      </c>
      <c r="T263" s="357" t="e">
        <f t="shared" si="135"/>
        <v>#DIV/0!</v>
      </c>
      <c r="U263" s="357" t="e">
        <f t="shared" si="135"/>
        <v>#DIV/0!</v>
      </c>
      <c r="V263" s="357" t="e">
        <f t="shared" si="135"/>
        <v>#DIV/0!</v>
      </c>
      <c r="W263" s="358" t="e">
        <f t="shared" si="135"/>
        <v>#DIV/0!</v>
      </c>
      <c r="X263" s="1073" t="e">
        <f t="shared" si="135"/>
        <v>#DIV/0!</v>
      </c>
      <c r="Y263" s="356" t="e">
        <f t="shared" si="135"/>
        <v>#DIV/0!</v>
      </c>
      <c r="Z263" s="357" t="e">
        <f t="shared" si="135"/>
        <v>#DIV/0!</v>
      </c>
      <c r="AA263" s="357" t="e">
        <f t="shared" si="135"/>
        <v>#DIV/0!</v>
      </c>
      <c r="AB263" s="357" t="e">
        <f t="shared" si="135"/>
        <v>#DIV/0!</v>
      </c>
      <c r="AC263" s="357" t="e">
        <f t="shared" si="135"/>
        <v>#DIV/0!</v>
      </c>
      <c r="AD263" s="1078" t="e">
        <f>SUM(H263:L263)/SUM(Y263:AC263)-1</f>
        <v>#DIV/0!</v>
      </c>
      <c r="AH263" s="356" t="e">
        <f t="shared" ref="AH263:AO263" si="140">AH257/AH245</f>
        <v>#DIV/0!</v>
      </c>
      <c r="AI263" s="357" t="e">
        <f t="shared" si="140"/>
        <v>#DIV/0!</v>
      </c>
      <c r="AJ263" s="357" t="e">
        <f t="shared" si="140"/>
        <v>#DIV/0!</v>
      </c>
      <c r="AK263" s="357" t="e">
        <f t="shared" si="140"/>
        <v>#DIV/0!</v>
      </c>
      <c r="AL263" s="358" t="e">
        <f t="shared" si="140"/>
        <v>#DIV/0!</v>
      </c>
      <c r="AM263" s="356" t="e">
        <f t="shared" si="140"/>
        <v>#DIV/0!</v>
      </c>
      <c r="AN263" s="357" t="e">
        <f t="shared" si="140"/>
        <v>#DIV/0!</v>
      </c>
      <c r="AO263" s="358" t="e">
        <f t="shared" si="140"/>
        <v>#DIV/0!</v>
      </c>
    </row>
    <row r="264" spans="1:41">
      <c r="A264" s="299"/>
      <c r="B264" s="370" t="s">
        <v>170</v>
      </c>
      <c r="C264" s="840"/>
      <c r="D264" s="1017"/>
      <c r="E264" s="1017"/>
      <c r="F264" s="1017"/>
      <c r="G264" s="352"/>
      <c r="H264" s="840"/>
      <c r="I264" s="1017"/>
      <c r="J264" s="1017"/>
      <c r="K264" s="1017"/>
      <c r="L264" s="1017"/>
      <c r="M264" s="840"/>
      <c r="N264" s="1017"/>
      <c r="O264" s="1017"/>
      <c r="P264" s="1017"/>
      <c r="Q264" s="352"/>
      <c r="R264" s="1268"/>
      <c r="S264" s="840"/>
      <c r="T264" s="1017"/>
      <c r="U264" s="1017"/>
      <c r="V264" s="1017"/>
      <c r="W264" s="352"/>
      <c r="X264" s="1017"/>
      <c r="Y264" s="840"/>
      <c r="Z264" s="1017"/>
      <c r="AA264" s="1017"/>
      <c r="AB264" s="1017"/>
      <c r="AC264" s="1017"/>
      <c r="AD264" s="352"/>
      <c r="AH264" s="840"/>
      <c r="AI264" s="1017"/>
      <c r="AJ264" s="1017"/>
      <c r="AK264" s="1017"/>
      <c r="AL264" s="352"/>
      <c r="AM264" s="840"/>
      <c r="AN264" s="1017"/>
      <c r="AO264" s="352"/>
    </row>
    <row r="265" spans="1:41">
      <c r="A265" s="299"/>
      <c r="B265" s="3646" t="str">
        <f>B24</f>
        <v>Electricity to gas</v>
      </c>
      <c r="C265" s="497"/>
      <c r="D265" s="495"/>
      <c r="E265" s="495"/>
      <c r="F265" s="495"/>
      <c r="G265" s="556"/>
      <c r="H265" s="497"/>
      <c r="I265" s="495"/>
      <c r="J265" s="495"/>
      <c r="K265" s="495"/>
      <c r="L265" s="495" t="e">
        <f t="shared" ref="L265:Q269" si="141">L247*L241*L259</f>
        <v>#DIV/0!</v>
      </c>
      <c r="M265" s="1069" t="e">
        <f t="shared" si="141"/>
        <v>#DIV/0!</v>
      </c>
      <c r="N265" s="359" t="e">
        <f t="shared" si="141"/>
        <v>#DIV/0!</v>
      </c>
      <c r="O265" s="359" t="e">
        <f t="shared" si="141"/>
        <v>#DIV/0!</v>
      </c>
      <c r="P265" s="359" t="e">
        <f t="shared" si="141"/>
        <v>#DIV/0!</v>
      </c>
      <c r="Q265" s="360" t="e">
        <f t="shared" si="141"/>
        <v>#DIV/0!</v>
      </c>
      <c r="R265" s="1268"/>
      <c r="S265" s="486"/>
      <c r="T265" s="485"/>
      <c r="U265" s="485"/>
      <c r="V265" s="485"/>
      <c r="W265" s="487"/>
      <c r="X265" s="1070"/>
      <c r="Y265" s="486"/>
      <c r="Z265" s="485"/>
      <c r="AA265" s="485"/>
      <c r="AB265" s="485"/>
      <c r="AC265" s="485"/>
      <c r="AD265" s="1079" t="e">
        <f t="shared" ref="AD265:AD270" si="142">SUM(H265:L265)/SUM(Y265:AC265)-1</f>
        <v>#DIV/0!</v>
      </c>
      <c r="AH265" s="497"/>
      <c r="AI265" s="495"/>
      <c r="AJ265" s="495"/>
      <c r="AK265" s="495"/>
      <c r="AL265" s="556"/>
      <c r="AM265" s="497"/>
      <c r="AN265" s="495"/>
      <c r="AO265" s="556"/>
    </row>
    <row r="266" spans="1:41">
      <c r="A266" s="299"/>
      <c r="B266" s="3646" t="str">
        <f>B25</f>
        <v>New homes</v>
      </c>
      <c r="C266" s="497"/>
      <c r="D266" s="495"/>
      <c r="E266" s="495"/>
      <c r="F266" s="495"/>
      <c r="G266" s="556"/>
      <c r="H266" s="497"/>
      <c r="I266" s="495"/>
      <c r="J266" s="495"/>
      <c r="K266" s="495"/>
      <c r="L266" s="495" t="e">
        <f t="shared" si="141"/>
        <v>#DIV/0!</v>
      </c>
      <c r="M266" s="1069" t="e">
        <f t="shared" si="141"/>
        <v>#DIV/0!</v>
      </c>
      <c r="N266" s="359" t="e">
        <f t="shared" si="141"/>
        <v>#DIV/0!</v>
      </c>
      <c r="O266" s="359" t="e">
        <f t="shared" si="141"/>
        <v>#DIV/0!</v>
      </c>
      <c r="P266" s="359" t="e">
        <f t="shared" si="141"/>
        <v>#DIV/0!</v>
      </c>
      <c r="Q266" s="360" t="e">
        <f t="shared" si="141"/>
        <v>#DIV/0!</v>
      </c>
      <c r="R266" s="1268"/>
      <c r="S266" s="486"/>
      <c r="T266" s="485"/>
      <c r="U266" s="485"/>
      <c r="V266" s="485"/>
      <c r="W266" s="487"/>
      <c r="X266" s="1070"/>
      <c r="Y266" s="486"/>
      <c r="Z266" s="485"/>
      <c r="AA266" s="485"/>
      <c r="AB266" s="485"/>
      <c r="AC266" s="485"/>
      <c r="AD266" s="1079" t="e">
        <f t="shared" si="142"/>
        <v>#DIV/0!</v>
      </c>
      <c r="AH266" s="497"/>
      <c r="AI266" s="495"/>
      <c r="AJ266" s="495"/>
      <c r="AK266" s="495"/>
      <c r="AL266" s="556"/>
      <c r="AM266" s="497"/>
      <c r="AN266" s="495"/>
      <c r="AO266" s="556"/>
    </row>
    <row r="267" spans="1:41">
      <c r="A267" s="299"/>
      <c r="B267" s="3646" t="str">
        <f>B26</f>
        <v>New medium density / high rise</v>
      </c>
      <c r="C267" s="497"/>
      <c r="D267" s="495"/>
      <c r="E267" s="495"/>
      <c r="F267" s="495"/>
      <c r="G267" s="556"/>
      <c r="H267" s="497"/>
      <c r="I267" s="495"/>
      <c r="J267" s="495"/>
      <c r="K267" s="495"/>
      <c r="L267" s="495" t="e">
        <f t="shared" si="141"/>
        <v>#DIV/0!</v>
      </c>
      <c r="M267" s="1069" t="e">
        <f t="shared" si="141"/>
        <v>#DIV/0!</v>
      </c>
      <c r="N267" s="359" t="e">
        <f t="shared" si="141"/>
        <v>#DIV/0!</v>
      </c>
      <c r="O267" s="359" t="e">
        <f t="shared" si="141"/>
        <v>#DIV/0!</v>
      </c>
      <c r="P267" s="359" t="e">
        <f t="shared" si="141"/>
        <v>#DIV/0!</v>
      </c>
      <c r="Q267" s="360" t="e">
        <f t="shared" si="141"/>
        <v>#DIV/0!</v>
      </c>
      <c r="R267" s="1268"/>
      <c r="S267" s="486"/>
      <c r="T267" s="485"/>
      <c r="U267" s="485"/>
      <c r="V267" s="485"/>
      <c r="W267" s="487"/>
      <c r="X267" s="1070"/>
      <c r="Y267" s="486"/>
      <c r="Z267" s="485"/>
      <c r="AA267" s="485"/>
      <c r="AB267" s="485"/>
      <c r="AC267" s="485"/>
      <c r="AD267" s="1079" t="e">
        <f t="shared" si="142"/>
        <v>#DIV/0!</v>
      </c>
      <c r="AH267" s="497"/>
      <c r="AI267" s="495"/>
      <c r="AJ267" s="495"/>
      <c r="AK267" s="495"/>
      <c r="AL267" s="556"/>
      <c r="AM267" s="497"/>
      <c r="AN267" s="495"/>
      <c r="AO267" s="556"/>
    </row>
    <row r="268" spans="1:41">
      <c r="A268" s="299"/>
      <c r="B268" s="3646" t="str">
        <f>B27</f>
        <v>I&amp;C tariff</v>
      </c>
      <c r="C268" s="497"/>
      <c r="D268" s="495"/>
      <c r="E268" s="495"/>
      <c r="F268" s="495"/>
      <c r="G268" s="556"/>
      <c r="H268" s="497"/>
      <c r="I268" s="495"/>
      <c r="J268" s="495"/>
      <c r="K268" s="495"/>
      <c r="L268" s="495" t="e">
        <f t="shared" si="141"/>
        <v>#DIV/0!</v>
      </c>
      <c r="M268" s="1069" t="e">
        <f t="shared" si="141"/>
        <v>#DIV/0!</v>
      </c>
      <c r="N268" s="359" t="e">
        <f t="shared" si="141"/>
        <v>#DIV/0!</v>
      </c>
      <c r="O268" s="359" t="e">
        <f t="shared" si="141"/>
        <v>#DIV/0!</v>
      </c>
      <c r="P268" s="359" t="e">
        <f t="shared" si="141"/>
        <v>#DIV/0!</v>
      </c>
      <c r="Q268" s="360" t="e">
        <f t="shared" si="141"/>
        <v>#DIV/0!</v>
      </c>
      <c r="R268" s="1268"/>
      <c r="S268" s="486"/>
      <c r="T268" s="485"/>
      <c r="U268" s="485"/>
      <c r="V268" s="485"/>
      <c r="W268" s="487"/>
      <c r="X268" s="1070"/>
      <c r="Y268" s="486"/>
      <c r="Z268" s="485"/>
      <c r="AA268" s="485"/>
      <c r="AB268" s="485"/>
      <c r="AC268" s="485"/>
      <c r="AD268" s="1079" t="e">
        <f t="shared" si="142"/>
        <v>#DIV/0!</v>
      </c>
      <c r="AH268" s="497"/>
      <c r="AI268" s="495"/>
      <c r="AJ268" s="495"/>
      <c r="AK268" s="495"/>
      <c r="AL268" s="556"/>
      <c r="AM268" s="497"/>
      <c r="AN268" s="495"/>
      <c r="AO268" s="556"/>
    </row>
    <row r="269" spans="1:41" ht="13.5" thickBot="1">
      <c r="A269" s="299"/>
      <c r="B269" s="3646" t="str">
        <f>B28</f>
        <v>I&amp;C contract</v>
      </c>
      <c r="C269" s="498"/>
      <c r="D269" s="496"/>
      <c r="E269" s="496"/>
      <c r="F269" s="496"/>
      <c r="G269" s="557"/>
      <c r="H269" s="498"/>
      <c r="I269" s="496"/>
      <c r="J269" s="496"/>
      <c r="K269" s="496"/>
      <c r="L269" s="496" t="e">
        <f t="shared" si="141"/>
        <v>#DIV/0!</v>
      </c>
      <c r="M269" s="1069" t="e">
        <f t="shared" si="141"/>
        <v>#DIV/0!</v>
      </c>
      <c r="N269" s="359" t="e">
        <f t="shared" si="141"/>
        <v>#DIV/0!</v>
      </c>
      <c r="O269" s="359" t="e">
        <f t="shared" si="141"/>
        <v>#DIV/0!</v>
      </c>
      <c r="P269" s="359" t="e">
        <f t="shared" si="141"/>
        <v>#DIV/0!</v>
      </c>
      <c r="Q269" s="360" t="e">
        <f t="shared" si="141"/>
        <v>#DIV/0!</v>
      </c>
      <c r="R269" s="1268"/>
      <c r="S269" s="489"/>
      <c r="T269" s="490"/>
      <c r="U269" s="490"/>
      <c r="V269" s="490"/>
      <c r="W269" s="491"/>
      <c r="X269" s="1071"/>
      <c r="Y269" s="489"/>
      <c r="Z269" s="490"/>
      <c r="AA269" s="490"/>
      <c r="AB269" s="490"/>
      <c r="AC269" s="490"/>
      <c r="AD269" s="1079" t="e">
        <f t="shared" si="142"/>
        <v>#DIV/0!</v>
      </c>
      <c r="AH269" s="1753"/>
      <c r="AI269" s="1754"/>
      <c r="AJ269" s="1754"/>
      <c r="AK269" s="1754"/>
      <c r="AL269" s="1755"/>
      <c r="AM269" s="1753"/>
      <c r="AN269" s="1754"/>
      <c r="AO269" s="1755"/>
    </row>
    <row r="270" spans="1:41" ht="13.5" thickBot="1">
      <c r="A270" s="299"/>
      <c r="B270" s="249" t="s">
        <v>55</v>
      </c>
      <c r="C270" s="3651"/>
      <c r="D270" s="3652"/>
      <c r="E270" s="3652"/>
      <c r="F270" s="3652"/>
      <c r="G270" s="3653"/>
      <c r="H270" s="3651"/>
      <c r="I270" s="3652"/>
      <c r="J270" s="3652"/>
      <c r="K270" s="3652"/>
      <c r="L270" s="3652" t="e">
        <f t="shared" ref="L270:AC270" si="143">SUM(L265:L269)</f>
        <v>#DIV/0!</v>
      </c>
      <c r="M270" s="1749" t="e">
        <f t="shared" si="143"/>
        <v>#DIV/0!</v>
      </c>
      <c r="N270" s="361" t="e">
        <f t="shared" si="143"/>
        <v>#DIV/0!</v>
      </c>
      <c r="O270" s="361" t="e">
        <f t="shared" si="143"/>
        <v>#DIV/0!</v>
      </c>
      <c r="P270" s="361" t="e">
        <f t="shared" si="143"/>
        <v>#DIV/0!</v>
      </c>
      <c r="Q270" s="362" t="e">
        <f t="shared" si="143"/>
        <v>#DIV/0!</v>
      </c>
      <c r="R270" s="1268"/>
      <c r="S270" s="1749">
        <f t="shared" si="143"/>
        <v>0</v>
      </c>
      <c r="T270" s="361">
        <f t="shared" si="143"/>
        <v>0</v>
      </c>
      <c r="U270" s="361">
        <f t="shared" si="143"/>
        <v>0</v>
      </c>
      <c r="V270" s="361">
        <f t="shared" si="143"/>
        <v>0</v>
      </c>
      <c r="W270" s="362">
        <f t="shared" si="143"/>
        <v>0</v>
      </c>
      <c r="X270" s="1074">
        <f t="shared" si="143"/>
        <v>0</v>
      </c>
      <c r="Y270" s="1749">
        <f t="shared" si="143"/>
        <v>0</v>
      </c>
      <c r="Z270" s="361">
        <f>SUM(Z265:Z269)</f>
        <v>0</v>
      </c>
      <c r="AA270" s="361">
        <f t="shared" si="143"/>
        <v>0</v>
      </c>
      <c r="AB270" s="361">
        <f t="shared" si="143"/>
        <v>0</v>
      </c>
      <c r="AC270" s="361">
        <f t="shared" si="143"/>
        <v>0</v>
      </c>
      <c r="AD270" s="1080" t="e">
        <f t="shared" si="142"/>
        <v>#DIV/0!</v>
      </c>
      <c r="AH270" s="1750"/>
      <c r="AI270" s="1751"/>
      <c r="AJ270" s="1751"/>
      <c r="AK270" s="1751"/>
      <c r="AL270" s="1752"/>
      <c r="AM270" s="1750"/>
      <c r="AN270" s="1751"/>
      <c r="AO270" s="1751"/>
    </row>
    <row r="271" spans="1:41" s="170" customFormat="1" ht="31.5" customHeight="1" thickBot="1">
      <c r="A271" s="775"/>
      <c r="B271" s="1472" t="s">
        <v>127</v>
      </c>
      <c r="C271" s="300"/>
      <c r="D271" s="1099"/>
      <c r="E271" s="1099"/>
      <c r="F271" s="1099"/>
      <c r="G271" s="1099"/>
      <c r="H271" s="1099"/>
      <c r="I271" s="1099"/>
      <c r="J271" s="1099"/>
      <c r="K271" s="1099"/>
      <c r="L271" s="1099"/>
      <c r="M271" s="1099"/>
      <c r="N271" s="1099"/>
      <c r="O271" s="1099"/>
      <c r="P271" s="1099"/>
      <c r="Q271" s="1100"/>
      <c r="R271" s="1268"/>
      <c r="S271" s="300"/>
      <c r="T271" s="1099"/>
      <c r="U271" s="1099"/>
      <c r="V271" s="1099"/>
      <c r="W271" s="1099"/>
      <c r="X271" s="1099"/>
      <c r="Y271" s="1099"/>
      <c r="Z271" s="1099"/>
      <c r="AA271" s="1099"/>
      <c r="AB271" s="1099"/>
      <c r="AC271" s="1099"/>
      <c r="AD271" s="1100"/>
      <c r="AE271"/>
      <c r="AH271" s="1762"/>
      <c r="AI271" s="1763"/>
      <c r="AJ271" s="1763"/>
      <c r="AK271" s="1763"/>
      <c r="AL271" s="1763"/>
      <c r="AM271" s="1763"/>
      <c r="AN271" s="1763"/>
      <c r="AO271" s="1764"/>
    </row>
  </sheetData>
  <mergeCells count="51">
    <mergeCell ref="AH236:AL236"/>
    <mergeCell ref="AH237:AO237"/>
    <mergeCell ref="AH238:AO238"/>
    <mergeCell ref="AM56:AO56"/>
    <mergeCell ref="AM236:AO236"/>
    <mergeCell ref="AH56:AL56"/>
    <mergeCell ref="AH57:AO57"/>
    <mergeCell ref="AH58:AO58"/>
    <mergeCell ref="B11:F11"/>
    <mergeCell ref="B7:F7"/>
    <mergeCell ref="B8:F8"/>
    <mergeCell ref="B9:F9"/>
    <mergeCell ref="B10:F10"/>
    <mergeCell ref="B12:F12"/>
    <mergeCell ref="B13:F13"/>
    <mergeCell ref="C18:G18"/>
    <mergeCell ref="H18:L18"/>
    <mergeCell ref="M18:Q18"/>
    <mergeCell ref="Y18:AD18"/>
    <mergeCell ref="C19:Q19"/>
    <mergeCell ref="C20:J20"/>
    <mergeCell ref="K20:Q20"/>
    <mergeCell ref="S18:X18"/>
    <mergeCell ref="S19:AD19"/>
    <mergeCell ref="S20:AD20"/>
    <mergeCell ref="S56:X56"/>
    <mergeCell ref="Y56:AD56"/>
    <mergeCell ref="C58:J58"/>
    <mergeCell ref="K58:Q58"/>
    <mergeCell ref="S58:W58"/>
    <mergeCell ref="Y58:AC58"/>
    <mergeCell ref="C57:J57"/>
    <mergeCell ref="K57:Q57"/>
    <mergeCell ref="S57:W57"/>
    <mergeCell ref="Y57:AC57"/>
    <mergeCell ref="C56:G56"/>
    <mergeCell ref="H56:L56"/>
    <mergeCell ref="M56:Q56"/>
    <mergeCell ref="C236:G236"/>
    <mergeCell ref="H236:L236"/>
    <mergeCell ref="M236:Q236"/>
    <mergeCell ref="S236:X236"/>
    <mergeCell ref="Y236:AD236"/>
    <mergeCell ref="C237:J237"/>
    <mergeCell ref="K237:Q237"/>
    <mergeCell ref="S237:W237"/>
    <mergeCell ref="Y237:AC237"/>
    <mergeCell ref="C238:J238"/>
    <mergeCell ref="K238:Q238"/>
    <mergeCell ref="S238:W238"/>
    <mergeCell ref="Y238:AC238"/>
  </mergeCells>
  <pageMargins left="0.7" right="0.7" top="0.75" bottom="0.75" header="0.3" footer="0.3"/>
  <pageSetup paperSize="9" orientation="portrait" r:id="rId1"/>
  <customProperties>
    <customPr name="layoutContexts" r:id="rId2"/>
    <customPr name="SaveUndoMode" r:id="rId3"/>
  </customProperties>
  <drawing r:id="rId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92D050"/>
    <pageSetUpPr autoPageBreaks="0"/>
  </sheetPr>
  <dimension ref="A1:AI188"/>
  <sheetViews>
    <sheetView showGridLines="0" topLeftCell="E16" zoomScale="87" zoomScaleNormal="87" workbookViewId="0">
      <pane xSplit="2" ySplit="4" topLeftCell="L21" activePane="bottomRight" state="frozen"/>
      <selection activeCell="E16" sqref="E16"/>
      <selection pane="topRight" activeCell="G16" sqref="G16"/>
      <selection pane="bottomLeft" activeCell="E20" sqref="E20"/>
      <selection pane="bottomRight" activeCell="P25" sqref="P25"/>
    </sheetView>
  </sheetViews>
  <sheetFormatPr defaultRowHeight="12.75" outlineLevelRow="2"/>
  <cols>
    <col min="1" max="1" width="12" style="77" hidden="1" customWidth="1"/>
    <col min="2" max="2" width="16.28515625" style="77" hidden="1" customWidth="1"/>
    <col min="3" max="3" width="11.85546875" style="77" hidden="1" customWidth="1"/>
    <col min="4" max="4" width="24.140625" style="299" customWidth="1"/>
    <col min="5" max="5" width="48.85546875" style="76" customWidth="1"/>
    <col min="6" max="6" width="61.28515625" style="77" customWidth="1"/>
    <col min="7" max="21" width="15.7109375" style="77" customWidth="1"/>
    <col min="22" max="22" width="35.85546875" style="77" customWidth="1"/>
    <col min="23" max="23" width="22.5703125" customWidth="1"/>
    <col min="27" max="34" width="15.7109375" style="501" customWidth="1"/>
    <col min="35" max="235" width="9.140625" style="77"/>
    <col min="236" max="237" width="16.28515625" style="77" customWidth="1"/>
    <col min="238" max="238" width="93.28515625" style="77" customWidth="1"/>
    <col min="239" max="239" width="26.140625" style="77" customWidth="1"/>
    <col min="240" max="241" width="11.7109375" style="77" bestFit="1" customWidth="1"/>
    <col min="242" max="242" width="11.7109375" style="77" customWidth="1"/>
    <col min="243" max="244" width="17.42578125" style="77" bestFit="1" customWidth="1"/>
    <col min="245" max="246" width="14" style="77" bestFit="1" customWidth="1"/>
    <col min="247" max="247" width="20" style="77" bestFit="1" customWidth="1"/>
    <col min="248" max="248" width="17.42578125" style="77" customWidth="1"/>
    <col min="249" max="249" width="10.7109375" style="77" bestFit="1" customWidth="1"/>
    <col min="250" max="250" width="11" style="77" bestFit="1" customWidth="1"/>
    <col min="251" max="251" width="10.5703125" style="77" bestFit="1" customWidth="1"/>
    <col min="252" max="252" width="15.85546875" style="77" bestFit="1" customWidth="1"/>
    <col min="253" max="253" width="17.42578125" style="77" bestFit="1" customWidth="1"/>
    <col min="254" max="491" width="9.140625" style="77"/>
    <col min="492" max="493" width="16.28515625" style="77" customWidth="1"/>
    <col min="494" max="494" width="93.28515625" style="77" customWidth="1"/>
    <col min="495" max="495" width="26.140625" style="77" customWidth="1"/>
    <col min="496" max="497" width="11.7109375" style="77" bestFit="1" customWidth="1"/>
    <col min="498" max="498" width="11.7109375" style="77" customWidth="1"/>
    <col min="499" max="500" width="17.42578125" style="77" bestFit="1" customWidth="1"/>
    <col min="501" max="502" width="14" style="77" bestFit="1" customWidth="1"/>
    <col min="503" max="503" width="20" style="77" bestFit="1" customWidth="1"/>
    <col min="504" max="504" width="17.42578125" style="77" customWidth="1"/>
    <col min="505" max="505" width="10.7109375" style="77" bestFit="1" customWidth="1"/>
    <col min="506" max="506" width="11" style="77" bestFit="1" customWidth="1"/>
    <col min="507" max="507" width="10.5703125" style="77" bestFit="1" customWidth="1"/>
    <col min="508" max="508" width="15.85546875" style="77" bestFit="1" customWidth="1"/>
    <col min="509" max="509" width="17.42578125" style="77" bestFit="1" customWidth="1"/>
    <col min="510" max="747" width="9.140625" style="77"/>
    <col min="748" max="749" width="16.28515625" style="77" customWidth="1"/>
    <col min="750" max="750" width="93.28515625" style="77" customWidth="1"/>
    <col min="751" max="751" width="26.140625" style="77" customWidth="1"/>
    <col min="752" max="753" width="11.7109375" style="77" bestFit="1" customWidth="1"/>
    <col min="754" max="754" width="11.7109375" style="77" customWidth="1"/>
    <col min="755" max="756" width="17.42578125" style="77" bestFit="1" customWidth="1"/>
    <col min="757" max="758" width="14" style="77" bestFit="1" customWidth="1"/>
    <col min="759" max="759" width="20" style="77" bestFit="1" customWidth="1"/>
    <col min="760" max="760" width="17.42578125" style="77" customWidth="1"/>
    <col min="761" max="761" width="10.7109375" style="77" bestFit="1" customWidth="1"/>
    <col min="762" max="762" width="11" style="77" bestFit="1" customWidth="1"/>
    <col min="763" max="763" width="10.5703125" style="77" bestFit="1" customWidth="1"/>
    <col min="764" max="764" width="15.85546875" style="77" bestFit="1" customWidth="1"/>
    <col min="765" max="765" width="17.42578125" style="77" bestFit="1" customWidth="1"/>
    <col min="766" max="1003" width="9.140625" style="77"/>
    <col min="1004" max="1005" width="16.28515625" style="77" customWidth="1"/>
    <col min="1006" max="1006" width="93.28515625" style="77" customWidth="1"/>
    <col min="1007" max="1007" width="26.140625" style="77" customWidth="1"/>
    <col min="1008" max="1009" width="11.7109375" style="77" bestFit="1" customWidth="1"/>
    <col min="1010" max="1010" width="11.7109375" style="77" customWidth="1"/>
    <col min="1011" max="1012" width="17.42578125" style="77" bestFit="1" customWidth="1"/>
    <col min="1013" max="1014" width="14" style="77" bestFit="1" customWidth="1"/>
    <col min="1015" max="1015" width="20" style="77" bestFit="1" customWidth="1"/>
    <col min="1016" max="1016" width="17.42578125" style="77" customWidth="1"/>
    <col min="1017" max="1017" width="10.7109375" style="77" bestFit="1" customWidth="1"/>
    <col min="1018" max="1018" width="11" style="77" bestFit="1" customWidth="1"/>
    <col min="1019" max="1019" width="10.5703125" style="77" bestFit="1" customWidth="1"/>
    <col min="1020" max="1020" width="15.85546875" style="77" bestFit="1" customWidth="1"/>
    <col min="1021" max="1021" width="17.42578125" style="77" bestFit="1" customWidth="1"/>
    <col min="1022" max="1259" width="9.140625" style="77"/>
    <col min="1260" max="1261" width="16.28515625" style="77" customWidth="1"/>
    <col min="1262" max="1262" width="93.28515625" style="77" customWidth="1"/>
    <col min="1263" max="1263" width="26.140625" style="77" customWidth="1"/>
    <col min="1264" max="1265" width="11.7109375" style="77" bestFit="1" customWidth="1"/>
    <col min="1266" max="1266" width="11.7109375" style="77" customWidth="1"/>
    <col min="1267" max="1268" width="17.42578125" style="77" bestFit="1" customWidth="1"/>
    <col min="1269" max="1270" width="14" style="77" bestFit="1" customWidth="1"/>
    <col min="1271" max="1271" width="20" style="77" bestFit="1" customWidth="1"/>
    <col min="1272" max="1272" width="17.42578125" style="77" customWidth="1"/>
    <col min="1273" max="1273" width="10.7109375" style="77" bestFit="1" customWidth="1"/>
    <col min="1274" max="1274" width="11" style="77" bestFit="1" customWidth="1"/>
    <col min="1275" max="1275" width="10.5703125" style="77" bestFit="1" customWidth="1"/>
    <col min="1276" max="1276" width="15.85546875" style="77" bestFit="1" customWidth="1"/>
    <col min="1277" max="1277" width="17.42578125" style="77" bestFit="1" customWidth="1"/>
    <col min="1278" max="1515" width="9.140625" style="77"/>
    <col min="1516" max="1517" width="16.28515625" style="77" customWidth="1"/>
    <col min="1518" max="1518" width="93.28515625" style="77" customWidth="1"/>
    <col min="1519" max="1519" width="26.140625" style="77" customWidth="1"/>
    <col min="1520" max="1521" width="11.7109375" style="77" bestFit="1" customWidth="1"/>
    <col min="1522" max="1522" width="11.7109375" style="77" customWidth="1"/>
    <col min="1523" max="1524" width="17.42578125" style="77" bestFit="1" customWidth="1"/>
    <col min="1525" max="1526" width="14" style="77" bestFit="1" customWidth="1"/>
    <col min="1527" max="1527" width="20" style="77" bestFit="1" customWidth="1"/>
    <col min="1528" max="1528" width="17.42578125" style="77" customWidth="1"/>
    <col min="1529" max="1529" width="10.7109375" style="77" bestFit="1" customWidth="1"/>
    <col min="1530" max="1530" width="11" style="77" bestFit="1" customWidth="1"/>
    <col min="1531" max="1531" width="10.5703125" style="77" bestFit="1" customWidth="1"/>
    <col min="1532" max="1532" width="15.85546875" style="77" bestFit="1" customWidth="1"/>
    <col min="1533" max="1533" width="17.42578125" style="77" bestFit="1" customWidth="1"/>
    <col min="1534" max="1771" width="9.140625" style="77"/>
    <col min="1772" max="1773" width="16.28515625" style="77" customWidth="1"/>
    <col min="1774" max="1774" width="93.28515625" style="77" customWidth="1"/>
    <col min="1775" max="1775" width="26.140625" style="77" customWidth="1"/>
    <col min="1776" max="1777" width="11.7109375" style="77" bestFit="1" customWidth="1"/>
    <col min="1778" max="1778" width="11.7109375" style="77" customWidth="1"/>
    <col min="1779" max="1780" width="17.42578125" style="77" bestFit="1" customWidth="1"/>
    <col min="1781" max="1782" width="14" style="77" bestFit="1" customWidth="1"/>
    <col min="1783" max="1783" width="20" style="77" bestFit="1" customWidth="1"/>
    <col min="1784" max="1784" width="17.42578125" style="77" customWidth="1"/>
    <col min="1785" max="1785" width="10.7109375" style="77" bestFit="1" customWidth="1"/>
    <col min="1786" max="1786" width="11" style="77" bestFit="1" customWidth="1"/>
    <col min="1787" max="1787" width="10.5703125" style="77" bestFit="1" customWidth="1"/>
    <col min="1788" max="1788" width="15.85546875" style="77" bestFit="1" customWidth="1"/>
    <col min="1789" max="1789" width="17.42578125" style="77" bestFit="1" customWidth="1"/>
    <col min="1790" max="2027" width="9.140625" style="77"/>
    <col min="2028" max="2029" width="16.28515625" style="77" customWidth="1"/>
    <col min="2030" max="2030" width="93.28515625" style="77" customWidth="1"/>
    <col min="2031" max="2031" width="26.140625" style="77" customWidth="1"/>
    <col min="2032" max="2033" width="11.7109375" style="77" bestFit="1" customWidth="1"/>
    <col min="2034" max="2034" width="11.7109375" style="77" customWidth="1"/>
    <col min="2035" max="2036" width="17.42578125" style="77" bestFit="1" customWidth="1"/>
    <col min="2037" max="2038" width="14" style="77" bestFit="1" customWidth="1"/>
    <col min="2039" max="2039" width="20" style="77" bestFit="1" customWidth="1"/>
    <col min="2040" max="2040" width="17.42578125" style="77" customWidth="1"/>
    <col min="2041" max="2041" width="10.7109375" style="77" bestFit="1" customWidth="1"/>
    <col min="2042" max="2042" width="11" style="77" bestFit="1" customWidth="1"/>
    <col min="2043" max="2043" width="10.5703125" style="77" bestFit="1" customWidth="1"/>
    <col min="2044" max="2044" width="15.85546875" style="77" bestFit="1" customWidth="1"/>
    <col min="2045" max="2045" width="17.42578125" style="77" bestFit="1" customWidth="1"/>
    <col min="2046" max="2283" width="9.140625" style="77"/>
    <col min="2284" max="2285" width="16.28515625" style="77" customWidth="1"/>
    <col min="2286" max="2286" width="93.28515625" style="77" customWidth="1"/>
    <col min="2287" max="2287" width="26.140625" style="77" customWidth="1"/>
    <col min="2288" max="2289" width="11.7109375" style="77" bestFit="1" customWidth="1"/>
    <col min="2290" max="2290" width="11.7109375" style="77" customWidth="1"/>
    <col min="2291" max="2292" width="17.42578125" style="77" bestFit="1" customWidth="1"/>
    <col min="2293" max="2294" width="14" style="77" bestFit="1" customWidth="1"/>
    <col min="2295" max="2295" width="20" style="77" bestFit="1" customWidth="1"/>
    <col min="2296" max="2296" width="17.42578125" style="77" customWidth="1"/>
    <col min="2297" max="2297" width="10.7109375" style="77" bestFit="1" customWidth="1"/>
    <col min="2298" max="2298" width="11" style="77" bestFit="1" customWidth="1"/>
    <col min="2299" max="2299" width="10.5703125" style="77" bestFit="1" customWidth="1"/>
    <col min="2300" max="2300" width="15.85546875" style="77" bestFit="1" customWidth="1"/>
    <col min="2301" max="2301" width="17.42578125" style="77" bestFit="1" customWidth="1"/>
    <col min="2302" max="2539" width="9.140625" style="77"/>
    <col min="2540" max="2541" width="16.28515625" style="77" customWidth="1"/>
    <col min="2542" max="2542" width="93.28515625" style="77" customWidth="1"/>
    <col min="2543" max="2543" width="26.140625" style="77" customWidth="1"/>
    <col min="2544" max="2545" width="11.7109375" style="77" bestFit="1" customWidth="1"/>
    <col min="2546" max="2546" width="11.7109375" style="77" customWidth="1"/>
    <col min="2547" max="2548" width="17.42578125" style="77" bestFit="1" customWidth="1"/>
    <col min="2549" max="2550" width="14" style="77" bestFit="1" customWidth="1"/>
    <col min="2551" max="2551" width="20" style="77" bestFit="1" customWidth="1"/>
    <col min="2552" max="2552" width="17.42578125" style="77" customWidth="1"/>
    <col min="2553" max="2553" width="10.7109375" style="77" bestFit="1" customWidth="1"/>
    <col min="2554" max="2554" width="11" style="77" bestFit="1" customWidth="1"/>
    <col min="2555" max="2555" width="10.5703125" style="77" bestFit="1" customWidth="1"/>
    <col min="2556" max="2556" width="15.85546875" style="77" bestFit="1" customWidth="1"/>
    <col min="2557" max="2557" width="17.42578125" style="77" bestFit="1" customWidth="1"/>
    <col min="2558" max="2795" width="9.140625" style="77"/>
    <col min="2796" max="2797" width="16.28515625" style="77" customWidth="1"/>
    <col min="2798" max="2798" width="93.28515625" style="77" customWidth="1"/>
    <col min="2799" max="2799" width="26.140625" style="77" customWidth="1"/>
    <col min="2800" max="2801" width="11.7109375" style="77" bestFit="1" customWidth="1"/>
    <col min="2802" max="2802" width="11.7109375" style="77" customWidth="1"/>
    <col min="2803" max="2804" width="17.42578125" style="77" bestFit="1" customWidth="1"/>
    <col min="2805" max="2806" width="14" style="77" bestFit="1" customWidth="1"/>
    <col min="2807" max="2807" width="20" style="77" bestFit="1" customWidth="1"/>
    <col min="2808" max="2808" width="17.42578125" style="77" customWidth="1"/>
    <col min="2809" max="2809" width="10.7109375" style="77" bestFit="1" customWidth="1"/>
    <col min="2810" max="2810" width="11" style="77" bestFit="1" customWidth="1"/>
    <col min="2811" max="2811" width="10.5703125" style="77" bestFit="1" customWidth="1"/>
    <col min="2812" max="2812" width="15.85546875" style="77" bestFit="1" customWidth="1"/>
    <col min="2813" max="2813" width="17.42578125" style="77" bestFit="1" customWidth="1"/>
    <col min="2814" max="3051" width="9.140625" style="77"/>
    <col min="3052" max="3053" width="16.28515625" style="77" customWidth="1"/>
    <col min="3054" max="3054" width="93.28515625" style="77" customWidth="1"/>
    <col min="3055" max="3055" width="26.140625" style="77" customWidth="1"/>
    <col min="3056" max="3057" width="11.7109375" style="77" bestFit="1" customWidth="1"/>
    <col min="3058" max="3058" width="11.7109375" style="77" customWidth="1"/>
    <col min="3059" max="3060" width="17.42578125" style="77" bestFit="1" customWidth="1"/>
    <col min="3061" max="3062" width="14" style="77" bestFit="1" customWidth="1"/>
    <col min="3063" max="3063" width="20" style="77" bestFit="1" customWidth="1"/>
    <col min="3064" max="3064" width="17.42578125" style="77" customWidth="1"/>
    <col min="3065" max="3065" width="10.7109375" style="77" bestFit="1" customWidth="1"/>
    <col min="3066" max="3066" width="11" style="77" bestFit="1" customWidth="1"/>
    <col min="3067" max="3067" width="10.5703125" style="77" bestFit="1" customWidth="1"/>
    <col min="3068" max="3068" width="15.85546875" style="77" bestFit="1" customWidth="1"/>
    <col min="3069" max="3069" width="17.42578125" style="77" bestFit="1" customWidth="1"/>
    <col min="3070" max="3307" width="9.140625" style="77"/>
    <col min="3308" max="3309" width="16.28515625" style="77" customWidth="1"/>
    <col min="3310" max="3310" width="93.28515625" style="77" customWidth="1"/>
    <col min="3311" max="3311" width="26.140625" style="77" customWidth="1"/>
    <col min="3312" max="3313" width="11.7109375" style="77" bestFit="1" customWidth="1"/>
    <col min="3314" max="3314" width="11.7109375" style="77" customWidth="1"/>
    <col min="3315" max="3316" width="17.42578125" style="77" bestFit="1" customWidth="1"/>
    <col min="3317" max="3318" width="14" style="77" bestFit="1" customWidth="1"/>
    <col min="3319" max="3319" width="20" style="77" bestFit="1" customWidth="1"/>
    <col min="3320" max="3320" width="17.42578125" style="77" customWidth="1"/>
    <col min="3321" max="3321" width="10.7109375" style="77" bestFit="1" customWidth="1"/>
    <col min="3322" max="3322" width="11" style="77" bestFit="1" customWidth="1"/>
    <col min="3323" max="3323" width="10.5703125" style="77" bestFit="1" customWidth="1"/>
    <col min="3324" max="3324" width="15.85546875" style="77" bestFit="1" customWidth="1"/>
    <col min="3325" max="3325" width="17.42578125" style="77" bestFit="1" customWidth="1"/>
    <col min="3326" max="3563" width="9.140625" style="77"/>
    <col min="3564" max="3565" width="16.28515625" style="77" customWidth="1"/>
    <col min="3566" max="3566" width="93.28515625" style="77" customWidth="1"/>
    <col min="3567" max="3567" width="26.140625" style="77" customWidth="1"/>
    <col min="3568" max="3569" width="11.7109375" style="77" bestFit="1" customWidth="1"/>
    <col min="3570" max="3570" width="11.7109375" style="77" customWidth="1"/>
    <col min="3571" max="3572" width="17.42578125" style="77" bestFit="1" customWidth="1"/>
    <col min="3573" max="3574" width="14" style="77" bestFit="1" customWidth="1"/>
    <col min="3575" max="3575" width="20" style="77" bestFit="1" customWidth="1"/>
    <col min="3576" max="3576" width="17.42578125" style="77" customWidth="1"/>
    <col min="3577" max="3577" width="10.7109375" style="77" bestFit="1" customWidth="1"/>
    <col min="3578" max="3578" width="11" style="77" bestFit="1" customWidth="1"/>
    <col min="3579" max="3579" width="10.5703125" style="77" bestFit="1" customWidth="1"/>
    <col min="3580" max="3580" width="15.85546875" style="77" bestFit="1" customWidth="1"/>
    <col min="3581" max="3581" width="17.42578125" style="77" bestFit="1" customWidth="1"/>
    <col min="3582" max="3819" width="9.140625" style="77"/>
    <col min="3820" max="3821" width="16.28515625" style="77" customWidth="1"/>
    <col min="3822" max="3822" width="93.28515625" style="77" customWidth="1"/>
    <col min="3823" max="3823" width="26.140625" style="77" customWidth="1"/>
    <col min="3824" max="3825" width="11.7109375" style="77" bestFit="1" customWidth="1"/>
    <col min="3826" max="3826" width="11.7109375" style="77" customWidth="1"/>
    <col min="3827" max="3828" width="17.42578125" style="77" bestFit="1" customWidth="1"/>
    <col min="3829" max="3830" width="14" style="77" bestFit="1" customWidth="1"/>
    <col min="3831" max="3831" width="20" style="77" bestFit="1" customWidth="1"/>
    <col min="3832" max="3832" width="17.42578125" style="77" customWidth="1"/>
    <col min="3833" max="3833" width="10.7109375" style="77" bestFit="1" customWidth="1"/>
    <col min="3834" max="3834" width="11" style="77" bestFit="1" customWidth="1"/>
    <col min="3835" max="3835" width="10.5703125" style="77" bestFit="1" customWidth="1"/>
    <col min="3836" max="3836" width="15.85546875" style="77" bestFit="1" customWidth="1"/>
    <col min="3837" max="3837" width="17.42578125" style="77" bestFit="1" customWidth="1"/>
    <col min="3838" max="4075" width="9.140625" style="77"/>
    <col min="4076" max="4077" width="16.28515625" style="77" customWidth="1"/>
    <col min="4078" max="4078" width="93.28515625" style="77" customWidth="1"/>
    <col min="4079" max="4079" width="26.140625" style="77" customWidth="1"/>
    <col min="4080" max="4081" width="11.7109375" style="77" bestFit="1" customWidth="1"/>
    <col min="4082" max="4082" width="11.7109375" style="77" customWidth="1"/>
    <col min="4083" max="4084" width="17.42578125" style="77" bestFit="1" customWidth="1"/>
    <col min="4085" max="4086" width="14" style="77" bestFit="1" customWidth="1"/>
    <col min="4087" max="4087" width="20" style="77" bestFit="1" customWidth="1"/>
    <col min="4088" max="4088" width="17.42578125" style="77" customWidth="1"/>
    <col min="4089" max="4089" width="10.7109375" style="77" bestFit="1" customWidth="1"/>
    <col min="4090" max="4090" width="11" style="77" bestFit="1" customWidth="1"/>
    <col min="4091" max="4091" width="10.5703125" style="77" bestFit="1" customWidth="1"/>
    <col min="4092" max="4092" width="15.85546875" style="77" bestFit="1" customWidth="1"/>
    <col min="4093" max="4093" width="17.42578125" style="77" bestFit="1" customWidth="1"/>
    <col min="4094" max="4331" width="9.140625" style="77"/>
    <col min="4332" max="4333" width="16.28515625" style="77" customWidth="1"/>
    <col min="4334" max="4334" width="93.28515625" style="77" customWidth="1"/>
    <col min="4335" max="4335" width="26.140625" style="77" customWidth="1"/>
    <col min="4336" max="4337" width="11.7109375" style="77" bestFit="1" customWidth="1"/>
    <col min="4338" max="4338" width="11.7109375" style="77" customWidth="1"/>
    <col min="4339" max="4340" width="17.42578125" style="77" bestFit="1" customWidth="1"/>
    <col min="4341" max="4342" width="14" style="77" bestFit="1" customWidth="1"/>
    <col min="4343" max="4343" width="20" style="77" bestFit="1" customWidth="1"/>
    <col min="4344" max="4344" width="17.42578125" style="77" customWidth="1"/>
    <col min="4345" max="4345" width="10.7109375" style="77" bestFit="1" customWidth="1"/>
    <col min="4346" max="4346" width="11" style="77" bestFit="1" customWidth="1"/>
    <col min="4347" max="4347" width="10.5703125" style="77" bestFit="1" customWidth="1"/>
    <col min="4348" max="4348" width="15.85546875" style="77" bestFit="1" customWidth="1"/>
    <col min="4349" max="4349" width="17.42578125" style="77" bestFit="1" customWidth="1"/>
    <col min="4350" max="4587" width="9.140625" style="77"/>
    <col min="4588" max="4589" width="16.28515625" style="77" customWidth="1"/>
    <col min="4590" max="4590" width="93.28515625" style="77" customWidth="1"/>
    <col min="4591" max="4591" width="26.140625" style="77" customWidth="1"/>
    <col min="4592" max="4593" width="11.7109375" style="77" bestFit="1" customWidth="1"/>
    <col min="4594" max="4594" width="11.7109375" style="77" customWidth="1"/>
    <col min="4595" max="4596" width="17.42578125" style="77" bestFit="1" customWidth="1"/>
    <col min="4597" max="4598" width="14" style="77" bestFit="1" customWidth="1"/>
    <col min="4599" max="4599" width="20" style="77" bestFit="1" customWidth="1"/>
    <col min="4600" max="4600" width="17.42578125" style="77" customWidth="1"/>
    <col min="4601" max="4601" width="10.7109375" style="77" bestFit="1" customWidth="1"/>
    <col min="4602" max="4602" width="11" style="77" bestFit="1" customWidth="1"/>
    <col min="4603" max="4603" width="10.5703125" style="77" bestFit="1" customWidth="1"/>
    <col min="4604" max="4604" width="15.85546875" style="77" bestFit="1" customWidth="1"/>
    <col min="4605" max="4605" width="17.42578125" style="77" bestFit="1" customWidth="1"/>
    <col min="4606" max="4843" width="9.140625" style="77"/>
    <col min="4844" max="4845" width="16.28515625" style="77" customWidth="1"/>
    <col min="4846" max="4846" width="93.28515625" style="77" customWidth="1"/>
    <col min="4847" max="4847" width="26.140625" style="77" customWidth="1"/>
    <col min="4848" max="4849" width="11.7109375" style="77" bestFit="1" customWidth="1"/>
    <col min="4850" max="4850" width="11.7109375" style="77" customWidth="1"/>
    <col min="4851" max="4852" width="17.42578125" style="77" bestFit="1" customWidth="1"/>
    <col min="4853" max="4854" width="14" style="77" bestFit="1" customWidth="1"/>
    <col min="4855" max="4855" width="20" style="77" bestFit="1" customWidth="1"/>
    <col min="4856" max="4856" width="17.42578125" style="77" customWidth="1"/>
    <col min="4857" max="4857" width="10.7109375" style="77" bestFit="1" customWidth="1"/>
    <col min="4858" max="4858" width="11" style="77" bestFit="1" customWidth="1"/>
    <col min="4859" max="4859" width="10.5703125" style="77" bestFit="1" customWidth="1"/>
    <col min="4860" max="4860" width="15.85546875" style="77" bestFit="1" customWidth="1"/>
    <col min="4861" max="4861" width="17.42578125" style="77" bestFit="1" customWidth="1"/>
    <col min="4862" max="5099" width="9.140625" style="77"/>
    <col min="5100" max="5101" width="16.28515625" style="77" customWidth="1"/>
    <col min="5102" max="5102" width="93.28515625" style="77" customWidth="1"/>
    <col min="5103" max="5103" width="26.140625" style="77" customWidth="1"/>
    <col min="5104" max="5105" width="11.7109375" style="77" bestFit="1" customWidth="1"/>
    <col min="5106" max="5106" width="11.7109375" style="77" customWidth="1"/>
    <col min="5107" max="5108" width="17.42578125" style="77" bestFit="1" customWidth="1"/>
    <col min="5109" max="5110" width="14" style="77" bestFit="1" customWidth="1"/>
    <col min="5111" max="5111" width="20" style="77" bestFit="1" customWidth="1"/>
    <col min="5112" max="5112" width="17.42578125" style="77" customWidth="1"/>
    <col min="5113" max="5113" width="10.7109375" style="77" bestFit="1" customWidth="1"/>
    <col min="5114" max="5114" width="11" style="77" bestFit="1" customWidth="1"/>
    <col min="5115" max="5115" width="10.5703125" style="77" bestFit="1" customWidth="1"/>
    <col min="5116" max="5116" width="15.85546875" style="77" bestFit="1" customWidth="1"/>
    <col min="5117" max="5117" width="17.42578125" style="77" bestFit="1" customWidth="1"/>
    <col min="5118" max="5355" width="9.140625" style="77"/>
    <col min="5356" max="5357" width="16.28515625" style="77" customWidth="1"/>
    <col min="5358" max="5358" width="93.28515625" style="77" customWidth="1"/>
    <col min="5359" max="5359" width="26.140625" style="77" customWidth="1"/>
    <col min="5360" max="5361" width="11.7109375" style="77" bestFit="1" customWidth="1"/>
    <col min="5362" max="5362" width="11.7109375" style="77" customWidth="1"/>
    <col min="5363" max="5364" width="17.42578125" style="77" bestFit="1" customWidth="1"/>
    <col min="5365" max="5366" width="14" style="77" bestFit="1" customWidth="1"/>
    <col min="5367" max="5367" width="20" style="77" bestFit="1" customWidth="1"/>
    <col min="5368" max="5368" width="17.42578125" style="77" customWidth="1"/>
    <col min="5369" max="5369" width="10.7109375" style="77" bestFit="1" customWidth="1"/>
    <col min="5370" max="5370" width="11" style="77" bestFit="1" customWidth="1"/>
    <col min="5371" max="5371" width="10.5703125" style="77" bestFit="1" customWidth="1"/>
    <col min="5372" max="5372" width="15.85546875" style="77" bestFit="1" customWidth="1"/>
    <col min="5373" max="5373" width="17.42578125" style="77" bestFit="1" customWidth="1"/>
    <col min="5374" max="5611" width="9.140625" style="77"/>
    <col min="5612" max="5613" width="16.28515625" style="77" customWidth="1"/>
    <col min="5614" max="5614" width="93.28515625" style="77" customWidth="1"/>
    <col min="5615" max="5615" width="26.140625" style="77" customWidth="1"/>
    <col min="5616" max="5617" width="11.7109375" style="77" bestFit="1" customWidth="1"/>
    <col min="5618" max="5618" width="11.7109375" style="77" customWidth="1"/>
    <col min="5619" max="5620" width="17.42578125" style="77" bestFit="1" customWidth="1"/>
    <col min="5621" max="5622" width="14" style="77" bestFit="1" customWidth="1"/>
    <col min="5623" max="5623" width="20" style="77" bestFit="1" customWidth="1"/>
    <col min="5624" max="5624" width="17.42578125" style="77" customWidth="1"/>
    <col min="5625" max="5625" width="10.7109375" style="77" bestFit="1" customWidth="1"/>
    <col min="5626" max="5626" width="11" style="77" bestFit="1" customWidth="1"/>
    <col min="5627" max="5627" width="10.5703125" style="77" bestFit="1" customWidth="1"/>
    <col min="5628" max="5628" width="15.85546875" style="77" bestFit="1" customWidth="1"/>
    <col min="5629" max="5629" width="17.42578125" style="77" bestFit="1" customWidth="1"/>
    <col min="5630" max="5867" width="9.140625" style="77"/>
    <col min="5868" max="5869" width="16.28515625" style="77" customWidth="1"/>
    <col min="5870" max="5870" width="93.28515625" style="77" customWidth="1"/>
    <col min="5871" max="5871" width="26.140625" style="77" customWidth="1"/>
    <col min="5872" max="5873" width="11.7109375" style="77" bestFit="1" customWidth="1"/>
    <col min="5874" max="5874" width="11.7109375" style="77" customWidth="1"/>
    <col min="5875" max="5876" width="17.42578125" style="77" bestFit="1" customWidth="1"/>
    <col min="5877" max="5878" width="14" style="77" bestFit="1" customWidth="1"/>
    <col min="5879" max="5879" width="20" style="77" bestFit="1" customWidth="1"/>
    <col min="5880" max="5880" width="17.42578125" style="77" customWidth="1"/>
    <col min="5881" max="5881" width="10.7109375" style="77" bestFit="1" customWidth="1"/>
    <col min="5882" max="5882" width="11" style="77" bestFit="1" customWidth="1"/>
    <col min="5883" max="5883" width="10.5703125" style="77" bestFit="1" customWidth="1"/>
    <col min="5884" max="5884" width="15.85546875" style="77" bestFit="1" customWidth="1"/>
    <col min="5885" max="5885" width="17.42578125" style="77" bestFit="1" customWidth="1"/>
    <col min="5886" max="6123" width="9.140625" style="77"/>
    <col min="6124" max="6125" width="16.28515625" style="77" customWidth="1"/>
    <col min="6126" max="6126" width="93.28515625" style="77" customWidth="1"/>
    <col min="6127" max="6127" width="26.140625" style="77" customWidth="1"/>
    <col min="6128" max="6129" width="11.7109375" style="77" bestFit="1" customWidth="1"/>
    <col min="6130" max="6130" width="11.7109375" style="77" customWidth="1"/>
    <col min="6131" max="6132" width="17.42578125" style="77" bestFit="1" customWidth="1"/>
    <col min="6133" max="6134" width="14" style="77" bestFit="1" customWidth="1"/>
    <col min="6135" max="6135" width="20" style="77" bestFit="1" customWidth="1"/>
    <col min="6136" max="6136" width="17.42578125" style="77" customWidth="1"/>
    <col min="6137" max="6137" width="10.7109375" style="77" bestFit="1" customWidth="1"/>
    <col min="6138" max="6138" width="11" style="77" bestFit="1" customWidth="1"/>
    <col min="6139" max="6139" width="10.5703125" style="77" bestFit="1" customWidth="1"/>
    <col min="6140" max="6140" width="15.85546875" style="77" bestFit="1" customWidth="1"/>
    <col min="6141" max="6141" width="17.42578125" style="77" bestFit="1" customWidth="1"/>
    <col min="6142" max="6379" width="9.140625" style="77"/>
    <col min="6380" max="6381" width="16.28515625" style="77" customWidth="1"/>
    <col min="6382" max="6382" width="93.28515625" style="77" customWidth="1"/>
    <col min="6383" max="6383" width="26.140625" style="77" customWidth="1"/>
    <col min="6384" max="6385" width="11.7109375" style="77" bestFit="1" customWidth="1"/>
    <col min="6386" max="6386" width="11.7109375" style="77" customWidth="1"/>
    <col min="6387" max="6388" width="17.42578125" style="77" bestFit="1" customWidth="1"/>
    <col min="6389" max="6390" width="14" style="77" bestFit="1" customWidth="1"/>
    <col min="6391" max="6391" width="20" style="77" bestFit="1" customWidth="1"/>
    <col min="6392" max="6392" width="17.42578125" style="77" customWidth="1"/>
    <col min="6393" max="6393" width="10.7109375" style="77" bestFit="1" customWidth="1"/>
    <col min="6394" max="6394" width="11" style="77" bestFit="1" customWidth="1"/>
    <col min="6395" max="6395" width="10.5703125" style="77" bestFit="1" customWidth="1"/>
    <col min="6396" max="6396" width="15.85546875" style="77" bestFit="1" customWidth="1"/>
    <col min="6397" max="6397" width="17.42578125" style="77" bestFit="1" customWidth="1"/>
    <col min="6398" max="6635" width="9.140625" style="77"/>
    <col min="6636" max="6637" width="16.28515625" style="77" customWidth="1"/>
    <col min="6638" max="6638" width="93.28515625" style="77" customWidth="1"/>
    <col min="6639" max="6639" width="26.140625" style="77" customWidth="1"/>
    <col min="6640" max="6641" width="11.7109375" style="77" bestFit="1" customWidth="1"/>
    <col min="6642" max="6642" width="11.7109375" style="77" customWidth="1"/>
    <col min="6643" max="6644" width="17.42578125" style="77" bestFit="1" customWidth="1"/>
    <col min="6645" max="6646" width="14" style="77" bestFit="1" customWidth="1"/>
    <col min="6647" max="6647" width="20" style="77" bestFit="1" customWidth="1"/>
    <col min="6648" max="6648" width="17.42578125" style="77" customWidth="1"/>
    <col min="6649" max="6649" width="10.7109375" style="77" bestFit="1" customWidth="1"/>
    <col min="6650" max="6650" width="11" style="77" bestFit="1" customWidth="1"/>
    <col min="6651" max="6651" width="10.5703125" style="77" bestFit="1" customWidth="1"/>
    <col min="6652" max="6652" width="15.85546875" style="77" bestFit="1" customWidth="1"/>
    <col min="6653" max="6653" width="17.42578125" style="77" bestFit="1" customWidth="1"/>
    <col min="6654" max="6891" width="9.140625" style="77"/>
    <col min="6892" max="6893" width="16.28515625" style="77" customWidth="1"/>
    <col min="6894" max="6894" width="93.28515625" style="77" customWidth="1"/>
    <col min="6895" max="6895" width="26.140625" style="77" customWidth="1"/>
    <col min="6896" max="6897" width="11.7109375" style="77" bestFit="1" customWidth="1"/>
    <col min="6898" max="6898" width="11.7109375" style="77" customWidth="1"/>
    <col min="6899" max="6900" width="17.42578125" style="77" bestFit="1" customWidth="1"/>
    <col min="6901" max="6902" width="14" style="77" bestFit="1" customWidth="1"/>
    <col min="6903" max="6903" width="20" style="77" bestFit="1" customWidth="1"/>
    <col min="6904" max="6904" width="17.42578125" style="77" customWidth="1"/>
    <col min="6905" max="6905" width="10.7109375" style="77" bestFit="1" customWidth="1"/>
    <col min="6906" max="6906" width="11" style="77" bestFit="1" customWidth="1"/>
    <col min="6907" max="6907" width="10.5703125" style="77" bestFit="1" customWidth="1"/>
    <col min="6908" max="6908" width="15.85546875" style="77" bestFit="1" customWidth="1"/>
    <col min="6909" max="6909" width="17.42578125" style="77" bestFit="1" customWidth="1"/>
    <col min="6910" max="7147" width="9.140625" style="77"/>
    <col min="7148" max="7149" width="16.28515625" style="77" customWidth="1"/>
    <col min="7150" max="7150" width="93.28515625" style="77" customWidth="1"/>
    <col min="7151" max="7151" width="26.140625" style="77" customWidth="1"/>
    <col min="7152" max="7153" width="11.7109375" style="77" bestFit="1" customWidth="1"/>
    <col min="7154" max="7154" width="11.7109375" style="77" customWidth="1"/>
    <col min="7155" max="7156" width="17.42578125" style="77" bestFit="1" customWidth="1"/>
    <col min="7157" max="7158" width="14" style="77" bestFit="1" customWidth="1"/>
    <col min="7159" max="7159" width="20" style="77" bestFit="1" customWidth="1"/>
    <col min="7160" max="7160" width="17.42578125" style="77" customWidth="1"/>
    <col min="7161" max="7161" width="10.7109375" style="77" bestFit="1" customWidth="1"/>
    <col min="7162" max="7162" width="11" style="77" bestFit="1" customWidth="1"/>
    <col min="7163" max="7163" width="10.5703125" style="77" bestFit="1" customWidth="1"/>
    <col min="7164" max="7164" width="15.85546875" style="77" bestFit="1" customWidth="1"/>
    <col min="7165" max="7165" width="17.42578125" style="77" bestFit="1" customWidth="1"/>
    <col min="7166" max="7403" width="9.140625" style="77"/>
    <col min="7404" max="7405" width="16.28515625" style="77" customWidth="1"/>
    <col min="7406" max="7406" width="93.28515625" style="77" customWidth="1"/>
    <col min="7407" max="7407" width="26.140625" style="77" customWidth="1"/>
    <col min="7408" max="7409" width="11.7109375" style="77" bestFit="1" customWidth="1"/>
    <col min="7410" max="7410" width="11.7109375" style="77" customWidth="1"/>
    <col min="7411" max="7412" width="17.42578125" style="77" bestFit="1" customWidth="1"/>
    <col min="7413" max="7414" width="14" style="77" bestFit="1" customWidth="1"/>
    <col min="7415" max="7415" width="20" style="77" bestFit="1" customWidth="1"/>
    <col min="7416" max="7416" width="17.42578125" style="77" customWidth="1"/>
    <col min="7417" max="7417" width="10.7109375" style="77" bestFit="1" customWidth="1"/>
    <col min="7418" max="7418" width="11" style="77" bestFit="1" customWidth="1"/>
    <col min="7419" max="7419" width="10.5703125" style="77" bestFit="1" customWidth="1"/>
    <col min="7420" max="7420" width="15.85546875" style="77" bestFit="1" customWidth="1"/>
    <col min="7421" max="7421" width="17.42578125" style="77" bestFit="1" customWidth="1"/>
    <col min="7422" max="7659" width="9.140625" style="77"/>
    <col min="7660" max="7661" width="16.28515625" style="77" customWidth="1"/>
    <col min="7662" max="7662" width="93.28515625" style="77" customWidth="1"/>
    <col min="7663" max="7663" width="26.140625" style="77" customWidth="1"/>
    <col min="7664" max="7665" width="11.7109375" style="77" bestFit="1" customWidth="1"/>
    <col min="7666" max="7666" width="11.7109375" style="77" customWidth="1"/>
    <col min="7667" max="7668" width="17.42578125" style="77" bestFit="1" customWidth="1"/>
    <col min="7669" max="7670" width="14" style="77" bestFit="1" customWidth="1"/>
    <col min="7671" max="7671" width="20" style="77" bestFit="1" customWidth="1"/>
    <col min="7672" max="7672" width="17.42578125" style="77" customWidth="1"/>
    <col min="7673" max="7673" width="10.7109375" style="77" bestFit="1" customWidth="1"/>
    <col min="7674" max="7674" width="11" style="77" bestFit="1" customWidth="1"/>
    <col min="7675" max="7675" width="10.5703125" style="77" bestFit="1" customWidth="1"/>
    <col min="7676" max="7676" width="15.85546875" style="77" bestFit="1" customWidth="1"/>
    <col min="7677" max="7677" width="17.42578125" style="77" bestFit="1" customWidth="1"/>
    <col min="7678" max="7915" width="9.140625" style="77"/>
    <col min="7916" max="7917" width="16.28515625" style="77" customWidth="1"/>
    <col min="7918" max="7918" width="93.28515625" style="77" customWidth="1"/>
    <col min="7919" max="7919" width="26.140625" style="77" customWidth="1"/>
    <col min="7920" max="7921" width="11.7109375" style="77" bestFit="1" customWidth="1"/>
    <col min="7922" max="7922" width="11.7109375" style="77" customWidth="1"/>
    <col min="7923" max="7924" width="17.42578125" style="77" bestFit="1" customWidth="1"/>
    <col min="7925" max="7926" width="14" style="77" bestFit="1" customWidth="1"/>
    <col min="7927" max="7927" width="20" style="77" bestFit="1" customWidth="1"/>
    <col min="7928" max="7928" width="17.42578125" style="77" customWidth="1"/>
    <col min="7929" max="7929" width="10.7109375" style="77" bestFit="1" customWidth="1"/>
    <col min="7930" max="7930" width="11" style="77" bestFit="1" customWidth="1"/>
    <col min="7931" max="7931" width="10.5703125" style="77" bestFit="1" customWidth="1"/>
    <col min="7932" max="7932" width="15.85546875" style="77" bestFit="1" customWidth="1"/>
    <col min="7933" max="7933" width="17.42578125" style="77" bestFit="1" customWidth="1"/>
    <col min="7934" max="8171" width="9.140625" style="77"/>
    <col min="8172" max="8173" width="16.28515625" style="77" customWidth="1"/>
    <col min="8174" max="8174" width="93.28515625" style="77" customWidth="1"/>
    <col min="8175" max="8175" width="26.140625" style="77" customWidth="1"/>
    <col min="8176" max="8177" width="11.7109375" style="77" bestFit="1" customWidth="1"/>
    <col min="8178" max="8178" width="11.7109375" style="77" customWidth="1"/>
    <col min="8179" max="8180" width="17.42578125" style="77" bestFit="1" customWidth="1"/>
    <col min="8181" max="8182" width="14" style="77" bestFit="1" customWidth="1"/>
    <col min="8183" max="8183" width="20" style="77" bestFit="1" customWidth="1"/>
    <col min="8184" max="8184" width="17.42578125" style="77" customWidth="1"/>
    <col min="8185" max="8185" width="10.7109375" style="77" bestFit="1" customWidth="1"/>
    <col min="8186" max="8186" width="11" style="77" bestFit="1" customWidth="1"/>
    <col min="8187" max="8187" width="10.5703125" style="77" bestFit="1" customWidth="1"/>
    <col min="8188" max="8188" width="15.85546875" style="77" bestFit="1" customWidth="1"/>
    <col min="8189" max="8189" width="17.42578125" style="77" bestFit="1" customWidth="1"/>
    <col min="8190" max="8427" width="9.140625" style="77"/>
    <col min="8428" max="8429" width="16.28515625" style="77" customWidth="1"/>
    <col min="8430" max="8430" width="93.28515625" style="77" customWidth="1"/>
    <col min="8431" max="8431" width="26.140625" style="77" customWidth="1"/>
    <col min="8432" max="8433" width="11.7109375" style="77" bestFit="1" customWidth="1"/>
    <col min="8434" max="8434" width="11.7109375" style="77" customWidth="1"/>
    <col min="8435" max="8436" width="17.42578125" style="77" bestFit="1" customWidth="1"/>
    <col min="8437" max="8438" width="14" style="77" bestFit="1" customWidth="1"/>
    <col min="8439" max="8439" width="20" style="77" bestFit="1" customWidth="1"/>
    <col min="8440" max="8440" width="17.42578125" style="77" customWidth="1"/>
    <col min="8441" max="8441" width="10.7109375" style="77" bestFit="1" customWidth="1"/>
    <col min="8442" max="8442" width="11" style="77" bestFit="1" customWidth="1"/>
    <col min="8443" max="8443" width="10.5703125" style="77" bestFit="1" customWidth="1"/>
    <col min="8444" max="8444" width="15.85546875" style="77" bestFit="1" customWidth="1"/>
    <col min="8445" max="8445" width="17.42578125" style="77" bestFit="1" customWidth="1"/>
    <col min="8446" max="8683" width="9.140625" style="77"/>
    <col min="8684" max="8685" width="16.28515625" style="77" customWidth="1"/>
    <col min="8686" max="8686" width="93.28515625" style="77" customWidth="1"/>
    <col min="8687" max="8687" width="26.140625" style="77" customWidth="1"/>
    <col min="8688" max="8689" width="11.7109375" style="77" bestFit="1" customWidth="1"/>
    <col min="8690" max="8690" width="11.7109375" style="77" customWidth="1"/>
    <col min="8691" max="8692" width="17.42578125" style="77" bestFit="1" customWidth="1"/>
    <col min="8693" max="8694" width="14" style="77" bestFit="1" customWidth="1"/>
    <col min="8695" max="8695" width="20" style="77" bestFit="1" customWidth="1"/>
    <col min="8696" max="8696" width="17.42578125" style="77" customWidth="1"/>
    <col min="8697" max="8697" width="10.7109375" style="77" bestFit="1" customWidth="1"/>
    <col min="8698" max="8698" width="11" style="77" bestFit="1" customWidth="1"/>
    <col min="8699" max="8699" width="10.5703125" style="77" bestFit="1" customWidth="1"/>
    <col min="8700" max="8700" width="15.85546875" style="77" bestFit="1" customWidth="1"/>
    <col min="8701" max="8701" width="17.42578125" style="77" bestFit="1" customWidth="1"/>
    <col min="8702" max="8939" width="9.140625" style="77"/>
    <col min="8940" max="8941" width="16.28515625" style="77" customWidth="1"/>
    <col min="8942" max="8942" width="93.28515625" style="77" customWidth="1"/>
    <col min="8943" max="8943" width="26.140625" style="77" customWidth="1"/>
    <col min="8944" max="8945" width="11.7109375" style="77" bestFit="1" customWidth="1"/>
    <col min="8946" max="8946" width="11.7109375" style="77" customWidth="1"/>
    <col min="8947" max="8948" width="17.42578125" style="77" bestFit="1" customWidth="1"/>
    <col min="8949" max="8950" width="14" style="77" bestFit="1" customWidth="1"/>
    <col min="8951" max="8951" width="20" style="77" bestFit="1" customWidth="1"/>
    <col min="8952" max="8952" width="17.42578125" style="77" customWidth="1"/>
    <col min="8953" max="8953" width="10.7109375" style="77" bestFit="1" customWidth="1"/>
    <col min="8954" max="8954" width="11" style="77" bestFit="1" customWidth="1"/>
    <col min="8955" max="8955" width="10.5703125" style="77" bestFit="1" customWidth="1"/>
    <col min="8956" max="8956" width="15.85546875" style="77" bestFit="1" customWidth="1"/>
    <col min="8957" max="8957" width="17.42578125" style="77" bestFit="1" customWidth="1"/>
    <col min="8958" max="9195" width="9.140625" style="77"/>
    <col min="9196" max="9197" width="16.28515625" style="77" customWidth="1"/>
    <col min="9198" max="9198" width="93.28515625" style="77" customWidth="1"/>
    <col min="9199" max="9199" width="26.140625" style="77" customWidth="1"/>
    <col min="9200" max="9201" width="11.7109375" style="77" bestFit="1" customWidth="1"/>
    <col min="9202" max="9202" width="11.7109375" style="77" customWidth="1"/>
    <col min="9203" max="9204" width="17.42578125" style="77" bestFit="1" customWidth="1"/>
    <col min="9205" max="9206" width="14" style="77" bestFit="1" customWidth="1"/>
    <col min="9207" max="9207" width="20" style="77" bestFit="1" customWidth="1"/>
    <col min="9208" max="9208" width="17.42578125" style="77" customWidth="1"/>
    <col min="9209" max="9209" width="10.7109375" style="77" bestFit="1" customWidth="1"/>
    <col min="9210" max="9210" width="11" style="77" bestFit="1" customWidth="1"/>
    <col min="9211" max="9211" width="10.5703125" style="77" bestFit="1" customWidth="1"/>
    <col min="9212" max="9212" width="15.85546875" style="77" bestFit="1" customWidth="1"/>
    <col min="9213" max="9213" width="17.42578125" style="77" bestFit="1" customWidth="1"/>
    <col min="9214" max="9451" width="9.140625" style="77"/>
    <col min="9452" max="9453" width="16.28515625" style="77" customWidth="1"/>
    <col min="9454" max="9454" width="93.28515625" style="77" customWidth="1"/>
    <col min="9455" max="9455" width="26.140625" style="77" customWidth="1"/>
    <col min="9456" max="9457" width="11.7109375" style="77" bestFit="1" customWidth="1"/>
    <col min="9458" max="9458" width="11.7109375" style="77" customWidth="1"/>
    <col min="9459" max="9460" width="17.42578125" style="77" bestFit="1" customWidth="1"/>
    <col min="9461" max="9462" width="14" style="77" bestFit="1" customWidth="1"/>
    <col min="9463" max="9463" width="20" style="77" bestFit="1" customWidth="1"/>
    <col min="9464" max="9464" width="17.42578125" style="77" customWidth="1"/>
    <col min="9465" max="9465" width="10.7109375" style="77" bestFit="1" customWidth="1"/>
    <col min="9466" max="9466" width="11" style="77" bestFit="1" customWidth="1"/>
    <col min="9467" max="9467" width="10.5703125" style="77" bestFit="1" customWidth="1"/>
    <col min="9468" max="9468" width="15.85546875" style="77" bestFit="1" customWidth="1"/>
    <col min="9469" max="9469" width="17.42578125" style="77" bestFit="1" customWidth="1"/>
    <col min="9470" max="9707" width="9.140625" style="77"/>
    <col min="9708" max="9709" width="16.28515625" style="77" customWidth="1"/>
    <col min="9710" max="9710" width="93.28515625" style="77" customWidth="1"/>
    <col min="9711" max="9711" width="26.140625" style="77" customWidth="1"/>
    <col min="9712" max="9713" width="11.7109375" style="77" bestFit="1" customWidth="1"/>
    <col min="9714" max="9714" width="11.7109375" style="77" customWidth="1"/>
    <col min="9715" max="9716" width="17.42578125" style="77" bestFit="1" customWidth="1"/>
    <col min="9717" max="9718" width="14" style="77" bestFit="1" customWidth="1"/>
    <col min="9719" max="9719" width="20" style="77" bestFit="1" customWidth="1"/>
    <col min="9720" max="9720" width="17.42578125" style="77" customWidth="1"/>
    <col min="9721" max="9721" width="10.7109375" style="77" bestFit="1" customWidth="1"/>
    <col min="9722" max="9722" width="11" style="77" bestFit="1" customWidth="1"/>
    <col min="9723" max="9723" width="10.5703125" style="77" bestFit="1" customWidth="1"/>
    <col min="9724" max="9724" width="15.85546875" style="77" bestFit="1" customWidth="1"/>
    <col min="9725" max="9725" width="17.42578125" style="77" bestFit="1" customWidth="1"/>
    <col min="9726" max="9963" width="9.140625" style="77"/>
    <col min="9964" max="9965" width="16.28515625" style="77" customWidth="1"/>
    <col min="9966" max="9966" width="93.28515625" style="77" customWidth="1"/>
    <col min="9967" max="9967" width="26.140625" style="77" customWidth="1"/>
    <col min="9968" max="9969" width="11.7109375" style="77" bestFit="1" customWidth="1"/>
    <col min="9970" max="9970" width="11.7109375" style="77" customWidth="1"/>
    <col min="9971" max="9972" width="17.42578125" style="77" bestFit="1" customWidth="1"/>
    <col min="9973" max="9974" width="14" style="77" bestFit="1" customWidth="1"/>
    <col min="9975" max="9975" width="20" style="77" bestFit="1" customWidth="1"/>
    <col min="9976" max="9976" width="17.42578125" style="77" customWidth="1"/>
    <col min="9977" max="9977" width="10.7109375" style="77" bestFit="1" customWidth="1"/>
    <col min="9978" max="9978" width="11" style="77" bestFit="1" customWidth="1"/>
    <col min="9979" max="9979" width="10.5703125" style="77" bestFit="1" customWidth="1"/>
    <col min="9980" max="9980" width="15.85546875" style="77" bestFit="1" customWidth="1"/>
    <col min="9981" max="9981" width="17.42578125" style="77" bestFit="1" customWidth="1"/>
    <col min="9982" max="10219" width="9.140625" style="77"/>
    <col min="10220" max="10221" width="16.28515625" style="77" customWidth="1"/>
    <col min="10222" max="10222" width="93.28515625" style="77" customWidth="1"/>
    <col min="10223" max="10223" width="26.140625" style="77" customWidth="1"/>
    <col min="10224" max="10225" width="11.7109375" style="77" bestFit="1" customWidth="1"/>
    <col min="10226" max="10226" width="11.7109375" style="77" customWidth="1"/>
    <col min="10227" max="10228" width="17.42578125" style="77" bestFit="1" customWidth="1"/>
    <col min="10229" max="10230" width="14" style="77" bestFit="1" customWidth="1"/>
    <col min="10231" max="10231" width="20" style="77" bestFit="1" customWidth="1"/>
    <col min="10232" max="10232" width="17.42578125" style="77" customWidth="1"/>
    <col min="10233" max="10233" width="10.7109375" style="77" bestFit="1" customWidth="1"/>
    <col min="10234" max="10234" width="11" style="77" bestFit="1" customWidth="1"/>
    <col min="10235" max="10235" width="10.5703125" style="77" bestFit="1" customWidth="1"/>
    <col min="10236" max="10236" width="15.85546875" style="77" bestFit="1" customWidth="1"/>
    <col min="10237" max="10237" width="17.42578125" style="77" bestFit="1" customWidth="1"/>
    <col min="10238" max="10475" width="9.140625" style="77"/>
    <col min="10476" max="10477" width="16.28515625" style="77" customWidth="1"/>
    <col min="10478" max="10478" width="93.28515625" style="77" customWidth="1"/>
    <col min="10479" max="10479" width="26.140625" style="77" customWidth="1"/>
    <col min="10480" max="10481" width="11.7109375" style="77" bestFit="1" customWidth="1"/>
    <col min="10482" max="10482" width="11.7109375" style="77" customWidth="1"/>
    <col min="10483" max="10484" width="17.42578125" style="77" bestFit="1" customWidth="1"/>
    <col min="10485" max="10486" width="14" style="77" bestFit="1" customWidth="1"/>
    <col min="10487" max="10487" width="20" style="77" bestFit="1" customWidth="1"/>
    <col min="10488" max="10488" width="17.42578125" style="77" customWidth="1"/>
    <col min="10489" max="10489" width="10.7109375" style="77" bestFit="1" customWidth="1"/>
    <col min="10490" max="10490" width="11" style="77" bestFit="1" customWidth="1"/>
    <col min="10491" max="10491" width="10.5703125" style="77" bestFit="1" customWidth="1"/>
    <col min="10492" max="10492" width="15.85546875" style="77" bestFit="1" customWidth="1"/>
    <col min="10493" max="10493" width="17.42578125" style="77" bestFit="1" customWidth="1"/>
    <col min="10494" max="10731" width="9.140625" style="77"/>
    <col min="10732" max="10733" width="16.28515625" style="77" customWidth="1"/>
    <col min="10734" max="10734" width="93.28515625" style="77" customWidth="1"/>
    <col min="10735" max="10735" width="26.140625" style="77" customWidth="1"/>
    <col min="10736" max="10737" width="11.7109375" style="77" bestFit="1" customWidth="1"/>
    <col min="10738" max="10738" width="11.7109375" style="77" customWidth="1"/>
    <col min="10739" max="10740" width="17.42578125" style="77" bestFit="1" customWidth="1"/>
    <col min="10741" max="10742" width="14" style="77" bestFit="1" customWidth="1"/>
    <col min="10743" max="10743" width="20" style="77" bestFit="1" customWidth="1"/>
    <col min="10744" max="10744" width="17.42578125" style="77" customWidth="1"/>
    <col min="10745" max="10745" width="10.7109375" style="77" bestFit="1" customWidth="1"/>
    <col min="10746" max="10746" width="11" style="77" bestFit="1" customWidth="1"/>
    <col min="10747" max="10747" width="10.5703125" style="77" bestFit="1" customWidth="1"/>
    <col min="10748" max="10748" width="15.85546875" style="77" bestFit="1" customWidth="1"/>
    <col min="10749" max="10749" width="17.42578125" style="77" bestFit="1" customWidth="1"/>
    <col min="10750" max="10987" width="9.140625" style="77"/>
    <col min="10988" max="10989" width="16.28515625" style="77" customWidth="1"/>
    <col min="10990" max="10990" width="93.28515625" style="77" customWidth="1"/>
    <col min="10991" max="10991" width="26.140625" style="77" customWidth="1"/>
    <col min="10992" max="10993" width="11.7109375" style="77" bestFit="1" customWidth="1"/>
    <col min="10994" max="10994" width="11.7109375" style="77" customWidth="1"/>
    <col min="10995" max="10996" width="17.42578125" style="77" bestFit="1" customWidth="1"/>
    <col min="10997" max="10998" width="14" style="77" bestFit="1" customWidth="1"/>
    <col min="10999" max="10999" width="20" style="77" bestFit="1" customWidth="1"/>
    <col min="11000" max="11000" width="17.42578125" style="77" customWidth="1"/>
    <col min="11001" max="11001" width="10.7109375" style="77" bestFit="1" customWidth="1"/>
    <col min="11002" max="11002" width="11" style="77" bestFit="1" customWidth="1"/>
    <col min="11003" max="11003" width="10.5703125" style="77" bestFit="1" customWidth="1"/>
    <col min="11004" max="11004" width="15.85546875" style="77" bestFit="1" customWidth="1"/>
    <col min="11005" max="11005" width="17.42578125" style="77" bestFit="1" customWidth="1"/>
    <col min="11006" max="11243" width="9.140625" style="77"/>
    <col min="11244" max="11245" width="16.28515625" style="77" customWidth="1"/>
    <col min="11246" max="11246" width="93.28515625" style="77" customWidth="1"/>
    <col min="11247" max="11247" width="26.140625" style="77" customWidth="1"/>
    <col min="11248" max="11249" width="11.7109375" style="77" bestFit="1" customWidth="1"/>
    <col min="11250" max="11250" width="11.7109375" style="77" customWidth="1"/>
    <col min="11251" max="11252" width="17.42578125" style="77" bestFit="1" customWidth="1"/>
    <col min="11253" max="11254" width="14" style="77" bestFit="1" customWidth="1"/>
    <col min="11255" max="11255" width="20" style="77" bestFit="1" customWidth="1"/>
    <col min="11256" max="11256" width="17.42578125" style="77" customWidth="1"/>
    <col min="11257" max="11257" width="10.7109375" style="77" bestFit="1" customWidth="1"/>
    <col min="11258" max="11258" width="11" style="77" bestFit="1" customWidth="1"/>
    <col min="11259" max="11259" width="10.5703125" style="77" bestFit="1" customWidth="1"/>
    <col min="11260" max="11260" width="15.85546875" style="77" bestFit="1" customWidth="1"/>
    <col min="11261" max="11261" width="17.42578125" style="77" bestFit="1" customWidth="1"/>
    <col min="11262" max="11499" width="9.140625" style="77"/>
    <col min="11500" max="11501" width="16.28515625" style="77" customWidth="1"/>
    <col min="11502" max="11502" width="93.28515625" style="77" customWidth="1"/>
    <col min="11503" max="11503" width="26.140625" style="77" customWidth="1"/>
    <col min="11504" max="11505" width="11.7109375" style="77" bestFit="1" customWidth="1"/>
    <col min="11506" max="11506" width="11.7109375" style="77" customWidth="1"/>
    <col min="11507" max="11508" width="17.42578125" style="77" bestFit="1" customWidth="1"/>
    <col min="11509" max="11510" width="14" style="77" bestFit="1" customWidth="1"/>
    <col min="11511" max="11511" width="20" style="77" bestFit="1" customWidth="1"/>
    <col min="11512" max="11512" width="17.42578125" style="77" customWidth="1"/>
    <col min="11513" max="11513" width="10.7109375" style="77" bestFit="1" customWidth="1"/>
    <col min="11514" max="11514" width="11" style="77" bestFit="1" customWidth="1"/>
    <col min="11515" max="11515" width="10.5703125" style="77" bestFit="1" customWidth="1"/>
    <col min="11516" max="11516" width="15.85546875" style="77" bestFit="1" customWidth="1"/>
    <col min="11517" max="11517" width="17.42578125" style="77" bestFit="1" customWidth="1"/>
    <col min="11518" max="11755" width="9.140625" style="77"/>
    <col min="11756" max="11757" width="16.28515625" style="77" customWidth="1"/>
    <col min="11758" max="11758" width="93.28515625" style="77" customWidth="1"/>
    <col min="11759" max="11759" width="26.140625" style="77" customWidth="1"/>
    <col min="11760" max="11761" width="11.7109375" style="77" bestFit="1" customWidth="1"/>
    <col min="11762" max="11762" width="11.7109375" style="77" customWidth="1"/>
    <col min="11763" max="11764" width="17.42578125" style="77" bestFit="1" customWidth="1"/>
    <col min="11765" max="11766" width="14" style="77" bestFit="1" customWidth="1"/>
    <col min="11767" max="11767" width="20" style="77" bestFit="1" customWidth="1"/>
    <col min="11768" max="11768" width="17.42578125" style="77" customWidth="1"/>
    <col min="11769" max="11769" width="10.7109375" style="77" bestFit="1" customWidth="1"/>
    <col min="11770" max="11770" width="11" style="77" bestFit="1" customWidth="1"/>
    <col min="11771" max="11771" width="10.5703125" style="77" bestFit="1" customWidth="1"/>
    <col min="11772" max="11772" width="15.85546875" style="77" bestFit="1" customWidth="1"/>
    <col min="11773" max="11773" width="17.42578125" style="77" bestFit="1" customWidth="1"/>
    <col min="11774" max="12011" width="9.140625" style="77"/>
    <col min="12012" max="12013" width="16.28515625" style="77" customWidth="1"/>
    <col min="12014" max="12014" width="93.28515625" style="77" customWidth="1"/>
    <col min="12015" max="12015" width="26.140625" style="77" customWidth="1"/>
    <col min="12016" max="12017" width="11.7109375" style="77" bestFit="1" customWidth="1"/>
    <col min="12018" max="12018" width="11.7109375" style="77" customWidth="1"/>
    <col min="12019" max="12020" width="17.42578125" style="77" bestFit="1" customWidth="1"/>
    <col min="12021" max="12022" width="14" style="77" bestFit="1" customWidth="1"/>
    <col min="12023" max="12023" width="20" style="77" bestFit="1" customWidth="1"/>
    <col min="12024" max="12024" width="17.42578125" style="77" customWidth="1"/>
    <col min="12025" max="12025" width="10.7109375" style="77" bestFit="1" customWidth="1"/>
    <col min="12026" max="12026" width="11" style="77" bestFit="1" customWidth="1"/>
    <col min="12027" max="12027" width="10.5703125" style="77" bestFit="1" customWidth="1"/>
    <col min="12028" max="12028" width="15.85546875" style="77" bestFit="1" customWidth="1"/>
    <col min="12029" max="12029" width="17.42578125" style="77" bestFit="1" customWidth="1"/>
    <col min="12030" max="12267" width="9.140625" style="77"/>
    <col min="12268" max="12269" width="16.28515625" style="77" customWidth="1"/>
    <col min="12270" max="12270" width="93.28515625" style="77" customWidth="1"/>
    <col min="12271" max="12271" width="26.140625" style="77" customWidth="1"/>
    <col min="12272" max="12273" width="11.7109375" style="77" bestFit="1" customWidth="1"/>
    <col min="12274" max="12274" width="11.7109375" style="77" customWidth="1"/>
    <col min="12275" max="12276" width="17.42578125" style="77" bestFit="1" customWidth="1"/>
    <col min="12277" max="12278" width="14" style="77" bestFit="1" customWidth="1"/>
    <col min="12279" max="12279" width="20" style="77" bestFit="1" customWidth="1"/>
    <col min="12280" max="12280" width="17.42578125" style="77" customWidth="1"/>
    <col min="12281" max="12281" width="10.7109375" style="77" bestFit="1" customWidth="1"/>
    <col min="12282" max="12282" width="11" style="77" bestFit="1" customWidth="1"/>
    <col min="12283" max="12283" width="10.5703125" style="77" bestFit="1" customWidth="1"/>
    <col min="12284" max="12284" width="15.85546875" style="77" bestFit="1" customWidth="1"/>
    <col min="12285" max="12285" width="17.42578125" style="77" bestFit="1" customWidth="1"/>
    <col min="12286" max="12523" width="9.140625" style="77"/>
    <col min="12524" max="12525" width="16.28515625" style="77" customWidth="1"/>
    <col min="12526" max="12526" width="93.28515625" style="77" customWidth="1"/>
    <col min="12527" max="12527" width="26.140625" style="77" customWidth="1"/>
    <col min="12528" max="12529" width="11.7109375" style="77" bestFit="1" customWidth="1"/>
    <col min="12530" max="12530" width="11.7109375" style="77" customWidth="1"/>
    <col min="12531" max="12532" width="17.42578125" style="77" bestFit="1" customWidth="1"/>
    <col min="12533" max="12534" width="14" style="77" bestFit="1" customWidth="1"/>
    <col min="12535" max="12535" width="20" style="77" bestFit="1" customWidth="1"/>
    <col min="12536" max="12536" width="17.42578125" style="77" customWidth="1"/>
    <col min="12537" max="12537" width="10.7109375" style="77" bestFit="1" customWidth="1"/>
    <col min="12538" max="12538" width="11" style="77" bestFit="1" customWidth="1"/>
    <col min="12539" max="12539" width="10.5703125" style="77" bestFit="1" customWidth="1"/>
    <col min="12540" max="12540" width="15.85546875" style="77" bestFit="1" customWidth="1"/>
    <col min="12541" max="12541" width="17.42578125" style="77" bestFit="1" customWidth="1"/>
    <col min="12542" max="12779" width="9.140625" style="77"/>
    <col min="12780" max="12781" width="16.28515625" style="77" customWidth="1"/>
    <col min="12782" max="12782" width="93.28515625" style="77" customWidth="1"/>
    <col min="12783" max="12783" width="26.140625" style="77" customWidth="1"/>
    <col min="12784" max="12785" width="11.7109375" style="77" bestFit="1" customWidth="1"/>
    <col min="12786" max="12786" width="11.7109375" style="77" customWidth="1"/>
    <col min="12787" max="12788" width="17.42578125" style="77" bestFit="1" customWidth="1"/>
    <col min="12789" max="12790" width="14" style="77" bestFit="1" customWidth="1"/>
    <col min="12791" max="12791" width="20" style="77" bestFit="1" customWidth="1"/>
    <col min="12792" max="12792" width="17.42578125" style="77" customWidth="1"/>
    <col min="12793" max="12793" width="10.7109375" style="77" bestFit="1" customWidth="1"/>
    <col min="12794" max="12794" width="11" style="77" bestFit="1" customWidth="1"/>
    <col min="12795" max="12795" width="10.5703125" style="77" bestFit="1" customWidth="1"/>
    <col min="12796" max="12796" width="15.85546875" style="77" bestFit="1" customWidth="1"/>
    <col min="12797" max="12797" width="17.42578125" style="77" bestFit="1" customWidth="1"/>
    <col min="12798" max="13035" width="9.140625" style="77"/>
    <col min="13036" max="13037" width="16.28515625" style="77" customWidth="1"/>
    <col min="13038" max="13038" width="93.28515625" style="77" customWidth="1"/>
    <col min="13039" max="13039" width="26.140625" style="77" customWidth="1"/>
    <col min="13040" max="13041" width="11.7109375" style="77" bestFit="1" customWidth="1"/>
    <col min="13042" max="13042" width="11.7109375" style="77" customWidth="1"/>
    <col min="13043" max="13044" width="17.42578125" style="77" bestFit="1" customWidth="1"/>
    <col min="13045" max="13046" width="14" style="77" bestFit="1" customWidth="1"/>
    <col min="13047" max="13047" width="20" style="77" bestFit="1" customWidth="1"/>
    <col min="13048" max="13048" width="17.42578125" style="77" customWidth="1"/>
    <col min="13049" max="13049" width="10.7109375" style="77" bestFit="1" customWidth="1"/>
    <col min="13050" max="13050" width="11" style="77" bestFit="1" customWidth="1"/>
    <col min="13051" max="13051" width="10.5703125" style="77" bestFit="1" customWidth="1"/>
    <col min="13052" max="13052" width="15.85546875" style="77" bestFit="1" customWidth="1"/>
    <col min="13053" max="13053" width="17.42578125" style="77" bestFit="1" customWidth="1"/>
    <col min="13054" max="13291" width="9.140625" style="77"/>
    <col min="13292" max="13293" width="16.28515625" style="77" customWidth="1"/>
    <col min="13294" max="13294" width="93.28515625" style="77" customWidth="1"/>
    <col min="13295" max="13295" width="26.140625" style="77" customWidth="1"/>
    <col min="13296" max="13297" width="11.7109375" style="77" bestFit="1" customWidth="1"/>
    <col min="13298" max="13298" width="11.7109375" style="77" customWidth="1"/>
    <col min="13299" max="13300" width="17.42578125" style="77" bestFit="1" customWidth="1"/>
    <col min="13301" max="13302" width="14" style="77" bestFit="1" customWidth="1"/>
    <col min="13303" max="13303" width="20" style="77" bestFit="1" customWidth="1"/>
    <col min="13304" max="13304" width="17.42578125" style="77" customWidth="1"/>
    <col min="13305" max="13305" width="10.7109375" style="77" bestFit="1" customWidth="1"/>
    <col min="13306" max="13306" width="11" style="77" bestFit="1" customWidth="1"/>
    <col min="13307" max="13307" width="10.5703125" style="77" bestFit="1" customWidth="1"/>
    <col min="13308" max="13308" width="15.85546875" style="77" bestFit="1" customWidth="1"/>
    <col min="13309" max="13309" width="17.42578125" style="77" bestFit="1" customWidth="1"/>
    <col min="13310" max="13547" width="9.140625" style="77"/>
    <col min="13548" max="13549" width="16.28515625" style="77" customWidth="1"/>
    <col min="13550" max="13550" width="93.28515625" style="77" customWidth="1"/>
    <col min="13551" max="13551" width="26.140625" style="77" customWidth="1"/>
    <col min="13552" max="13553" width="11.7109375" style="77" bestFit="1" customWidth="1"/>
    <col min="13554" max="13554" width="11.7109375" style="77" customWidth="1"/>
    <col min="13555" max="13556" width="17.42578125" style="77" bestFit="1" customWidth="1"/>
    <col min="13557" max="13558" width="14" style="77" bestFit="1" customWidth="1"/>
    <col min="13559" max="13559" width="20" style="77" bestFit="1" customWidth="1"/>
    <col min="13560" max="13560" width="17.42578125" style="77" customWidth="1"/>
    <col min="13561" max="13561" width="10.7109375" style="77" bestFit="1" customWidth="1"/>
    <col min="13562" max="13562" width="11" style="77" bestFit="1" customWidth="1"/>
    <col min="13563" max="13563" width="10.5703125" style="77" bestFit="1" customWidth="1"/>
    <col min="13564" max="13564" width="15.85546875" style="77" bestFit="1" customWidth="1"/>
    <col min="13565" max="13565" width="17.42578125" style="77" bestFit="1" customWidth="1"/>
    <col min="13566" max="13803" width="9.140625" style="77"/>
    <col min="13804" max="13805" width="16.28515625" style="77" customWidth="1"/>
    <col min="13806" max="13806" width="93.28515625" style="77" customWidth="1"/>
    <col min="13807" max="13807" width="26.140625" style="77" customWidth="1"/>
    <col min="13808" max="13809" width="11.7109375" style="77" bestFit="1" customWidth="1"/>
    <col min="13810" max="13810" width="11.7109375" style="77" customWidth="1"/>
    <col min="13811" max="13812" width="17.42578125" style="77" bestFit="1" customWidth="1"/>
    <col min="13813" max="13814" width="14" style="77" bestFit="1" customWidth="1"/>
    <col min="13815" max="13815" width="20" style="77" bestFit="1" customWidth="1"/>
    <col min="13816" max="13816" width="17.42578125" style="77" customWidth="1"/>
    <col min="13817" max="13817" width="10.7109375" style="77" bestFit="1" customWidth="1"/>
    <col min="13818" max="13818" width="11" style="77" bestFit="1" customWidth="1"/>
    <col min="13819" max="13819" width="10.5703125" style="77" bestFit="1" customWidth="1"/>
    <col min="13820" max="13820" width="15.85546875" style="77" bestFit="1" customWidth="1"/>
    <col min="13821" max="13821" width="17.42578125" style="77" bestFit="1" customWidth="1"/>
    <col min="13822" max="14059" width="9.140625" style="77"/>
    <col min="14060" max="14061" width="16.28515625" style="77" customWidth="1"/>
    <col min="14062" max="14062" width="93.28515625" style="77" customWidth="1"/>
    <col min="14063" max="14063" width="26.140625" style="77" customWidth="1"/>
    <col min="14064" max="14065" width="11.7109375" style="77" bestFit="1" customWidth="1"/>
    <col min="14066" max="14066" width="11.7109375" style="77" customWidth="1"/>
    <col min="14067" max="14068" width="17.42578125" style="77" bestFit="1" customWidth="1"/>
    <col min="14069" max="14070" width="14" style="77" bestFit="1" customWidth="1"/>
    <col min="14071" max="14071" width="20" style="77" bestFit="1" customWidth="1"/>
    <col min="14072" max="14072" width="17.42578125" style="77" customWidth="1"/>
    <col min="14073" max="14073" width="10.7109375" style="77" bestFit="1" customWidth="1"/>
    <col min="14074" max="14074" width="11" style="77" bestFit="1" customWidth="1"/>
    <col min="14075" max="14075" width="10.5703125" style="77" bestFit="1" customWidth="1"/>
    <col min="14076" max="14076" width="15.85546875" style="77" bestFit="1" customWidth="1"/>
    <col min="14077" max="14077" width="17.42578125" style="77" bestFit="1" customWidth="1"/>
    <col min="14078" max="14315" width="9.140625" style="77"/>
    <col min="14316" max="14317" width="16.28515625" style="77" customWidth="1"/>
    <col min="14318" max="14318" width="93.28515625" style="77" customWidth="1"/>
    <col min="14319" max="14319" width="26.140625" style="77" customWidth="1"/>
    <col min="14320" max="14321" width="11.7109375" style="77" bestFit="1" customWidth="1"/>
    <col min="14322" max="14322" width="11.7109375" style="77" customWidth="1"/>
    <col min="14323" max="14324" width="17.42578125" style="77" bestFit="1" customWidth="1"/>
    <col min="14325" max="14326" width="14" style="77" bestFit="1" customWidth="1"/>
    <col min="14327" max="14327" width="20" style="77" bestFit="1" customWidth="1"/>
    <col min="14328" max="14328" width="17.42578125" style="77" customWidth="1"/>
    <col min="14329" max="14329" width="10.7109375" style="77" bestFit="1" customWidth="1"/>
    <col min="14330" max="14330" width="11" style="77" bestFit="1" customWidth="1"/>
    <col min="14331" max="14331" width="10.5703125" style="77" bestFit="1" customWidth="1"/>
    <col min="14332" max="14332" width="15.85546875" style="77" bestFit="1" customWidth="1"/>
    <col min="14333" max="14333" width="17.42578125" style="77" bestFit="1" customWidth="1"/>
    <col min="14334" max="14571" width="9.140625" style="77"/>
    <col min="14572" max="14573" width="16.28515625" style="77" customWidth="1"/>
    <col min="14574" max="14574" width="93.28515625" style="77" customWidth="1"/>
    <col min="14575" max="14575" width="26.140625" style="77" customWidth="1"/>
    <col min="14576" max="14577" width="11.7109375" style="77" bestFit="1" customWidth="1"/>
    <col min="14578" max="14578" width="11.7109375" style="77" customWidth="1"/>
    <col min="14579" max="14580" width="17.42578125" style="77" bestFit="1" customWidth="1"/>
    <col min="14581" max="14582" width="14" style="77" bestFit="1" customWidth="1"/>
    <col min="14583" max="14583" width="20" style="77" bestFit="1" customWidth="1"/>
    <col min="14584" max="14584" width="17.42578125" style="77" customWidth="1"/>
    <col min="14585" max="14585" width="10.7109375" style="77" bestFit="1" customWidth="1"/>
    <col min="14586" max="14586" width="11" style="77" bestFit="1" customWidth="1"/>
    <col min="14587" max="14587" width="10.5703125" style="77" bestFit="1" customWidth="1"/>
    <col min="14588" max="14588" width="15.85546875" style="77" bestFit="1" customWidth="1"/>
    <col min="14589" max="14589" width="17.42578125" style="77" bestFit="1" customWidth="1"/>
    <col min="14590" max="14827" width="9.140625" style="77"/>
    <col min="14828" max="14829" width="16.28515625" style="77" customWidth="1"/>
    <col min="14830" max="14830" width="93.28515625" style="77" customWidth="1"/>
    <col min="14831" max="14831" width="26.140625" style="77" customWidth="1"/>
    <col min="14832" max="14833" width="11.7109375" style="77" bestFit="1" customWidth="1"/>
    <col min="14834" max="14834" width="11.7109375" style="77" customWidth="1"/>
    <col min="14835" max="14836" width="17.42578125" style="77" bestFit="1" customWidth="1"/>
    <col min="14837" max="14838" width="14" style="77" bestFit="1" customWidth="1"/>
    <col min="14839" max="14839" width="20" style="77" bestFit="1" customWidth="1"/>
    <col min="14840" max="14840" width="17.42578125" style="77" customWidth="1"/>
    <col min="14841" max="14841" width="10.7109375" style="77" bestFit="1" customWidth="1"/>
    <col min="14842" max="14842" width="11" style="77" bestFit="1" customWidth="1"/>
    <col min="14843" max="14843" width="10.5703125" style="77" bestFit="1" customWidth="1"/>
    <col min="14844" max="14844" width="15.85546875" style="77" bestFit="1" customWidth="1"/>
    <col min="14845" max="14845" width="17.42578125" style="77" bestFit="1" customWidth="1"/>
    <col min="14846" max="15083" width="9.140625" style="77"/>
    <col min="15084" max="15085" width="16.28515625" style="77" customWidth="1"/>
    <col min="15086" max="15086" width="93.28515625" style="77" customWidth="1"/>
    <col min="15087" max="15087" width="26.140625" style="77" customWidth="1"/>
    <col min="15088" max="15089" width="11.7109375" style="77" bestFit="1" customWidth="1"/>
    <col min="15090" max="15090" width="11.7109375" style="77" customWidth="1"/>
    <col min="15091" max="15092" width="17.42578125" style="77" bestFit="1" customWidth="1"/>
    <col min="15093" max="15094" width="14" style="77" bestFit="1" customWidth="1"/>
    <col min="15095" max="15095" width="20" style="77" bestFit="1" customWidth="1"/>
    <col min="15096" max="15096" width="17.42578125" style="77" customWidth="1"/>
    <col min="15097" max="15097" width="10.7109375" style="77" bestFit="1" customWidth="1"/>
    <col min="15098" max="15098" width="11" style="77" bestFit="1" customWidth="1"/>
    <col min="15099" max="15099" width="10.5703125" style="77" bestFit="1" customWidth="1"/>
    <col min="15100" max="15100" width="15.85546875" style="77" bestFit="1" customWidth="1"/>
    <col min="15101" max="15101" width="17.42578125" style="77" bestFit="1" customWidth="1"/>
    <col min="15102" max="15339" width="9.140625" style="77"/>
    <col min="15340" max="15341" width="16.28515625" style="77" customWidth="1"/>
    <col min="15342" max="15342" width="93.28515625" style="77" customWidth="1"/>
    <col min="15343" max="15343" width="26.140625" style="77" customWidth="1"/>
    <col min="15344" max="15345" width="11.7109375" style="77" bestFit="1" customWidth="1"/>
    <col min="15346" max="15346" width="11.7109375" style="77" customWidth="1"/>
    <col min="15347" max="15348" width="17.42578125" style="77" bestFit="1" customWidth="1"/>
    <col min="15349" max="15350" width="14" style="77" bestFit="1" customWidth="1"/>
    <col min="15351" max="15351" width="20" style="77" bestFit="1" customWidth="1"/>
    <col min="15352" max="15352" width="17.42578125" style="77" customWidth="1"/>
    <col min="15353" max="15353" width="10.7109375" style="77" bestFit="1" customWidth="1"/>
    <col min="15354" max="15354" width="11" style="77" bestFit="1" customWidth="1"/>
    <col min="15355" max="15355" width="10.5703125" style="77" bestFit="1" customWidth="1"/>
    <col min="15356" max="15356" width="15.85546875" style="77" bestFit="1" customWidth="1"/>
    <col min="15357" max="15357" width="17.42578125" style="77" bestFit="1" customWidth="1"/>
    <col min="15358" max="15595" width="9.140625" style="77"/>
    <col min="15596" max="15597" width="16.28515625" style="77" customWidth="1"/>
    <col min="15598" max="15598" width="93.28515625" style="77" customWidth="1"/>
    <col min="15599" max="15599" width="26.140625" style="77" customWidth="1"/>
    <col min="15600" max="15601" width="11.7109375" style="77" bestFit="1" customWidth="1"/>
    <col min="15602" max="15602" width="11.7109375" style="77" customWidth="1"/>
    <col min="15603" max="15604" width="17.42578125" style="77" bestFit="1" customWidth="1"/>
    <col min="15605" max="15606" width="14" style="77" bestFit="1" customWidth="1"/>
    <col min="15607" max="15607" width="20" style="77" bestFit="1" customWidth="1"/>
    <col min="15608" max="15608" width="17.42578125" style="77" customWidth="1"/>
    <col min="15609" max="15609" width="10.7109375" style="77" bestFit="1" customWidth="1"/>
    <col min="15610" max="15610" width="11" style="77" bestFit="1" customWidth="1"/>
    <col min="15611" max="15611" width="10.5703125" style="77" bestFit="1" customWidth="1"/>
    <col min="15612" max="15612" width="15.85546875" style="77" bestFit="1" customWidth="1"/>
    <col min="15613" max="15613" width="17.42578125" style="77" bestFit="1" customWidth="1"/>
    <col min="15614" max="15851" width="9.140625" style="77"/>
    <col min="15852" max="15853" width="16.28515625" style="77" customWidth="1"/>
    <col min="15854" max="15854" width="93.28515625" style="77" customWidth="1"/>
    <col min="15855" max="15855" width="26.140625" style="77" customWidth="1"/>
    <col min="15856" max="15857" width="11.7109375" style="77" bestFit="1" customWidth="1"/>
    <col min="15858" max="15858" width="11.7109375" style="77" customWidth="1"/>
    <col min="15859" max="15860" width="17.42578125" style="77" bestFit="1" customWidth="1"/>
    <col min="15861" max="15862" width="14" style="77" bestFit="1" customWidth="1"/>
    <col min="15863" max="15863" width="20" style="77" bestFit="1" customWidth="1"/>
    <col min="15864" max="15864" width="17.42578125" style="77" customWidth="1"/>
    <col min="15865" max="15865" width="10.7109375" style="77" bestFit="1" customWidth="1"/>
    <col min="15866" max="15866" width="11" style="77" bestFit="1" customWidth="1"/>
    <col min="15867" max="15867" width="10.5703125" style="77" bestFit="1" customWidth="1"/>
    <col min="15868" max="15868" width="15.85546875" style="77" bestFit="1" customWidth="1"/>
    <col min="15869" max="15869" width="17.42578125" style="77" bestFit="1" customWidth="1"/>
    <col min="15870" max="16107" width="9.140625" style="77"/>
    <col min="16108" max="16109" width="16.28515625" style="77" customWidth="1"/>
    <col min="16110" max="16110" width="93.28515625" style="77" customWidth="1"/>
    <col min="16111" max="16111" width="26.140625" style="77" customWidth="1"/>
    <col min="16112" max="16113" width="11.7109375" style="77" bestFit="1" customWidth="1"/>
    <col min="16114" max="16114" width="11.7109375" style="77" customWidth="1"/>
    <col min="16115" max="16116" width="17.42578125" style="77" bestFit="1" customWidth="1"/>
    <col min="16117" max="16118" width="14" style="77" bestFit="1" customWidth="1"/>
    <col min="16119" max="16119" width="20" style="77" bestFit="1" customWidth="1"/>
    <col min="16120" max="16120" width="17.42578125" style="77" customWidth="1"/>
    <col min="16121" max="16121" width="10.7109375" style="77" bestFit="1" customWidth="1"/>
    <col min="16122" max="16122" width="11" style="77" bestFit="1" customWidth="1"/>
    <col min="16123" max="16123" width="10.5703125" style="77" bestFit="1" customWidth="1"/>
    <col min="16124" max="16124" width="15.85546875" style="77" bestFit="1" customWidth="1"/>
    <col min="16125" max="16125" width="17.42578125" style="77" bestFit="1" customWidth="1"/>
    <col min="16126" max="16384" width="9.140625" style="77"/>
  </cols>
  <sheetData>
    <row r="1" spans="1:35" s="217" customFormat="1" ht="20.25">
      <c r="E1" s="2272" t="str">
        <f>IF(dms_DataQuality="backcast",INDEX(dms_Worksheet_List,MATCH(dms_Model,dms_Model_List))&amp;" BACKCAST",INDEX(dms_Worksheet_List,MATCH(dms_Model,dms_Model_List)))</f>
        <v>REGULATORY REPORTING STATEMENT</v>
      </c>
      <c r="F1" s="219"/>
      <c r="G1" s="219"/>
      <c r="H1" s="219"/>
      <c r="I1" s="219"/>
      <c r="J1" s="219"/>
      <c r="K1" s="219"/>
      <c r="L1" s="219"/>
      <c r="M1" s="219"/>
      <c r="N1" s="219"/>
      <c r="O1" s="219"/>
      <c r="P1" s="219"/>
      <c r="Q1" s="219"/>
      <c r="R1" s="219"/>
      <c r="S1" s="219"/>
      <c r="T1" s="219"/>
      <c r="U1" s="219"/>
      <c r="V1" s="219"/>
      <c r="W1" s="219"/>
      <c r="X1" s="219"/>
      <c r="Y1" s="219"/>
      <c r="Z1" s="219"/>
      <c r="AA1" s="219"/>
      <c r="AB1" s="219"/>
      <c r="AC1" s="219"/>
      <c r="AD1" s="219"/>
      <c r="AE1" s="219"/>
      <c r="AF1" s="219"/>
      <c r="AG1" s="219"/>
      <c r="AH1" s="219"/>
      <c r="AI1"/>
    </row>
    <row r="2" spans="1:35" s="217" customFormat="1" ht="20.25">
      <c r="E2" s="2277" t="str">
        <f>INDEX(dms_TradingNameFull_List,MATCH(dms_TradingName,dms_TradingName_List))</f>
        <v>Multinet Gas (DB No.1) Pty Ltd (ACN 086 026 986), Multinet Gas (DB No.2) Pty Ltd (ACN 086 230 122)</v>
      </c>
      <c r="F2" s="219"/>
      <c r="G2" s="219"/>
      <c r="H2" s="219"/>
      <c r="I2" s="219"/>
      <c r="J2" s="219"/>
      <c r="K2" s="219"/>
      <c r="L2" s="219"/>
      <c r="M2" s="219"/>
      <c r="N2" s="219"/>
      <c r="O2" s="219"/>
      <c r="P2" s="219"/>
      <c r="Q2" s="219"/>
      <c r="R2" s="219"/>
      <c r="S2" s="219"/>
      <c r="T2" s="219"/>
      <c r="U2" s="219"/>
      <c r="V2" s="219"/>
      <c r="W2" s="219"/>
      <c r="X2" s="219"/>
      <c r="Y2" s="219"/>
      <c r="Z2" s="219"/>
      <c r="AA2" s="219"/>
      <c r="AB2" s="219"/>
      <c r="AC2" s="219"/>
      <c r="AD2" s="219"/>
      <c r="AE2" s="219"/>
      <c r="AF2" s="219"/>
      <c r="AG2" s="219"/>
      <c r="AH2" s="219"/>
      <c r="AI2"/>
    </row>
    <row r="3" spans="1:35" s="217" customFormat="1" ht="20.25">
      <c r="E3" s="2277" t="str">
        <f ca="1">IF(SUM(dms_SingleYear_Model)&gt;0,CRY,CONCATENATE(FRCP_y1," to ",dms_MultiYear_FinalYear_Result))</f>
        <v>2018 to 2022</v>
      </c>
      <c r="F3" s="222" t="str">
        <f>CONCATENATE(LEFT(FRCP_y1,4),"-",LEFT(FRCP_y5,2),RIGHT(FRCP_y5,2))</f>
        <v>2018-2022</v>
      </c>
      <c r="G3" s="221"/>
      <c r="H3" s="221"/>
      <c r="I3" s="221"/>
      <c r="J3" s="221"/>
      <c r="K3" s="221"/>
      <c r="L3" s="221"/>
      <c r="M3" s="221"/>
      <c r="N3" s="221"/>
      <c r="O3" s="221"/>
      <c r="P3" s="221"/>
      <c r="Q3" s="221"/>
      <c r="R3" s="221"/>
      <c r="S3" s="221"/>
      <c r="T3" s="221"/>
      <c r="U3" s="221"/>
      <c r="V3" s="221"/>
      <c r="W3" s="1265"/>
      <c r="X3" s="1265"/>
      <c r="Y3" s="1265"/>
      <c r="Z3" s="1265"/>
      <c r="AA3" s="1265"/>
      <c r="AB3" s="1265"/>
      <c r="AC3" s="1265"/>
      <c r="AD3" s="1265"/>
      <c r="AE3" s="1265"/>
      <c r="AF3" s="1265"/>
      <c r="AG3" s="1265"/>
      <c r="AH3" s="1265"/>
      <c r="AI3"/>
    </row>
    <row r="4" spans="1:35" s="159" customFormat="1" ht="20.25">
      <c r="B4" s="10"/>
      <c r="C4" s="12"/>
      <c r="D4"/>
      <c r="E4" s="12" t="s">
        <v>450</v>
      </c>
      <c r="F4" s="12"/>
      <c r="G4" s="12"/>
      <c r="H4" s="12"/>
      <c r="I4" s="12"/>
      <c r="J4" s="12"/>
      <c r="K4" s="12"/>
      <c r="L4" s="12"/>
      <c r="M4" s="12"/>
      <c r="N4" s="12"/>
      <c r="O4" s="12"/>
      <c r="P4" s="12"/>
      <c r="Q4" s="12"/>
      <c r="R4" s="12"/>
      <c r="S4" s="12"/>
      <c r="T4" s="12"/>
      <c r="U4" s="12"/>
      <c r="V4" s="12"/>
      <c r="W4" s="12"/>
      <c r="X4" s="12"/>
      <c r="Y4" s="12"/>
      <c r="Z4" s="12"/>
      <c r="AA4" s="12"/>
      <c r="AB4" s="12"/>
      <c r="AC4" s="12"/>
      <c r="AD4" s="12"/>
      <c r="AE4" s="12"/>
      <c r="AF4" s="12"/>
      <c r="AG4" s="12"/>
      <c r="AH4" s="12"/>
      <c r="AI4"/>
    </row>
    <row r="5" spans="1:35" ht="13.5" thickBot="1">
      <c r="A5" s="391"/>
      <c r="B5" s="391"/>
      <c r="C5" s="391"/>
      <c r="D5" s="391"/>
      <c r="E5" s="517"/>
      <c r="F5" s="299"/>
      <c r="G5" s="299"/>
      <c r="H5" s="299"/>
      <c r="I5" s="299"/>
      <c r="J5" s="299"/>
      <c r="K5" s="299"/>
      <c r="L5" s="299"/>
      <c r="M5" s="299"/>
      <c r="N5" s="299"/>
      <c r="O5" s="299"/>
      <c r="P5" s="299"/>
      <c r="Q5" s="299"/>
      <c r="R5" s="299"/>
      <c r="S5" s="299"/>
      <c r="T5" s="299"/>
      <c r="U5" s="299"/>
      <c r="V5" s="299"/>
      <c r="AA5"/>
      <c r="AB5"/>
      <c r="AC5"/>
      <c r="AD5"/>
      <c r="AE5"/>
      <c r="AF5"/>
      <c r="AG5"/>
      <c r="AH5"/>
      <c r="AI5"/>
    </row>
    <row r="6" spans="1:35" ht="21" customHeight="1">
      <c r="A6" s="985" t="s">
        <v>196</v>
      </c>
      <c r="B6" s="986" t="s">
        <v>202</v>
      </c>
      <c r="C6" s="299"/>
      <c r="E6" s="1011" t="s">
        <v>61</v>
      </c>
      <c r="F6" s="84"/>
      <c r="G6" s="84"/>
      <c r="H6" s="282"/>
      <c r="I6" s="282"/>
      <c r="J6" s="282"/>
      <c r="K6" s="282"/>
      <c r="L6" s="282"/>
      <c r="M6" s="282"/>
      <c r="N6" s="282"/>
      <c r="O6" s="282"/>
      <c r="P6" s="299"/>
      <c r="Q6" s="299"/>
      <c r="R6" s="299"/>
      <c r="S6" s="299"/>
      <c r="T6" s="299"/>
      <c r="U6" s="299"/>
      <c r="V6" s="299"/>
      <c r="AA6"/>
      <c r="AB6"/>
      <c r="AC6"/>
      <c r="AD6"/>
      <c r="AE6"/>
      <c r="AF6"/>
      <c r="AG6"/>
      <c r="AH6"/>
      <c r="AI6"/>
    </row>
    <row r="7" spans="1:35" ht="21" customHeight="1">
      <c r="A7" s="987" t="s">
        <v>197</v>
      </c>
      <c r="B7" s="988" t="s">
        <v>203</v>
      </c>
      <c r="C7" s="299"/>
      <c r="E7" s="4211" t="s">
        <v>454</v>
      </c>
      <c r="F7" s="4211"/>
      <c r="G7" s="4211"/>
      <c r="H7" s="282"/>
      <c r="I7" s="282"/>
      <c r="J7" s="282"/>
      <c r="K7" s="282"/>
      <c r="L7" s="282"/>
      <c r="M7" s="282"/>
      <c r="N7" s="282"/>
      <c r="O7" s="282"/>
      <c r="P7" s="299"/>
      <c r="Q7" s="299"/>
      <c r="R7" s="299"/>
      <c r="S7" s="299"/>
      <c r="T7" s="299"/>
      <c r="U7" s="299"/>
      <c r="V7" s="299"/>
      <c r="AA7"/>
      <c r="AB7"/>
      <c r="AC7"/>
      <c r="AD7"/>
      <c r="AE7"/>
      <c r="AF7"/>
      <c r="AG7"/>
      <c r="AH7"/>
      <c r="AI7"/>
    </row>
    <row r="8" spans="1:35" s="69" customFormat="1" ht="43.5" customHeight="1">
      <c r="A8" s="987" t="s">
        <v>199</v>
      </c>
      <c r="B8" s="988" t="s">
        <v>205</v>
      </c>
      <c r="C8" s="392"/>
      <c r="D8" s="392"/>
      <c r="E8" s="4211" t="str">
        <f>CONCATENATE("As set out in cl.6.1 of the ", dms_TradingName, " RIN, for tables 5.1 to 5.2, where the requested data is captured in the ", dms_TradingName, " capex model it is not required to be reentered in the RIN template tables.  If the requested data has not been provided in the ", dms_TradingName, " RIN please enter into the tables. This may require the insertion of new lines in each table.")</f>
        <v>As set out in cl.6.1 of the Multinet Gas RIN, for tables 5.1 to 5.2, where the requested data is captured in the Multinet Gas capex model it is not required to be reentered in the RIN template tables.  If the requested data has not been provided in the Multinet Gas RIN please enter into the tables. This may require the insertion of new lines in each table.</v>
      </c>
      <c r="F8" s="4211"/>
      <c r="G8" s="4211"/>
      <c r="H8" s="282"/>
      <c r="I8" s="282"/>
      <c r="J8" s="282"/>
      <c r="K8" s="282"/>
      <c r="L8" s="282"/>
      <c r="M8" s="282"/>
      <c r="N8" s="282"/>
      <c r="O8" s="282"/>
      <c r="P8" s="511"/>
      <c r="Q8" s="511"/>
      <c r="R8" s="511"/>
      <c r="S8" s="511"/>
      <c r="T8" s="511"/>
      <c r="U8" s="392"/>
      <c r="V8" s="392"/>
      <c r="W8"/>
      <c r="X8"/>
      <c r="Y8"/>
      <c r="Z8"/>
      <c r="AA8"/>
      <c r="AB8" s="1268"/>
      <c r="AC8" s="1268"/>
      <c r="AD8" s="1268"/>
      <c r="AE8" s="1268"/>
      <c r="AF8" s="1268"/>
      <c r="AG8" s="1268"/>
      <c r="AH8" s="1268"/>
    </row>
    <row r="9" spans="1:35" s="69" customFormat="1" ht="43.5" customHeight="1">
      <c r="A9" s="987" t="s">
        <v>280</v>
      </c>
      <c r="B9" s="988" t="s">
        <v>274</v>
      </c>
      <c r="C9" s="392"/>
      <c r="D9" s="392"/>
      <c r="E9" s="4211" t="s">
        <v>608</v>
      </c>
      <c r="F9" s="4211"/>
      <c r="G9" s="4211"/>
      <c r="H9" s="282"/>
      <c r="I9" s="282"/>
      <c r="J9" s="282"/>
      <c r="K9" s="282"/>
      <c r="L9" s="282"/>
      <c r="M9" s="282"/>
      <c r="N9" s="282"/>
      <c r="O9" s="282"/>
      <c r="P9" s="511"/>
      <c r="Q9" s="511"/>
      <c r="R9" s="511"/>
      <c r="S9" s="511"/>
      <c r="T9" s="511"/>
      <c r="U9" s="392"/>
      <c r="V9" s="392"/>
      <c r="W9"/>
      <c r="X9"/>
      <c r="Y9"/>
      <c r="Z9"/>
      <c r="AA9"/>
      <c r="AB9" s="1268"/>
      <c r="AC9" s="1268"/>
      <c r="AD9" s="1268"/>
      <c r="AE9" s="1268"/>
      <c r="AF9" s="1268"/>
      <c r="AG9" s="1268"/>
      <c r="AH9" s="1268"/>
    </row>
    <row r="10" spans="1:35" ht="43.5" customHeight="1">
      <c r="A10" s="987" t="s">
        <v>200</v>
      </c>
      <c r="B10" s="988" t="s">
        <v>206</v>
      </c>
      <c r="C10" s="299"/>
      <c r="E10" s="4211" t="str">
        <f>CONCATENATE("Subject to cl.6.1 of the ", dms_TradingName, " RIN, where linked/adjustable overhead expenditure and Related party margin expenditure is not provided in the ", dms_TradingName, " capex model, overhead expenditure and Related party margin expenditure should be linked to allocations derived in tabs '14. Overheads' and '15. Related party transactions'.")</f>
        <v>Subject to cl.6.1 of the Multinet Gas RIN, where linked/adjustable overhead expenditure and Related party margin expenditure is not provided in the Multinet Gas capex model, overhead expenditure and Related party margin expenditure should be linked to allocations derived in tabs '14. Overheads' and '15. Related party transactions'.</v>
      </c>
      <c r="F10" s="4211"/>
      <c r="G10" s="4211"/>
      <c r="H10" s="299"/>
      <c r="I10" s="510"/>
      <c r="J10" s="510"/>
      <c r="K10" s="509"/>
      <c r="L10" s="510"/>
      <c r="M10" s="510"/>
      <c r="N10" s="510"/>
      <c r="O10" s="510"/>
      <c r="P10" s="299"/>
      <c r="Q10" s="299"/>
      <c r="R10" s="299"/>
      <c r="S10" s="299"/>
      <c r="T10" s="299"/>
      <c r="U10" s="299"/>
      <c r="V10" s="299"/>
      <c r="AA10"/>
      <c r="AB10" s="299"/>
      <c r="AC10" s="510"/>
      <c r="AD10" s="510"/>
      <c r="AE10" s="880"/>
      <c r="AF10" s="510"/>
      <c r="AG10" s="510"/>
      <c r="AH10" s="510"/>
    </row>
    <row r="11" spans="1:35" s="78" customFormat="1" ht="32.25" customHeight="1">
      <c r="A11" s="987" t="s">
        <v>281</v>
      </c>
      <c r="B11" s="988" t="s">
        <v>275</v>
      </c>
      <c r="C11" s="299"/>
      <c r="D11" s="299"/>
      <c r="E11" s="4211" t="s">
        <v>161</v>
      </c>
      <c r="F11" s="4212"/>
      <c r="G11" s="4212"/>
      <c r="H11" s="516"/>
      <c r="I11" s="510"/>
      <c r="J11" s="510"/>
      <c r="K11" s="510"/>
      <c r="L11" s="510"/>
      <c r="M11" s="510"/>
      <c r="N11" s="510"/>
      <c r="O11" s="510"/>
      <c r="P11" s="299"/>
      <c r="Q11" s="299"/>
      <c r="R11" s="299"/>
      <c r="S11" s="299"/>
      <c r="T11" s="299"/>
      <c r="U11" s="299"/>
      <c r="V11" s="299"/>
      <c r="W11"/>
      <c r="X11"/>
      <c r="Y11"/>
      <c r="Z11"/>
      <c r="AA11"/>
      <c r="AB11" s="516"/>
      <c r="AC11" s="510"/>
      <c r="AD11" s="510"/>
      <c r="AE11" s="510"/>
      <c r="AF11" s="510"/>
      <c r="AG11" s="510"/>
      <c r="AH11" s="510"/>
    </row>
    <row r="12" spans="1:35" s="78" customFormat="1" ht="13.5" thickBot="1">
      <c r="A12" s="989" t="s">
        <v>284</v>
      </c>
      <c r="B12" s="990" t="s">
        <v>135</v>
      </c>
      <c r="C12" s="299"/>
      <c r="D12"/>
      <c r="E12"/>
      <c r="F12"/>
      <c r="G12"/>
      <c r="H12" s="299"/>
      <c r="I12" s="299"/>
      <c r="J12" s="299"/>
      <c r="K12" s="299"/>
      <c r="L12" s="299"/>
      <c r="M12" s="299"/>
      <c r="N12" s="299"/>
      <c r="O12" s="299"/>
      <c r="P12" s="299"/>
      <c r="Q12" s="299"/>
      <c r="R12" s="299"/>
      <c r="S12" s="299"/>
      <c r="T12" s="299"/>
      <c r="U12" s="299"/>
      <c r="V12" s="299"/>
      <c r="W12"/>
      <c r="X12"/>
      <c r="Y12"/>
      <c r="Z12"/>
      <c r="AA12" s="1266"/>
      <c r="AB12" s="299"/>
      <c r="AC12" s="299"/>
      <c r="AD12" s="299"/>
      <c r="AE12" s="299"/>
      <c r="AF12" s="299"/>
      <c r="AG12" s="299"/>
      <c r="AH12" s="299"/>
    </row>
    <row r="13" spans="1:35" s="78" customFormat="1" ht="21" thickBot="1">
      <c r="A13" s="299"/>
      <c r="B13" s="299"/>
      <c r="C13" s="299"/>
      <c r="D13" s="299"/>
      <c r="F13" s="516"/>
      <c r="G13" s="516"/>
      <c r="H13" s="516"/>
      <c r="I13" s="516"/>
      <c r="J13" s="516"/>
      <c r="K13" s="516"/>
      <c r="L13" s="516"/>
      <c r="M13" s="516"/>
      <c r="N13" s="516"/>
      <c r="O13" s="516"/>
      <c r="P13" s="516"/>
      <c r="Q13" s="516"/>
      <c r="R13" s="516"/>
      <c r="S13" s="516"/>
      <c r="T13" s="516"/>
      <c r="U13" s="299"/>
      <c r="V13" s="299"/>
      <c r="W13"/>
      <c r="X13"/>
      <c r="Y13"/>
      <c r="Z13"/>
      <c r="AA13" s="516"/>
      <c r="AB13" s="516"/>
      <c r="AC13" s="516"/>
      <c r="AD13" s="516"/>
      <c r="AE13" s="516"/>
      <c r="AF13" s="516"/>
      <c r="AG13" s="516"/>
      <c r="AH13" s="516"/>
    </row>
    <row r="14" spans="1:35" s="1266" customFormat="1" ht="16.5" thickBot="1">
      <c r="A14" s="299"/>
      <c r="B14" s="299"/>
      <c r="C14" s="299"/>
      <c r="D14" s="299"/>
      <c r="E14" s="769" t="s">
        <v>572</v>
      </c>
      <c r="F14" s="769"/>
      <c r="G14" s="769"/>
      <c r="H14" s="769"/>
      <c r="I14" s="769"/>
      <c r="J14" s="769"/>
      <c r="K14" s="769"/>
      <c r="L14" s="769"/>
      <c r="M14" s="769"/>
      <c r="N14" s="769"/>
      <c r="O14" s="769"/>
      <c r="P14" s="769"/>
      <c r="Q14" s="769"/>
      <c r="R14" s="769"/>
      <c r="S14" s="769"/>
      <c r="T14" s="769"/>
      <c r="U14" s="769"/>
      <c r="V14" s="769"/>
      <c r="W14" s="769"/>
      <c r="AA14" s="769" t="s">
        <v>674</v>
      </c>
      <c r="AB14" s="769"/>
      <c r="AC14" s="769"/>
      <c r="AD14" s="769"/>
      <c r="AE14" s="769"/>
      <c r="AF14" s="769"/>
      <c r="AG14" s="769"/>
      <c r="AH14" s="1303"/>
    </row>
    <row r="15" spans="1:35" s="65" customFormat="1" ht="16.5" thickBot="1">
      <c r="A15" s="283"/>
      <c r="B15" s="283"/>
      <c r="C15" s="283"/>
      <c r="D15" s="283"/>
      <c r="E15" s="2867" t="s">
        <v>603</v>
      </c>
      <c r="F15" s="2867"/>
      <c r="G15" s="1373"/>
      <c r="H15" s="1373"/>
      <c r="I15" s="1373"/>
      <c r="J15" s="1373"/>
      <c r="K15" s="1373"/>
      <c r="L15" s="1373"/>
      <c r="M15" s="1373"/>
      <c r="N15" s="1373"/>
      <c r="O15" s="1373"/>
      <c r="P15" s="1373"/>
      <c r="Q15" s="1373"/>
      <c r="R15" s="1373"/>
      <c r="S15" s="1373"/>
      <c r="T15" s="1373"/>
      <c r="U15" s="1373"/>
      <c r="V15" s="1373"/>
      <c r="W15" s="1374"/>
      <c r="X15"/>
      <c r="Y15"/>
      <c r="Z15"/>
      <c r="AA15" s="1372"/>
      <c r="AB15" s="1373"/>
      <c r="AC15" s="1373"/>
      <c r="AD15" s="1373"/>
      <c r="AE15" s="1373"/>
      <c r="AF15" s="1373"/>
      <c r="AG15" s="1373"/>
      <c r="AH15" s="1374"/>
    </row>
    <row r="16" spans="1:35" ht="18" customHeight="1">
      <c r="A16" s="299"/>
      <c r="B16" s="299"/>
      <c r="C16" s="299"/>
      <c r="E16" s="4198"/>
      <c r="F16" s="4199"/>
      <c r="G16" s="4186" t="s">
        <v>36</v>
      </c>
      <c r="H16" s="4137"/>
      <c r="I16" s="4137"/>
      <c r="J16" s="4137"/>
      <c r="K16" s="4137"/>
      <c r="L16" s="4187" t="s">
        <v>37</v>
      </c>
      <c r="M16" s="4188"/>
      <c r="N16" s="4188"/>
      <c r="O16" s="4188"/>
      <c r="P16" s="4188"/>
      <c r="Q16" s="4178" t="s">
        <v>356</v>
      </c>
      <c r="R16" s="4105" t="s">
        <v>75</v>
      </c>
      <c r="S16" s="4137"/>
      <c r="T16" s="4137"/>
      <c r="U16" s="4137"/>
      <c r="V16" s="4177"/>
      <c r="W16" s="4181" t="s">
        <v>162</v>
      </c>
      <c r="AA16" s="4186" t="s">
        <v>36</v>
      </c>
      <c r="AB16" s="4137"/>
      <c r="AC16" s="4137"/>
      <c r="AD16" s="4137"/>
      <c r="AE16" s="4137"/>
      <c r="AF16" s="4187" t="s">
        <v>37</v>
      </c>
      <c r="AG16" s="4188"/>
      <c r="AH16" s="4189"/>
    </row>
    <row r="17" spans="1:34" ht="15" customHeight="1">
      <c r="A17" s="299"/>
      <c r="B17" s="299"/>
      <c r="C17" s="299"/>
      <c r="E17" s="4200"/>
      <c r="F17" s="4201"/>
      <c r="G17" s="4125" t="s">
        <v>569</v>
      </c>
      <c r="H17" s="4126"/>
      <c r="I17" s="4126"/>
      <c r="J17" s="4126"/>
      <c r="K17" s="4126"/>
      <c r="L17" s="4126"/>
      <c r="M17" s="4126"/>
      <c r="N17" s="4126"/>
      <c r="O17" s="4129" t="str">
        <f>CONCATENATE("$0's, real ",dms_DollarReal)</f>
        <v>$0's, real December 2017</v>
      </c>
      <c r="P17" s="4213"/>
      <c r="Q17" s="4179"/>
      <c r="R17" s="4133" t="str">
        <f>CONCATENATE("$0's, real ",dms_DollarReal)</f>
        <v>$0's, real December 2017</v>
      </c>
      <c r="S17" s="4133"/>
      <c r="T17" s="4133"/>
      <c r="U17" s="4133"/>
      <c r="V17" s="4180"/>
      <c r="W17" s="4182"/>
      <c r="AA17" s="4217" t="str">
        <f>CONCATENATE("$0's, real ",dms_DollarReal)</f>
        <v>$0's, real December 2017</v>
      </c>
      <c r="AB17" s="4129"/>
      <c r="AC17" s="4129"/>
      <c r="AD17" s="4129"/>
      <c r="AE17" s="4129"/>
      <c r="AF17" s="4129"/>
      <c r="AG17" s="4129"/>
      <c r="AH17" s="4130"/>
    </row>
    <row r="18" spans="1:34" ht="25.5">
      <c r="A18" s="4184" t="s">
        <v>191</v>
      </c>
      <c r="B18" s="4184" t="s">
        <v>192</v>
      </c>
      <c r="C18" s="4184" t="s">
        <v>207</v>
      </c>
      <c r="E18" s="4200"/>
      <c r="F18" s="4201"/>
      <c r="G18" s="4125" t="s">
        <v>56</v>
      </c>
      <c r="H18" s="4126"/>
      <c r="I18" s="4126"/>
      <c r="J18" s="4126"/>
      <c r="K18" s="4126"/>
      <c r="L18" s="4126"/>
      <c r="M18" s="4126"/>
      <c r="N18" s="4127"/>
      <c r="O18" s="4128" t="s">
        <v>57</v>
      </c>
      <c r="P18" s="4213"/>
      <c r="Q18" s="3635" t="s">
        <v>347</v>
      </c>
      <c r="R18" s="4133" t="s">
        <v>57</v>
      </c>
      <c r="S18" s="4133"/>
      <c r="T18" s="4133"/>
      <c r="U18" s="4133"/>
      <c r="V18" s="4180"/>
      <c r="W18" s="4182"/>
      <c r="AA18" s="4125" t="s">
        <v>56</v>
      </c>
      <c r="AB18" s="4126"/>
      <c r="AC18" s="4126"/>
      <c r="AD18" s="4126"/>
      <c r="AE18" s="4126"/>
      <c r="AF18" s="4126"/>
      <c r="AG18" s="4126"/>
      <c r="AH18" s="4169"/>
    </row>
    <row r="19" spans="1:34" ht="15.75" customHeight="1" thickBot="1">
      <c r="A19" s="4185"/>
      <c r="B19" s="4185"/>
      <c r="C19" s="4185"/>
      <c r="E19" s="4202"/>
      <c r="F19" s="4203"/>
      <c r="G19" s="1313">
        <f t="array" ref="G19:K19">PRCP</f>
        <v>2008</v>
      </c>
      <c r="H19" s="1314">
        <v>2009</v>
      </c>
      <c r="I19" s="1314">
        <v>2010</v>
      </c>
      <c r="J19" s="1314">
        <v>2011</v>
      </c>
      <c r="K19" s="1314">
        <v>2012</v>
      </c>
      <c r="L19" s="379">
        <f>CRCP_y1</f>
        <v>2013</v>
      </c>
      <c r="M19" s="379">
        <f>CRCP_y2</f>
        <v>2014</v>
      </c>
      <c r="N19" s="379">
        <f>CRCP_y3</f>
        <v>2015</v>
      </c>
      <c r="O19" s="379">
        <f>CRCP_y4</f>
        <v>2016</v>
      </c>
      <c r="P19" s="379">
        <f>CRCP_y5</f>
        <v>2017</v>
      </c>
      <c r="Q19" s="380" t="s">
        <v>118</v>
      </c>
      <c r="R19" s="1314" t="str">
        <f t="array" ref="R19:V19">FRCP</f>
        <v>2018</v>
      </c>
      <c r="S19" s="1314">
        <v>2019</v>
      </c>
      <c r="T19" s="1314">
        <v>2020</v>
      </c>
      <c r="U19" s="1314">
        <v>2021</v>
      </c>
      <c r="V19" s="381">
        <v>2022</v>
      </c>
      <c r="W19" s="4183"/>
      <c r="AA19" s="1313">
        <f t="array" ref="AA19:AE19">PRCP</f>
        <v>2008</v>
      </c>
      <c r="AB19" s="1314">
        <v>2009</v>
      </c>
      <c r="AC19" s="1314">
        <v>2010</v>
      </c>
      <c r="AD19" s="1314">
        <v>2011</v>
      </c>
      <c r="AE19" s="1314">
        <v>2012</v>
      </c>
      <c r="AF19" s="379">
        <f>CRCP_y1</f>
        <v>2013</v>
      </c>
      <c r="AG19" s="379">
        <f>CRCP_y2</f>
        <v>2014</v>
      </c>
      <c r="AH19" s="1772">
        <f>CRCP_y3</f>
        <v>2015</v>
      </c>
    </row>
    <row r="20" spans="1:34" ht="18" customHeight="1" outlineLevel="1">
      <c r="A20" s="299"/>
      <c r="B20" s="299"/>
      <c r="C20" s="299"/>
      <c r="E20" s="4190" t="s">
        <v>1532</v>
      </c>
      <c r="F20" s="588" t="s">
        <v>585</v>
      </c>
      <c r="G20" s="408"/>
      <c r="H20" s="409"/>
      <c r="I20" s="409"/>
      <c r="J20" s="409"/>
      <c r="K20" s="411"/>
      <c r="L20" s="408"/>
      <c r="M20" s="409"/>
      <c r="N20" s="409"/>
      <c r="O20" s="409"/>
      <c r="P20" s="409"/>
      <c r="Q20" s="409"/>
      <c r="R20" s="1457"/>
      <c r="S20" s="440"/>
      <c r="T20" s="440"/>
      <c r="U20" s="440"/>
      <c r="V20" s="530"/>
      <c r="W20" s="1125"/>
      <c r="AA20" s="408"/>
      <c r="AB20" s="409"/>
      <c r="AC20" s="409"/>
      <c r="AD20" s="409"/>
      <c r="AE20" s="411"/>
      <c r="AF20" s="408"/>
      <c r="AG20" s="409"/>
      <c r="AH20" s="411"/>
    </row>
    <row r="21" spans="1:34" ht="12.75" customHeight="1" outlineLevel="1">
      <c r="A21" s="299"/>
      <c r="B21" s="299"/>
      <c r="C21" s="299"/>
      <c r="E21" s="4191"/>
      <c r="F21" s="3102" t="s">
        <v>584</v>
      </c>
      <c r="G21" s="404"/>
      <c r="H21" s="405"/>
      <c r="I21" s="405"/>
      <c r="J21" s="405"/>
      <c r="K21" s="1111"/>
      <c r="L21" s="404"/>
      <c r="M21" s="405"/>
      <c r="N21" s="405"/>
      <c r="O21" s="405"/>
      <c r="P21" s="405"/>
      <c r="Q21" s="405"/>
      <c r="R21" s="486">
        <v>3611633.3007448507</v>
      </c>
      <c r="S21" s="485">
        <f>'[7]CAPEX Build-up'!G135*1000*'[7]Regulatory Export'!G3/1.06</f>
        <v>2593114.9482821864</v>
      </c>
      <c r="T21" s="485">
        <f>'[7]CAPEX Build-up'!H135*1000*'[7]Regulatory Export'!H3/1.06</f>
        <v>2598712.5085772029</v>
      </c>
      <c r="U21" s="485">
        <f>'[7]CAPEX Build-up'!I135*1000*'[7]Regulatory Export'!I3/1.06</f>
        <v>2432185.802382336</v>
      </c>
      <c r="V21" s="487">
        <v>0</v>
      </c>
      <c r="W21" s="1126"/>
      <c r="AA21" s="404"/>
      <c r="AB21" s="405"/>
      <c r="AC21" s="405"/>
      <c r="AD21" s="405"/>
      <c r="AE21" s="1111"/>
      <c r="AF21" s="404"/>
      <c r="AG21" s="405"/>
      <c r="AH21" s="1111"/>
    </row>
    <row r="22" spans="1:34" ht="12.75" customHeight="1" outlineLevel="1">
      <c r="A22" s="299"/>
      <c r="B22" s="299"/>
      <c r="C22" s="299"/>
      <c r="E22" s="4191"/>
      <c r="F22" s="3102" t="s">
        <v>604</v>
      </c>
      <c r="G22" s="404"/>
      <c r="H22" s="405"/>
      <c r="I22" s="405"/>
      <c r="J22" s="405"/>
      <c r="K22" s="1111"/>
      <c r="L22" s="404"/>
      <c r="M22" s="405"/>
      <c r="N22" s="405"/>
      <c r="O22" s="405"/>
      <c r="P22" s="405"/>
      <c r="Q22" s="405"/>
      <c r="R22" s="486"/>
      <c r="S22" s="485"/>
      <c r="T22" s="485"/>
      <c r="U22" s="485"/>
      <c r="V22" s="487"/>
      <c r="W22" s="1126"/>
      <c r="AA22" s="404"/>
      <c r="AB22" s="405"/>
      <c r="AC22" s="405"/>
      <c r="AD22" s="405"/>
      <c r="AE22" s="1111"/>
      <c r="AF22" s="404"/>
      <c r="AG22" s="405"/>
      <c r="AH22" s="1111"/>
    </row>
    <row r="23" spans="1:34" ht="12.75" customHeight="1" outlineLevel="1">
      <c r="A23" s="299"/>
      <c r="B23" s="299"/>
      <c r="C23" s="299"/>
      <c r="E23" s="4191"/>
      <c r="F23" s="3106" t="s">
        <v>605</v>
      </c>
      <c r="G23" s="486">
        <v>4122932.8139999998</v>
      </c>
      <c r="H23" s="485">
        <v>5906286.1260000011</v>
      </c>
      <c r="I23" s="485">
        <v>7396109.7659999998</v>
      </c>
      <c r="J23" s="485">
        <v>11589023.457000002</v>
      </c>
      <c r="K23" s="487">
        <v>15571184.472000005</v>
      </c>
      <c r="L23" s="457">
        <v>664155.12977167312</v>
      </c>
      <c r="M23" s="503">
        <v>128065.16999999997</v>
      </c>
      <c r="N23" s="503">
        <v>516398.33999999997</v>
      </c>
      <c r="O23" s="503">
        <f>'[5]2. Capex'!$C$39*1000</f>
        <v>1485276.5200000003</v>
      </c>
      <c r="P23" s="494">
        <f>1.62*1000000</f>
        <v>1620000</v>
      </c>
      <c r="Q23" s="1070"/>
      <c r="R23" s="384">
        <f>SUM(R20:R22)</f>
        <v>3611633.3007448507</v>
      </c>
      <c r="S23" s="385">
        <f>SUM(S20:S22)</f>
        <v>2593114.9482821864</v>
      </c>
      <c r="T23" s="385">
        <f>SUM(T20:T22)</f>
        <v>2598712.5085772029</v>
      </c>
      <c r="U23" s="385">
        <f>SUM(U20:U22)</f>
        <v>2432185.802382336</v>
      </c>
      <c r="V23" s="477">
        <f>SUM(V20:V22)</f>
        <v>0</v>
      </c>
      <c r="W23" s="1126"/>
      <c r="AA23" s="489"/>
      <c r="AB23" s="490"/>
      <c r="AC23" s="490"/>
      <c r="AD23" s="490"/>
      <c r="AE23" s="491"/>
      <c r="AF23" s="536"/>
      <c r="AG23" s="537"/>
      <c r="AH23" s="573"/>
    </row>
    <row r="24" spans="1:34" ht="12.75" customHeight="1" outlineLevel="1">
      <c r="A24" s="299"/>
      <c r="B24" s="299"/>
      <c r="C24" s="299"/>
      <c r="E24" s="4191"/>
      <c r="F24" s="3102" t="s">
        <v>609</v>
      </c>
      <c r="G24" s="486">
        <v>458103.64600000001</v>
      </c>
      <c r="H24" s="485">
        <v>656254.01399999997</v>
      </c>
      <c r="I24" s="485">
        <v>821789.97400000005</v>
      </c>
      <c r="J24" s="485">
        <v>1287669.2730000005</v>
      </c>
      <c r="K24" s="487">
        <v>1730131.6080000007</v>
      </c>
      <c r="L24" s="457">
        <v>50796.360228326819</v>
      </c>
      <c r="M24" s="503">
        <v>6649.76</v>
      </c>
      <c r="N24" s="503">
        <v>19134.660000000003</v>
      </c>
      <c r="O24" s="503">
        <f>77.96048*1000</f>
        <v>77960.48000000001</v>
      </c>
      <c r="P24" s="494">
        <f>P23*0.06</f>
        <v>97200</v>
      </c>
      <c r="Q24" s="485">
        <f t="shared" ref="Q24:V24" si="0">Q23*0.06</f>
        <v>0</v>
      </c>
      <c r="R24" s="457">
        <f t="shared" si="0"/>
        <v>216697.99804469102</v>
      </c>
      <c r="S24" s="503">
        <f t="shared" si="0"/>
        <v>155586.89689693117</v>
      </c>
      <c r="T24" s="503">
        <f t="shared" si="0"/>
        <v>155922.75051463218</v>
      </c>
      <c r="U24" s="503">
        <f t="shared" si="0"/>
        <v>145931.14814294016</v>
      </c>
      <c r="V24" s="485">
        <f t="shared" si="0"/>
        <v>0</v>
      </c>
      <c r="W24" s="1070"/>
      <c r="AA24" s="489"/>
      <c r="AB24" s="490"/>
      <c r="AC24" s="490"/>
      <c r="AD24" s="490"/>
      <c r="AE24" s="491"/>
      <c r="AF24" s="536"/>
      <c r="AG24" s="537"/>
      <c r="AH24" s="573"/>
    </row>
    <row r="25" spans="1:34" ht="12.75" customHeight="1" outlineLevel="1">
      <c r="A25" s="299"/>
      <c r="B25" s="299"/>
      <c r="C25" s="299"/>
      <c r="E25" s="4191"/>
      <c r="F25" s="3102" t="s">
        <v>607</v>
      </c>
      <c r="G25" s="486"/>
      <c r="H25" s="485"/>
      <c r="I25" s="485"/>
      <c r="J25" s="485"/>
      <c r="K25" s="487"/>
      <c r="L25" s="486"/>
      <c r="M25" s="485"/>
      <c r="N25" s="485"/>
      <c r="O25" s="485"/>
      <c r="P25" s="502"/>
      <c r="Q25" s="1070"/>
      <c r="R25" s="1129"/>
      <c r="S25" s="502"/>
      <c r="T25" s="502"/>
      <c r="U25" s="502"/>
      <c r="V25" s="544"/>
      <c r="W25" s="1126"/>
      <c r="AA25" s="489"/>
      <c r="AB25" s="490"/>
      <c r="AC25" s="490"/>
      <c r="AD25" s="490"/>
      <c r="AE25" s="491"/>
      <c r="AF25" s="489"/>
      <c r="AG25" s="490"/>
      <c r="AH25" s="491"/>
    </row>
    <row r="26" spans="1:34" ht="12.75" customHeight="1" outlineLevel="1">
      <c r="A26" s="299"/>
      <c r="B26" s="299"/>
      <c r="C26" s="299"/>
      <c r="E26" s="4191"/>
      <c r="F26" s="3106" t="s">
        <v>610</v>
      </c>
      <c r="G26" s="384">
        <f>SUM(G23:G25)</f>
        <v>4581036.46</v>
      </c>
      <c r="H26" s="385">
        <f t="shared" ref="H26:V26" si="1">SUM(H23:H25)</f>
        <v>6562540.1400000006</v>
      </c>
      <c r="I26" s="385">
        <f t="shared" si="1"/>
        <v>8217899.7400000002</v>
      </c>
      <c r="J26" s="385">
        <f t="shared" si="1"/>
        <v>12876692.730000002</v>
      </c>
      <c r="K26" s="477">
        <f t="shared" si="1"/>
        <v>17301316.080000006</v>
      </c>
      <c r="L26" s="384">
        <f t="shared" si="1"/>
        <v>714951.49</v>
      </c>
      <c r="M26" s="385">
        <f t="shared" si="1"/>
        <v>134714.92999999996</v>
      </c>
      <c r="N26" s="385">
        <f t="shared" si="1"/>
        <v>535533</v>
      </c>
      <c r="O26" s="385">
        <f t="shared" si="1"/>
        <v>1563237.0000000002</v>
      </c>
      <c r="P26" s="385">
        <f t="shared" si="1"/>
        <v>1717200</v>
      </c>
      <c r="Q26" s="1120">
        <f t="shared" si="1"/>
        <v>0</v>
      </c>
      <c r="R26" s="384">
        <f t="shared" si="1"/>
        <v>3828331.2987895417</v>
      </c>
      <c r="S26" s="385">
        <f t="shared" si="1"/>
        <v>2748701.8451791178</v>
      </c>
      <c r="T26" s="385">
        <f t="shared" si="1"/>
        <v>2754635.259091835</v>
      </c>
      <c r="U26" s="385">
        <f t="shared" si="1"/>
        <v>2578116.9505252764</v>
      </c>
      <c r="V26" s="477">
        <f t="shared" si="1"/>
        <v>0</v>
      </c>
      <c r="W26" s="1126"/>
      <c r="AA26" s="384">
        <f>SUM(AA23:AA25)</f>
        <v>0</v>
      </c>
      <c r="AB26" s="385">
        <f t="shared" ref="AB26:AH26" si="2">SUM(AB23:AB25)</f>
        <v>0</v>
      </c>
      <c r="AC26" s="385">
        <f t="shared" si="2"/>
        <v>0</v>
      </c>
      <c r="AD26" s="385">
        <f t="shared" si="2"/>
        <v>0</v>
      </c>
      <c r="AE26" s="477">
        <f t="shared" si="2"/>
        <v>0</v>
      </c>
      <c r="AF26" s="384">
        <f t="shared" si="2"/>
        <v>0</v>
      </c>
      <c r="AG26" s="385">
        <f t="shared" si="2"/>
        <v>0</v>
      </c>
      <c r="AH26" s="477">
        <f t="shared" si="2"/>
        <v>0</v>
      </c>
    </row>
    <row r="27" spans="1:34" ht="12.75" customHeight="1" outlineLevel="1">
      <c r="A27" s="299"/>
      <c r="B27" s="299"/>
      <c r="C27" s="299"/>
      <c r="E27" s="4191"/>
      <c r="F27" s="3102" t="s">
        <v>35</v>
      </c>
      <c r="G27" s="486"/>
      <c r="H27" s="485"/>
      <c r="I27" s="485"/>
      <c r="J27" s="485"/>
      <c r="K27" s="487"/>
      <c r="L27" s="486"/>
      <c r="M27" s="485"/>
      <c r="N27" s="485"/>
      <c r="O27" s="485"/>
      <c r="P27" s="485"/>
      <c r="Q27" s="1070"/>
      <c r="R27" s="486"/>
      <c r="S27" s="485"/>
      <c r="T27" s="485"/>
      <c r="U27" s="485"/>
      <c r="V27" s="487"/>
      <c r="W27" s="1126"/>
      <c r="AA27" s="489"/>
      <c r="AB27" s="490"/>
      <c r="AC27" s="490"/>
      <c r="AD27" s="490"/>
      <c r="AE27" s="491"/>
      <c r="AF27" s="489"/>
      <c r="AG27" s="490"/>
      <c r="AH27" s="491"/>
    </row>
    <row r="28" spans="1:34" ht="13.5" customHeight="1" outlineLevel="1" thickBot="1">
      <c r="A28" s="299"/>
      <c r="B28" s="299"/>
      <c r="C28" s="299"/>
      <c r="E28" s="4192"/>
      <c r="F28" s="388" t="s">
        <v>611</v>
      </c>
      <c r="G28" s="1458">
        <f>G26-G27</f>
        <v>4581036.46</v>
      </c>
      <c r="H28" s="387">
        <f>H26-H27</f>
        <v>6562540.1400000006</v>
      </c>
      <c r="I28" s="387">
        <f>I26-I27</f>
        <v>8217899.7400000002</v>
      </c>
      <c r="J28" s="387">
        <f>J26-J27</f>
        <v>12876692.730000002</v>
      </c>
      <c r="K28" s="528">
        <f>K26-K27</f>
        <v>17301316.080000006</v>
      </c>
      <c r="L28" s="1458">
        <f t="shared" ref="L28:V28" si="3">L26-L27</f>
        <v>714951.49</v>
      </c>
      <c r="M28" s="387">
        <f t="shared" si="3"/>
        <v>134714.92999999996</v>
      </c>
      <c r="N28" s="387">
        <f>N26-N27</f>
        <v>535533</v>
      </c>
      <c r="O28" s="387">
        <f t="shared" si="3"/>
        <v>1563237.0000000002</v>
      </c>
      <c r="P28" s="387">
        <f t="shared" si="3"/>
        <v>1717200</v>
      </c>
      <c r="Q28" s="1121">
        <f t="shared" si="3"/>
        <v>0</v>
      </c>
      <c r="R28" s="1458">
        <f>R26-R27</f>
        <v>3828331.2987895417</v>
      </c>
      <c r="S28" s="387">
        <f t="shared" si="3"/>
        <v>2748701.8451791178</v>
      </c>
      <c r="T28" s="387">
        <f t="shared" si="3"/>
        <v>2754635.259091835</v>
      </c>
      <c r="U28" s="387">
        <f t="shared" si="3"/>
        <v>2578116.9505252764</v>
      </c>
      <c r="V28" s="528">
        <f t="shared" si="3"/>
        <v>0</v>
      </c>
      <c r="W28" s="3521"/>
      <c r="AA28" s="1458">
        <f>AA26-AA27</f>
        <v>0</v>
      </c>
      <c r="AB28" s="387">
        <f>AB26-AB27</f>
        <v>0</v>
      </c>
      <c r="AC28" s="387">
        <f>AC26-AC27</f>
        <v>0</v>
      </c>
      <c r="AD28" s="387">
        <f>AD26-AD27</f>
        <v>0</v>
      </c>
      <c r="AE28" s="528">
        <f>AE26-AE27</f>
        <v>0</v>
      </c>
      <c r="AF28" s="1458">
        <f t="shared" ref="AF28:AH28" si="4">AF26-AF27</f>
        <v>0</v>
      </c>
      <c r="AG28" s="387">
        <f t="shared" si="4"/>
        <v>0</v>
      </c>
      <c r="AH28" s="528">
        <f t="shared" si="4"/>
        <v>0</v>
      </c>
    </row>
    <row r="29" spans="1:34" ht="12.75" customHeight="1" outlineLevel="1">
      <c r="A29" s="299"/>
      <c r="B29" s="299"/>
      <c r="C29" s="299"/>
      <c r="E29" s="4190" t="s">
        <v>1533</v>
      </c>
      <c r="F29" s="588" t="s">
        <v>585</v>
      </c>
      <c r="G29" s="404"/>
      <c r="H29" s="405"/>
      <c r="I29" s="405"/>
      <c r="J29" s="405"/>
      <c r="K29" s="1111"/>
      <c r="L29" s="404"/>
      <c r="M29" s="405"/>
      <c r="N29" s="405"/>
      <c r="O29" s="405"/>
      <c r="P29" s="405"/>
      <c r="Q29" s="405"/>
      <c r="R29" s="486"/>
      <c r="S29" s="485"/>
      <c r="T29" s="485"/>
      <c r="U29" s="485"/>
      <c r="V29" s="487"/>
      <c r="W29" s="1125"/>
      <c r="AA29" s="404"/>
      <c r="AB29" s="405"/>
      <c r="AC29" s="405"/>
      <c r="AD29" s="405"/>
      <c r="AE29" s="1111"/>
      <c r="AF29" s="404"/>
      <c r="AG29" s="405"/>
      <c r="AH29" s="1111"/>
    </row>
    <row r="30" spans="1:34" ht="12.75" customHeight="1" outlineLevel="1">
      <c r="A30" s="299"/>
      <c r="B30" s="299"/>
      <c r="C30" s="299"/>
      <c r="E30" s="4191"/>
      <c r="F30" s="3102" t="s">
        <v>584</v>
      </c>
      <c r="G30" s="404"/>
      <c r="H30" s="405"/>
      <c r="I30" s="405"/>
      <c r="J30" s="405"/>
      <c r="K30" s="1111"/>
      <c r="L30" s="404"/>
      <c r="M30" s="405"/>
      <c r="N30" s="405"/>
      <c r="O30" s="405"/>
      <c r="P30" s="405"/>
      <c r="Q30" s="405"/>
      <c r="R30" s="486">
        <v>502945</v>
      </c>
      <c r="S30" s="485">
        <f>'[7]CAPEX Build-up'!G136*1000*'[7]Regulatory Export'!$G$3/1.06</f>
        <v>2418347.8809000007</v>
      </c>
      <c r="T30" s="485">
        <v>0</v>
      </c>
      <c r="U30" s="485">
        <v>0</v>
      </c>
      <c r="V30" s="487">
        <v>0</v>
      </c>
      <c r="W30" s="1126"/>
      <c r="AA30" s="404"/>
      <c r="AB30" s="405"/>
      <c r="AC30" s="405"/>
      <c r="AD30" s="405"/>
      <c r="AE30" s="1111"/>
      <c r="AF30" s="404"/>
      <c r="AG30" s="405"/>
      <c r="AH30" s="1111"/>
    </row>
    <row r="31" spans="1:34" ht="12.75" customHeight="1" outlineLevel="1">
      <c r="A31" s="299"/>
      <c r="B31" s="299"/>
      <c r="C31" s="299"/>
      <c r="E31" s="4191"/>
      <c r="F31" s="3102" t="s">
        <v>604</v>
      </c>
      <c r="G31" s="404"/>
      <c r="H31" s="405"/>
      <c r="I31" s="405"/>
      <c r="J31" s="405"/>
      <c r="K31" s="1111"/>
      <c r="L31" s="404"/>
      <c r="M31" s="405"/>
      <c r="N31" s="405"/>
      <c r="O31" s="405"/>
      <c r="P31" s="405"/>
      <c r="Q31" s="405"/>
      <c r="R31" s="486"/>
      <c r="S31" s="485"/>
      <c r="T31" s="485"/>
      <c r="U31" s="485"/>
      <c r="V31" s="487"/>
      <c r="W31" s="1126"/>
      <c r="AA31" s="404"/>
      <c r="AB31" s="405"/>
      <c r="AC31" s="405"/>
      <c r="AD31" s="405"/>
      <c r="AE31" s="1111"/>
      <c r="AF31" s="404"/>
      <c r="AG31" s="405"/>
      <c r="AH31" s="1111"/>
    </row>
    <row r="32" spans="1:34" s="501" customFormat="1" ht="12.75" customHeight="1" outlineLevel="1">
      <c r="A32" s="299"/>
      <c r="B32" s="299"/>
      <c r="C32" s="299"/>
      <c r="D32" s="299"/>
      <c r="E32" s="4191"/>
      <c r="F32" s="3106" t="s">
        <v>605</v>
      </c>
      <c r="G32" s="486">
        <v>1214988.084</v>
      </c>
      <c r="H32" s="485">
        <v>139203.639</v>
      </c>
      <c r="I32" s="485">
        <v>0</v>
      </c>
      <c r="J32" s="485">
        <v>0</v>
      </c>
      <c r="K32" s="487">
        <v>0</v>
      </c>
      <c r="L32" s="457">
        <v>23585.600228326817</v>
      </c>
      <c r="M32" s="503">
        <v>2977.22</v>
      </c>
      <c r="N32" s="503">
        <v>68290.649999999994</v>
      </c>
      <c r="O32" s="503"/>
      <c r="P32" s="494"/>
      <c r="Q32" s="1070"/>
      <c r="R32" s="384">
        <f>SUM(R29:R31)</f>
        <v>502945</v>
      </c>
      <c r="S32" s="385">
        <f>SUM(S29:S31)</f>
        <v>2418347.8809000007</v>
      </c>
      <c r="T32" s="385">
        <f>SUM(T29:T31)</f>
        <v>0</v>
      </c>
      <c r="U32" s="385">
        <f>SUM(U29:U31)</f>
        <v>0</v>
      </c>
      <c r="V32" s="477">
        <f>SUM(V29:V31)</f>
        <v>0</v>
      </c>
      <c r="W32" s="1126"/>
      <c r="X32" s="1266"/>
      <c r="Y32" s="1266"/>
      <c r="Z32" s="1266"/>
      <c r="AA32" s="489"/>
      <c r="AB32" s="490"/>
      <c r="AC32" s="490"/>
      <c r="AD32" s="490"/>
      <c r="AE32" s="491"/>
      <c r="AF32" s="536"/>
      <c r="AG32" s="537"/>
      <c r="AH32" s="573"/>
    </row>
    <row r="33" spans="1:34" ht="12.75" customHeight="1" outlineLevel="1">
      <c r="A33" s="299"/>
      <c r="B33" s="299"/>
      <c r="C33" s="299"/>
      <c r="E33" s="4191"/>
      <c r="F33" s="3102" t="s">
        <v>609</v>
      </c>
      <c r="G33" s="486">
        <v>134998.67600000001</v>
      </c>
      <c r="H33" s="485">
        <v>15467.071</v>
      </c>
      <c r="I33" s="485">
        <v>0</v>
      </c>
      <c r="J33" s="485">
        <v>0</v>
      </c>
      <c r="K33" s="487">
        <v>0</v>
      </c>
      <c r="L33" s="457">
        <v>1803.8897716731826</v>
      </c>
      <c r="M33" s="503">
        <v>0</v>
      </c>
      <c r="N33" s="503">
        <v>3287.35</v>
      </c>
      <c r="O33" s="503"/>
      <c r="P33" s="494"/>
      <c r="Q33" s="485">
        <f t="shared" ref="Q33:V33" si="5">Q32*0.06</f>
        <v>0</v>
      </c>
      <c r="R33" s="457">
        <f t="shared" si="5"/>
        <v>30176.699999999997</v>
      </c>
      <c r="S33" s="503">
        <f t="shared" si="5"/>
        <v>145100.87285400004</v>
      </c>
      <c r="T33" s="503">
        <f t="shared" si="5"/>
        <v>0</v>
      </c>
      <c r="U33" s="503">
        <f t="shared" si="5"/>
        <v>0</v>
      </c>
      <c r="V33" s="485">
        <f t="shared" si="5"/>
        <v>0</v>
      </c>
      <c r="W33" s="1070"/>
      <c r="AA33" s="489"/>
      <c r="AB33" s="490"/>
      <c r="AC33" s="490"/>
      <c r="AD33" s="490"/>
      <c r="AE33" s="491"/>
      <c r="AF33" s="536"/>
      <c r="AG33" s="537"/>
      <c r="AH33" s="573"/>
    </row>
    <row r="34" spans="1:34" ht="12.75" customHeight="1" outlineLevel="1">
      <c r="A34" s="299"/>
      <c r="B34" s="299"/>
      <c r="C34" s="299"/>
      <c r="E34" s="4191"/>
      <c r="F34" s="3102" t="s">
        <v>607</v>
      </c>
      <c r="G34" s="486"/>
      <c r="H34" s="485"/>
      <c r="I34" s="485"/>
      <c r="J34" s="485"/>
      <c r="K34" s="487"/>
      <c r="L34" s="486"/>
      <c r="M34" s="485"/>
      <c r="N34" s="485"/>
      <c r="O34" s="485"/>
      <c r="P34" s="502"/>
      <c r="Q34" s="1070"/>
      <c r="R34" s="1129"/>
      <c r="S34" s="502"/>
      <c r="T34" s="502"/>
      <c r="U34" s="502"/>
      <c r="V34" s="544"/>
      <c r="W34" s="1126"/>
      <c r="AA34" s="489"/>
      <c r="AB34" s="490"/>
      <c r="AC34" s="490"/>
      <c r="AD34" s="490"/>
      <c r="AE34" s="491"/>
      <c r="AF34" s="489"/>
      <c r="AG34" s="490"/>
      <c r="AH34" s="491"/>
    </row>
    <row r="35" spans="1:34" s="501" customFormat="1" ht="12.75" customHeight="1" outlineLevel="1">
      <c r="A35" s="299"/>
      <c r="B35" s="299"/>
      <c r="C35" s="299"/>
      <c r="D35" s="299"/>
      <c r="E35" s="4191"/>
      <c r="F35" s="3106" t="s">
        <v>610</v>
      </c>
      <c r="G35" s="384">
        <f t="shared" ref="G35:V35" si="6">SUM(G32:G34)</f>
        <v>1349986.76</v>
      </c>
      <c r="H35" s="385">
        <f t="shared" si="6"/>
        <v>154670.71</v>
      </c>
      <c r="I35" s="385">
        <f t="shared" si="6"/>
        <v>0</v>
      </c>
      <c r="J35" s="385">
        <f t="shared" si="6"/>
        <v>0</v>
      </c>
      <c r="K35" s="477">
        <f t="shared" si="6"/>
        <v>0</v>
      </c>
      <c r="L35" s="384">
        <f t="shared" si="6"/>
        <v>25389.489999999998</v>
      </c>
      <c r="M35" s="385">
        <f t="shared" si="6"/>
        <v>2977.22</v>
      </c>
      <c r="N35" s="385">
        <f t="shared" si="6"/>
        <v>71578</v>
      </c>
      <c r="O35" s="385">
        <f t="shared" si="6"/>
        <v>0</v>
      </c>
      <c r="P35" s="385">
        <f t="shared" si="6"/>
        <v>0</v>
      </c>
      <c r="Q35" s="1120">
        <f t="shared" si="6"/>
        <v>0</v>
      </c>
      <c r="R35" s="384">
        <f t="shared" si="6"/>
        <v>533121.69999999995</v>
      </c>
      <c r="S35" s="385">
        <f t="shared" si="6"/>
        <v>2563448.7537540006</v>
      </c>
      <c r="T35" s="385">
        <f t="shared" si="6"/>
        <v>0</v>
      </c>
      <c r="U35" s="385">
        <f t="shared" si="6"/>
        <v>0</v>
      </c>
      <c r="V35" s="477">
        <f t="shared" si="6"/>
        <v>0</v>
      </c>
      <c r="W35" s="1126"/>
      <c r="X35" s="1266"/>
      <c r="Y35" s="1266"/>
      <c r="Z35" s="1266"/>
      <c r="AA35" s="384">
        <f>SUM(AA32:AA34)</f>
        <v>0</v>
      </c>
      <c r="AB35" s="385">
        <f t="shared" ref="AB35:AH35" si="7">SUM(AB32:AB34)</f>
        <v>0</v>
      </c>
      <c r="AC35" s="385">
        <f t="shared" si="7"/>
        <v>0</v>
      </c>
      <c r="AD35" s="385">
        <f t="shared" si="7"/>
        <v>0</v>
      </c>
      <c r="AE35" s="477">
        <f t="shared" si="7"/>
        <v>0</v>
      </c>
      <c r="AF35" s="384">
        <f t="shared" si="7"/>
        <v>0</v>
      </c>
      <c r="AG35" s="385">
        <f t="shared" si="7"/>
        <v>0</v>
      </c>
      <c r="AH35" s="477">
        <f t="shared" si="7"/>
        <v>0</v>
      </c>
    </row>
    <row r="36" spans="1:34" ht="12.75" customHeight="1" outlineLevel="1">
      <c r="A36" s="299"/>
      <c r="B36" s="299"/>
      <c r="C36" s="299"/>
      <c r="E36" s="4191"/>
      <c r="F36" s="3102" t="s">
        <v>35</v>
      </c>
      <c r="G36" s="486"/>
      <c r="H36" s="485"/>
      <c r="I36" s="485"/>
      <c r="J36" s="485"/>
      <c r="K36" s="487"/>
      <c r="L36" s="486"/>
      <c r="M36" s="485"/>
      <c r="N36" s="485"/>
      <c r="O36" s="485"/>
      <c r="P36" s="485"/>
      <c r="Q36" s="1070"/>
      <c r="R36" s="486"/>
      <c r="S36" s="485"/>
      <c r="T36" s="485"/>
      <c r="U36" s="485"/>
      <c r="V36" s="487"/>
      <c r="W36" s="1126"/>
      <c r="AA36" s="489"/>
      <c r="AB36" s="490"/>
      <c r="AC36" s="490"/>
      <c r="AD36" s="490"/>
      <c r="AE36" s="491"/>
      <c r="AF36" s="489"/>
      <c r="AG36" s="490"/>
      <c r="AH36" s="491"/>
    </row>
    <row r="37" spans="1:34" ht="13.5" customHeight="1" outlineLevel="1" thickBot="1">
      <c r="A37" s="299"/>
      <c r="B37" s="299"/>
      <c r="C37" s="299"/>
      <c r="E37" s="4192"/>
      <c r="F37" s="388" t="s">
        <v>611</v>
      </c>
      <c r="G37" s="1458">
        <f t="shared" ref="G37:V37" si="8">G35-G36</f>
        <v>1349986.76</v>
      </c>
      <c r="H37" s="387">
        <f t="shared" si="8"/>
        <v>154670.71</v>
      </c>
      <c r="I37" s="387">
        <f t="shared" si="8"/>
        <v>0</v>
      </c>
      <c r="J37" s="387">
        <f t="shared" si="8"/>
        <v>0</v>
      </c>
      <c r="K37" s="528">
        <f t="shared" si="8"/>
        <v>0</v>
      </c>
      <c r="L37" s="1458">
        <f t="shared" si="8"/>
        <v>25389.489999999998</v>
      </c>
      <c r="M37" s="387">
        <f t="shared" si="8"/>
        <v>2977.22</v>
      </c>
      <c r="N37" s="387">
        <f>N35-N36</f>
        <v>71578</v>
      </c>
      <c r="O37" s="387">
        <f t="shared" si="8"/>
        <v>0</v>
      </c>
      <c r="P37" s="387">
        <f t="shared" si="8"/>
        <v>0</v>
      </c>
      <c r="Q37" s="1121">
        <f t="shared" si="8"/>
        <v>0</v>
      </c>
      <c r="R37" s="1458">
        <f t="shared" si="8"/>
        <v>533121.69999999995</v>
      </c>
      <c r="S37" s="387">
        <f t="shared" si="8"/>
        <v>2563448.7537540006</v>
      </c>
      <c r="T37" s="387">
        <f t="shared" si="8"/>
        <v>0</v>
      </c>
      <c r="U37" s="387">
        <f t="shared" si="8"/>
        <v>0</v>
      </c>
      <c r="V37" s="528">
        <f t="shared" si="8"/>
        <v>0</v>
      </c>
      <c r="W37" s="3521"/>
      <c r="AA37" s="1458">
        <f t="shared" ref="AA37:AH37" si="9">AA35-AA36</f>
        <v>0</v>
      </c>
      <c r="AB37" s="387">
        <f t="shared" si="9"/>
        <v>0</v>
      </c>
      <c r="AC37" s="387">
        <f t="shared" si="9"/>
        <v>0</v>
      </c>
      <c r="AD37" s="387">
        <f t="shared" si="9"/>
        <v>0</v>
      </c>
      <c r="AE37" s="528">
        <f t="shared" si="9"/>
        <v>0</v>
      </c>
      <c r="AF37" s="1458">
        <f t="shared" si="9"/>
        <v>0</v>
      </c>
      <c r="AG37" s="387">
        <f t="shared" si="9"/>
        <v>0</v>
      </c>
      <c r="AH37" s="528">
        <f t="shared" si="9"/>
        <v>0</v>
      </c>
    </row>
    <row r="38" spans="1:34" ht="12.75" customHeight="1" outlineLevel="1">
      <c r="A38" s="299"/>
      <c r="B38" s="299"/>
      <c r="C38" s="299"/>
      <c r="E38" s="4190" t="s">
        <v>1534</v>
      </c>
      <c r="F38" s="588" t="s">
        <v>585</v>
      </c>
      <c r="G38" s="404"/>
      <c r="H38" s="405"/>
      <c r="I38" s="405"/>
      <c r="J38" s="405"/>
      <c r="K38" s="1111"/>
      <c r="L38" s="404"/>
      <c r="M38" s="405"/>
      <c r="N38" s="405"/>
      <c r="O38" s="405"/>
      <c r="P38" s="405"/>
      <c r="Q38" s="405"/>
      <c r="R38" s="486"/>
      <c r="S38" s="485"/>
      <c r="T38" s="485"/>
      <c r="U38" s="485"/>
      <c r="V38" s="487"/>
      <c r="W38" s="1125"/>
      <c r="AA38" s="404"/>
      <c r="AB38" s="405"/>
      <c r="AC38" s="405"/>
      <c r="AD38" s="405"/>
      <c r="AE38" s="1111"/>
      <c r="AF38" s="404"/>
      <c r="AG38" s="405"/>
      <c r="AH38" s="1111"/>
    </row>
    <row r="39" spans="1:34" ht="12.75" customHeight="1" outlineLevel="1">
      <c r="A39" s="299"/>
      <c r="B39" s="299"/>
      <c r="C39" s="299"/>
      <c r="E39" s="4191"/>
      <c r="F39" s="3102" t="s">
        <v>584</v>
      </c>
      <c r="G39" s="404"/>
      <c r="H39" s="405"/>
      <c r="I39" s="405"/>
      <c r="J39" s="405"/>
      <c r="K39" s="1111"/>
      <c r="L39" s="404"/>
      <c r="M39" s="405"/>
      <c r="N39" s="405"/>
      <c r="O39" s="405"/>
      <c r="P39" s="405"/>
      <c r="Q39" s="405"/>
      <c r="R39" s="486">
        <v>0</v>
      </c>
      <c r="S39" s="485">
        <v>0</v>
      </c>
      <c r="T39" s="485">
        <v>929867.11999999988</v>
      </c>
      <c r="U39" s="485">
        <v>0</v>
      </c>
      <c r="V39" s="487">
        <v>0</v>
      </c>
      <c r="W39" s="1126"/>
      <c r="AA39" s="404"/>
      <c r="AB39" s="405"/>
      <c r="AC39" s="405"/>
      <c r="AD39" s="405"/>
      <c r="AE39" s="1111"/>
      <c r="AF39" s="404"/>
      <c r="AG39" s="405"/>
      <c r="AH39" s="1111"/>
    </row>
    <row r="40" spans="1:34" ht="12.75" customHeight="1" outlineLevel="1">
      <c r="A40" s="299"/>
      <c r="B40" s="299"/>
      <c r="C40" s="299"/>
      <c r="E40" s="4191"/>
      <c r="F40" s="3102" t="s">
        <v>604</v>
      </c>
      <c r="G40" s="404"/>
      <c r="H40" s="405"/>
      <c r="I40" s="405"/>
      <c r="J40" s="405"/>
      <c r="K40" s="1111"/>
      <c r="L40" s="404"/>
      <c r="M40" s="405"/>
      <c r="N40" s="405"/>
      <c r="O40" s="405"/>
      <c r="P40" s="405"/>
      <c r="Q40" s="405"/>
      <c r="R40" s="486"/>
      <c r="S40" s="485"/>
      <c r="T40" s="485"/>
      <c r="U40" s="485"/>
      <c r="V40" s="487"/>
      <c r="W40" s="1126"/>
      <c r="AA40" s="404"/>
      <c r="AB40" s="405"/>
      <c r="AC40" s="405"/>
      <c r="AD40" s="405"/>
      <c r="AE40" s="1111"/>
      <c r="AF40" s="404"/>
      <c r="AG40" s="405"/>
      <c r="AH40" s="1111"/>
    </row>
    <row r="41" spans="1:34" s="501" customFormat="1" ht="12.75" customHeight="1" outlineLevel="1">
      <c r="A41" s="299"/>
      <c r="B41" s="299"/>
      <c r="C41" s="299"/>
      <c r="D41" s="299"/>
      <c r="E41" s="4191"/>
      <c r="F41" s="3106" t="s">
        <v>605</v>
      </c>
      <c r="G41" s="486"/>
      <c r="H41" s="485"/>
      <c r="I41" s="485"/>
      <c r="J41" s="485"/>
      <c r="K41" s="487"/>
      <c r="L41" s="457"/>
      <c r="M41" s="503"/>
      <c r="N41" s="503"/>
      <c r="O41" s="503"/>
      <c r="P41" s="504"/>
      <c r="Q41" s="1070"/>
      <c r="R41" s="384">
        <f>SUM(R38:R40)</f>
        <v>0</v>
      </c>
      <c r="S41" s="385">
        <f>SUM(S38:S40)</f>
        <v>0</v>
      </c>
      <c r="T41" s="385">
        <f>SUM(T38:T40)</f>
        <v>929867.11999999988</v>
      </c>
      <c r="U41" s="385">
        <f>SUM(U38:U40)</f>
        <v>0</v>
      </c>
      <c r="V41" s="477">
        <f>SUM(V38:V40)</f>
        <v>0</v>
      </c>
      <c r="W41" s="1126"/>
      <c r="X41" s="1266"/>
      <c r="Y41" s="1266"/>
      <c r="Z41" s="1266"/>
      <c r="AA41" s="489"/>
      <c r="AB41" s="490"/>
      <c r="AC41" s="490"/>
      <c r="AD41" s="490"/>
      <c r="AE41" s="491"/>
      <c r="AF41" s="536"/>
      <c r="AG41" s="537"/>
      <c r="AH41" s="573"/>
    </row>
    <row r="42" spans="1:34" ht="12.75" customHeight="1" outlineLevel="1">
      <c r="A42" s="299"/>
      <c r="B42" s="299"/>
      <c r="C42" s="299"/>
      <c r="E42" s="4191"/>
      <c r="F42" s="3102" t="s">
        <v>609</v>
      </c>
      <c r="G42" s="486"/>
      <c r="H42" s="485"/>
      <c r="I42" s="485"/>
      <c r="J42" s="485"/>
      <c r="K42" s="487"/>
      <c r="L42" s="457"/>
      <c r="M42" s="503"/>
      <c r="N42" s="503"/>
      <c r="O42" s="503"/>
      <c r="P42" s="504"/>
      <c r="Q42" s="1070"/>
      <c r="R42" s="457">
        <f>R41*0.06</f>
        <v>0</v>
      </c>
      <c r="S42" s="503">
        <f>S41*0.06</f>
        <v>0</v>
      </c>
      <c r="T42" s="503">
        <f>T41*0.06</f>
        <v>55792.02719999999</v>
      </c>
      <c r="U42" s="503">
        <f>U41*0.06</f>
        <v>0</v>
      </c>
      <c r="V42" s="485">
        <f>V41*0.06</f>
        <v>0</v>
      </c>
      <c r="W42" s="1070"/>
      <c r="AA42" s="489"/>
      <c r="AB42" s="490"/>
      <c r="AC42" s="490"/>
      <c r="AD42" s="490"/>
      <c r="AE42" s="491"/>
      <c r="AF42" s="536"/>
      <c r="AG42" s="537"/>
      <c r="AH42" s="573"/>
    </row>
    <row r="43" spans="1:34" ht="12.75" customHeight="1" outlineLevel="1">
      <c r="A43" s="299"/>
      <c r="B43" s="299"/>
      <c r="C43" s="299"/>
      <c r="E43" s="4191"/>
      <c r="F43" s="3102" t="s">
        <v>607</v>
      </c>
      <c r="G43" s="486"/>
      <c r="H43" s="485"/>
      <c r="I43" s="485"/>
      <c r="J43" s="485"/>
      <c r="K43" s="487"/>
      <c r="L43" s="486"/>
      <c r="M43" s="485"/>
      <c r="N43" s="485"/>
      <c r="O43" s="485"/>
      <c r="P43" s="502"/>
      <c r="Q43" s="1070"/>
      <c r="R43" s="1129"/>
      <c r="S43" s="502"/>
      <c r="T43" s="502"/>
      <c r="U43" s="502"/>
      <c r="V43" s="544"/>
      <c r="W43" s="1126"/>
      <c r="AA43" s="489"/>
      <c r="AB43" s="490"/>
      <c r="AC43" s="490"/>
      <c r="AD43" s="490"/>
      <c r="AE43" s="491"/>
      <c r="AF43" s="489"/>
      <c r="AG43" s="490"/>
      <c r="AH43" s="491"/>
    </row>
    <row r="44" spans="1:34" s="501" customFormat="1" ht="12.75" customHeight="1" outlineLevel="1">
      <c r="A44" s="299"/>
      <c r="B44" s="299"/>
      <c r="C44" s="299"/>
      <c r="D44" s="299"/>
      <c r="E44" s="4191"/>
      <c r="F44" s="3106" t="s">
        <v>610</v>
      </c>
      <c r="G44" s="384">
        <f t="shared" ref="G44:V44" si="10">SUM(G41:G43)</f>
        <v>0</v>
      </c>
      <c r="H44" s="385">
        <f t="shared" si="10"/>
        <v>0</v>
      </c>
      <c r="I44" s="385">
        <f t="shared" si="10"/>
        <v>0</v>
      </c>
      <c r="J44" s="385">
        <f t="shared" si="10"/>
        <v>0</v>
      </c>
      <c r="K44" s="477">
        <f t="shared" si="10"/>
        <v>0</v>
      </c>
      <c r="L44" s="384">
        <f t="shared" si="10"/>
        <v>0</v>
      </c>
      <c r="M44" s="385">
        <f t="shared" si="10"/>
        <v>0</v>
      </c>
      <c r="N44" s="385">
        <f t="shared" si="10"/>
        <v>0</v>
      </c>
      <c r="O44" s="385">
        <f t="shared" si="10"/>
        <v>0</v>
      </c>
      <c r="P44" s="385">
        <f t="shared" si="10"/>
        <v>0</v>
      </c>
      <c r="Q44" s="1120">
        <f t="shared" si="10"/>
        <v>0</v>
      </c>
      <c r="R44" s="384">
        <f t="shared" si="10"/>
        <v>0</v>
      </c>
      <c r="S44" s="385">
        <f t="shared" si="10"/>
        <v>0</v>
      </c>
      <c r="T44" s="385">
        <f t="shared" si="10"/>
        <v>985659.14719999989</v>
      </c>
      <c r="U44" s="385">
        <f t="shared" si="10"/>
        <v>0</v>
      </c>
      <c r="V44" s="477">
        <f t="shared" si="10"/>
        <v>0</v>
      </c>
      <c r="W44" s="1126"/>
      <c r="X44" s="1266"/>
      <c r="Y44" s="1266"/>
      <c r="Z44" s="1266"/>
      <c r="AA44" s="384">
        <f>SUM(AA41:AA43)</f>
        <v>0</v>
      </c>
      <c r="AB44" s="385">
        <f t="shared" ref="AB44:AH44" si="11">SUM(AB41:AB43)</f>
        <v>0</v>
      </c>
      <c r="AC44" s="385">
        <f t="shared" si="11"/>
        <v>0</v>
      </c>
      <c r="AD44" s="385">
        <f t="shared" si="11"/>
        <v>0</v>
      </c>
      <c r="AE44" s="477">
        <f t="shared" si="11"/>
        <v>0</v>
      </c>
      <c r="AF44" s="384">
        <f t="shared" si="11"/>
        <v>0</v>
      </c>
      <c r="AG44" s="385">
        <f t="shared" si="11"/>
        <v>0</v>
      </c>
      <c r="AH44" s="477">
        <f t="shared" si="11"/>
        <v>0</v>
      </c>
    </row>
    <row r="45" spans="1:34" ht="12.75" customHeight="1" outlineLevel="1">
      <c r="A45" s="299"/>
      <c r="B45" s="299"/>
      <c r="C45" s="299"/>
      <c r="E45" s="4191"/>
      <c r="F45" s="3102" t="s">
        <v>35</v>
      </c>
      <c r="G45" s="486"/>
      <c r="H45" s="485"/>
      <c r="I45" s="485"/>
      <c r="J45" s="485"/>
      <c r="K45" s="487"/>
      <c r="L45" s="486"/>
      <c r="M45" s="485"/>
      <c r="N45" s="485"/>
      <c r="O45" s="485"/>
      <c r="P45" s="485"/>
      <c r="Q45" s="1070"/>
      <c r="R45" s="486"/>
      <c r="S45" s="485"/>
      <c r="T45" s="485"/>
      <c r="U45" s="485"/>
      <c r="V45" s="487"/>
      <c r="W45" s="1126"/>
      <c r="AA45" s="489"/>
      <c r="AB45" s="490"/>
      <c r="AC45" s="490"/>
      <c r="AD45" s="490"/>
      <c r="AE45" s="491"/>
      <c r="AF45" s="489"/>
      <c r="AG45" s="490"/>
      <c r="AH45" s="491"/>
    </row>
    <row r="46" spans="1:34" ht="13.5" customHeight="1" outlineLevel="1" thickBot="1">
      <c r="A46" s="299"/>
      <c r="B46" s="299"/>
      <c r="C46" s="299"/>
      <c r="E46" s="4192"/>
      <c r="F46" s="388" t="s">
        <v>611</v>
      </c>
      <c r="G46" s="1458">
        <f t="shared" ref="G46:V46" si="12">G44-G45</f>
        <v>0</v>
      </c>
      <c r="H46" s="387">
        <f t="shared" si="12"/>
        <v>0</v>
      </c>
      <c r="I46" s="387">
        <f t="shared" si="12"/>
        <v>0</v>
      </c>
      <c r="J46" s="387">
        <f t="shared" si="12"/>
        <v>0</v>
      </c>
      <c r="K46" s="528">
        <f t="shared" si="12"/>
        <v>0</v>
      </c>
      <c r="L46" s="1458">
        <f t="shared" si="12"/>
        <v>0</v>
      </c>
      <c r="M46" s="387">
        <f t="shared" si="12"/>
        <v>0</v>
      </c>
      <c r="N46" s="387">
        <f>N44-N45</f>
        <v>0</v>
      </c>
      <c r="O46" s="387">
        <f t="shared" si="12"/>
        <v>0</v>
      </c>
      <c r="P46" s="387">
        <f t="shared" si="12"/>
        <v>0</v>
      </c>
      <c r="Q46" s="1121">
        <f t="shared" si="12"/>
        <v>0</v>
      </c>
      <c r="R46" s="1458">
        <f t="shared" si="12"/>
        <v>0</v>
      </c>
      <c r="S46" s="387">
        <f t="shared" si="12"/>
        <v>0</v>
      </c>
      <c r="T46" s="387">
        <f t="shared" si="12"/>
        <v>985659.14719999989</v>
      </c>
      <c r="U46" s="387">
        <f t="shared" si="12"/>
        <v>0</v>
      </c>
      <c r="V46" s="528">
        <f t="shared" si="12"/>
        <v>0</v>
      </c>
      <c r="W46" s="3521"/>
      <c r="AA46" s="1458">
        <f t="shared" ref="AA46:AH46" si="13">AA44-AA45</f>
        <v>0</v>
      </c>
      <c r="AB46" s="387">
        <f t="shared" si="13"/>
        <v>0</v>
      </c>
      <c r="AC46" s="387">
        <f t="shared" si="13"/>
        <v>0</v>
      </c>
      <c r="AD46" s="387">
        <f t="shared" si="13"/>
        <v>0</v>
      </c>
      <c r="AE46" s="528">
        <f t="shared" si="13"/>
        <v>0</v>
      </c>
      <c r="AF46" s="1458">
        <f t="shared" si="13"/>
        <v>0</v>
      </c>
      <c r="AG46" s="387">
        <f t="shared" si="13"/>
        <v>0</v>
      </c>
      <c r="AH46" s="528">
        <f t="shared" si="13"/>
        <v>0</v>
      </c>
    </row>
    <row r="47" spans="1:34" ht="12.75" customHeight="1" outlineLevel="1">
      <c r="A47" s="299"/>
      <c r="B47" s="299"/>
      <c r="C47" s="299"/>
      <c r="E47" s="4190" t="s">
        <v>285</v>
      </c>
      <c r="F47" s="588" t="s">
        <v>585</v>
      </c>
      <c r="G47" s="404"/>
      <c r="H47" s="405"/>
      <c r="I47" s="405"/>
      <c r="J47" s="405"/>
      <c r="K47" s="1111"/>
      <c r="L47" s="404"/>
      <c r="M47" s="405"/>
      <c r="N47" s="405"/>
      <c r="O47" s="405"/>
      <c r="P47" s="405"/>
      <c r="Q47" s="405"/>
      <c r="R47" s="486"/>
      <c r="S47" s="485"/>
      <c r="T47" s="485"/>
      <c r="U47" s="485"/>
      <c r="V47" s="487"/>
      <c r="W47" s="1125"/>
      <c r="AA47" s="404"/>
      <c r="AB47" s="405"/>
      <c r="AC47" s="405"/>
      <c r="AD47" s="405"/>
      <c r="AE47" s="1111"/>
      <c r="AF47" s="404"/>
      <c r="AG47" s="405"/>
      <c r="AH47" s="1111"/>
    </row>
    <row r="48" spans="1:34" ht="12.75" customHeight="1" outlineLevel="1">
      <c r="A48" s="299"/>
      <c r="B48" s="299"/>
      <c r="C48" s="299"/>
      <c r="E48" s="4191"/>
      <c r="F48" s="3102" t="s">
        <v>584</v>
      </c>
      <c r="G48" s="404"/>
      <c r="H48" s="405"/>
      <c r="I48" s="405"/>
      <c r="J48" s="405"/>
      <c r="K48" s="1111"/>
      <c r="L48" s="404"/>
      <c r="M48" s="405"/>
      <c r="N48" s="405"/>
      <c r="O48" s="405"/>
      <c r="P48" s="405"/>
      <c r="Q48" s="405"/>
      <c r="R48" s="486"/>
      <c r="S48" s="485"/>
      <c r="T48" s="485"/>
      <c r="U48" s="485"/>
      <c r="V48" s="487"/>
      <c r="W48" s="1126"/>
      <c r="AA48" s="404"/>
      <c r="AB48" s="405"/>
      <c r="AC48" s="405"/>
      <c r="AD48" s="405"/>
      <c r="AE48" s="1111"/>
      <c r="AF48" s="404"/>
      <c r="AG48" s="405"/>
      <c r="AH48" s="1111"/>
    </row>
    <row r="49" spans="1:34" ht="12.75" customHeight="1" outlineLevel="1">
      <c r="A49" s="299"/>
      <c r="B49" s="299"/>
      <c r="C49" s="299"/>
      <c r="E49" s="4191"/>
      <c r="F49" s="3102" t="s">
        <v>604</v>
      </c>
      <c r="G49" s="404"/>
      <c r="H49" s="405"/>
      <c r="I49" s="405"/>
      <c r="J49" s="405"/>
      <c r="K49" s="1111"/>
      <c r="L49" s="404"/>
      <c r="M49" s="405"/>
      <c r="N49" s="405"/>
      <c r="O49" s="405"/>
      <c r="P49" s="405"/>
      <c r="Q49" s="405"/>
      <c r="R49" s="486"/>
      <c r="S49" s="485"/>
      <c r="T49" s="485"/>
      <c r="U49" s="485"/>
      <c r="V49" s="487"/>
      <c r="W49" s="1126"/>
      <c r="AA49" s="404"/>
      <c r="AB49" s="405"/>
      <c r="AC49" s="405"/>
      <c r="AD49" s="405"/>
      <c r="AE49" s="1111"/>
      <c r="AF49" s="404"/>
      <c r="AG49" s="405"/>
      <c r="AH49" s="1111"/>
    </row>
    <row r="50" spans="1:34" s="501" customFormat="1" ht="12.75" customHeight="1" outlineLevel="1">
      <c r="A50" s="299"/>
      <c r="B50" s="299"/>
      <c r="C50" s="299"/>
      <c r="D50" s="299"/>
      <c r="E50" s="4191"/>
      <c r="F50" s="3106" t="s">
        <v>605</v>
      </c>
      <c r="G50" s="486"/>
      <c r="H50" s="485"/>
      <c r="I50" s="485"/>
      <c r="J50" s="485"/>
      <c r="K50" s="487"/>
      <c r="L50" s="457"/>
      <c r="M50" s="503"/>
      <c r="N50" s="503"/>
      <c r="O50" s="503"/>
      <c r="P50" s="494"/>
      <c r="Q50" s="1070"/>
      <c r="R50" s="384">
        <f>SUM(R47:R49)</f>
        <v>0</v>
      </c>
      <c r="S50" s="385">
        <f>SUM(S47:S49)</f>
        <v>0</v>
      </c>
      <c r="T50" s="385">
        <f>SUM(T47:T49)</f>
        <v>0</v>
      </c>
      <c r="U50" s="385">
        <f>SUM(U47:U49)</f>
        <v>0</v>
      </c>
      <c r="V50" s="477">
        <f>SUM(V47:V49)</f>
        <v>0</v>
      </c>
      <c r="W50" s="1126"/>
      <c r="X50" s="1266"/>
      <c r="Y50" s="1266"/>
      <c r="Z50" s="1266"/>
      <c r="AA50" s="489"/>
      <c r="AB50" s="490"/>
      <c r="AC50" s="490"/>
      <c r="AD50" s="490"/>
      <c r="AE50" s="491"/>
      <c r="AF50" s="536"/>
      <c r="AG50" s="537"/>
      <c r="AH50" s="573"/>
    </row>
    <row r="51" spans="1:34" ht="12.75" customHeight="1" outlineLevel="1">
      <c r="A51" s="299"/>
      <c r="B51" s="299"/>
      <c r="C51" s="299"/>
      <c r="E51" s="4191"/>
      <c r="F51" s="3102" t="s">
        <v>609</v>
      </c>
      <c r="G51" s="486"/>
      <c r="H51" s="485"/>
      <c r="I51" s="485"/>
      <c r="J51" s="485"/>
      <c r="K51" s="487"/>
      <c r="L51" s="457"/>
      <c r="M51" s="503"/>
      <c r="N51" s="503"/>
      <c r="O51" s="503"/>
      <c r="P51" s="494"/>
      <c r="Q51" s="1070"/>
      <c r="R51" s="587"/>
      <c r="S51" s="504"/>
      <c r="T51" s="504"/>
      <c r="U51" s="504"/>
      <c r="V51" s="545"/>
      <c r="W51" s="1126"/>
      <c r="AA51" s="489"/>
      <c r="AB51" s="490"/>
      <c r="AC51" s="490"/>
      <c r="AD51" s="490"/>
      <c r="AE51" s="491"/>
      <c r="AF51" s="536"/>
      <c r="AG51" s="537"/>
      <c r="AH51" s="573"/>
    </row>
    <row r="52" spans="1:34" ht="12.75" customHeight="1" outlineLevel="1">
      <c r="A52" s="299"/>
      <c r="B52" s="299"/>
      <c r="C52" s="299"/>
      <c r="E52" s="4191"/>
      <c r="F52" s="3102" t="s">
        <v>607</v>
      </c>
      <c r="G52" s="486"/>
      <c r="H52" s="485"/>
      <c r="I52" s="485"/>
      <c r="J52" s="485"/>
      <c r="K52" s="487"/>
      <c r="L52" s="486"/>
      <c r="M52" s="485"/>
      <c r="N52" s="485"/>
      <c r="O52" s="485"/>
      <c r="P52" s="502"/>
      <c r="Q52" s="1070"/>
      <c r="R52" s="1129"/>
      <c r="S52" s="502"/>
      <c r="T52" s="502"/>
      <c r="U52" s="502"/>
      <c r="V52" s="544"/>
      <c r="W52" s="1126"/>
      <c r="AA52" s="489"/>
      <c r="AB52" s="490"/>
      <c r="AC52" s="490"/>
      <c r="AD52" s="490"/>
      <c r="AE52" s="491"/>
      <c r="AF52" s="489"/>
      <c r="AG52" s="490"/>
      <c r="AH52" s="491"/>
    </row>
    <row r="53" spans="1:34" s="501" customFormat="1" ht="12.75" customHeight="1" outlineLevel="1">
      <c r="A53" s="299"/>
      <c r="B53" s="299"/>
      <c r="C53" s="299"/>
      <c r="D53" s="299"/>
      <c r="E53" s="4191"/>
      <c r="F53" s="3106" t="s">
        <v>610</v>
      </c>
      <c r="G53" s="384">
        <f t="shared" ref="G53:V53" si="14">SUM(G50:G52)</f>
        <v>0</v>
      </c>
      <c r="H53" s="385">
        <f t="shared" si="14"/>
        <v>0</v>
      </c>
      <c r="I53" s="385">
        <f t="shared" si="14"/>
        <v>0</v>
      </c>
      <c r="J53" s="385">
        <f t="shared" si="14"/>
        <v>0</v>
      </c>
      <c r="K53" s="477">
        <f t="shared" si="14"/>
        <v>0</v>
      </c>
      <c r="L53" s="384">
        <f t="shared" si="14"/>
        <v>0</v>
      </c>
      <c r="M53" s="385">
        <f t="shared" si="14"/>
        <v>0</v>
      </c>
      <c r="N53" s="385">
        <f t="shared" si="14"/>
        <v>0</v>
      </c>
      <c r="O53" s="385">
        <f t="shared" si="14"/>
        <v>0</v>
      </c>
      <c r="P53" s="385">
        <f t="shared" si="14"/>
        <v>0</v>
      </c>
      <c r="Q53" s="1120">
        <f t="shared" si="14"/>
        <v>0</v>
      </c>
      <c r="R53" s="384">
        <f t="shared" si="14"/>
        <v>0</v>
      </c>
      <c r="S53" s="385">
        <f t="shared" si="14"/>
        <v>0</v>
      </c>
      <c r="T53" s="385">
        <f t="shared" si="14"/>
        <v>0</v>
      </c>
      <c r="U53" s="385">
        <f t="shared" si="14"/>
        <v>0</v>
      </c>
      <c r="V53" s="477">
        <f t="shared" si="14"/>
        <v>0</v>
      </c>
      <c r="W53" s="1126"/>
      <c r="X53" s="1266"/>
      <c r="Y53" s="1266"/>
      <c r="Z53" s="1266"/>
      <c r="AA53" s="384">
        <f>SUM(AA50:AA52)</f>
        <v>0</v>
      </c>
      <c r="AB53" s="385">
        <f t="shared" ref="AB53:AH53" si="15">SUM(AB50:AB52)</f>
        <v>0</v>
      </c>
      <c r="AC53" s="385">
        <f t="shared" si="15"/>
        <v>0</v>
      </c>
      <c r="AD53" s="385">
        <f t="shared" si="15"/>
        <v>0</v>
      </c>
      <c r="AE53" s="477">
        <f t="shared" si="15"/>
        <v>0</v>
      </c>
      <c r="AF53" s="384">
        <f t="shared" si="15"/>
        <v>0</v>
      </c>
      <c r="AG53" s="385">
        <f t="shared" si="15"/>
        <v>0</v>
      </c>
      <c r="AH53" s="477">
        <f t="shared" si="15"/>
        <v>0</v>
      </c>
    </row>
    <row r="54" spans="1:34" ht="12.75" customHeight="1" outlineLevel="1">
      <c r="A54" s="299"/>
      <c r="B54" s="299"/>
      <c r="C54" s="299"/>
      <c r="E54" s="4191"/>
      <c r="F54" s="3102" t="s">
        <v>35</v>
      </c>
      <c r="G54" s="486"/>
      <c r="H54" s="485"/>
      <c r="I54" s="485"/>
      <c r="J54" s="485"/>
      <c r="K54" s="487"/>
      <c r="L54" s="486"/>
      <c r="M54" s="485"/>
      <c r="N54" s="485"/>
      <c r="O54" s="485"/>
      <c r="P54" s="485"/>
      <c r="Q54" s="1070"/>
      <c r="R54" s="486"/>
      <c r="S54" s="485"/>
      <c r="T54" s="485"/>
      <c r="U54" s="485"/>
      <c r="V54" s="487"/>
      <c r="W54" s="1126"/>
      <c r="AA54" s="489"/>
      <c r="AB54" s="490"/>
      <c r="AC54" s="490"/>
      <c r="AD54" s="490"/>
      <c r="AE54" s="491"/>
      <c r="AF54" s="489"/>
      <c r="AG54" s="490"/>
      <c r="AH54" s="491"/>
    </row>
    <row r="55" spans="1:34" ht="13.5" customHeight="1" outlineLevel="1" thickBot="1">
      <c r="A55" s="299"/>
      <c r="B55" s="299"/>
      <c r="C55" s="299"/>
      <c r="E55" s="4192"/>
      <c r="F55" s="388" t="s">
        <v>611</v>
      </c>
      <c r="G55" s="1458">
        <f t="shared" ref="G55:V55" si="16">G53-G54</f>
        <v>0</v>
      </c>
      <c r="H55" s="387">
        <f t="shared" si="16"/>
        <v>0</v>
      </c>
      <c r="I55" s="387">
        <f t="shared" si="16"/>
        <v>0</v>
      </c>
      <c r="J55" s="387">
        <f t="shared" si="16"/>
        <v>0</v>
      </c>
      <c r="K55" s="528">
        <f t="shared" si="16"/>
        <v>0</v>
      </c>
      <c r="L55" s="1458">
        <f t="shared" si="16"/>
        <v>0</v>
      </c>
      <c r="M55" s="387">
        <f t="shared" si="16"/>
        <v>0</v>
      </c>
      <c r="N55" s="387">
        <f>N53-N54</f>
        <v>0</v>
      </c>
      <c r="O55" s="387">
        <f t="shared" si="16"/>
        <v>0</v>
      </c>
      <c r="P55" s="387">
        <f t="shared" si="16"/>
        <v>0</v>
      </c>
      <c r="Q55" s="1121">
        <f t="shared" si="16"/>
        <v>0</v>
      </c>
      <c r="R55" s="1458">
        <f t="shared" si="16"/>
        <v>0</v>
      </c>
      <c r="S55" s="387">
        <f t="shared" si="16"/>
        <v>0</v>
      </c>
      <c r="T55" s="387">
        <f t="shared" si="16"/>
        <v>0</v>
      </c>
      <c r="U55" s="387">
        <f t="shared" si="16"/>
        <v>0</v>
      </c>
      <c r="V55" s="528">
        <f t="shared" si="16"/>
        <v>0</v>
      </c>
      <c r="W55" s="3521"/>
      <c r="AA55" s="1458">
        <f t="shared" ref="AA55:AH55" si="17">AA53-AA54</f>
        <v>0</v>
      </c>
      <c r="AB55" s="387">
        <f t="shared" si="17"/>
        <v>0</v>
      </c>
      <c r="AC55" s="387">
        <f t="shared" si="17"/>
        <v>0</v>
      </c>
      <c r="AD55" s="387">
        <f t="shared" si="17"/>
        <v>0</v>
      </c>
      <c r="AE55" s="528">
        <f t="shared" si="17"/>
        <v>0</v>
      </c>
      <c r="AF55" s="1458">
        <f t="shared" si="17"/>
        <v>0</v>
      </c>
      <c r="AG55" s="387">
        <f t="shared" si="17"/>
        <v>0</v>
      </c>
      <c r="AH55" s="528">
        <f t="shared" si="17"/>
        <v>0</v>
      </c>
    </row>
    <row r="56" spans="1:34" ht="13.5" outlineLevel="1" thickBot="1">
      <c r="A56" s="299"/>
      <c r="B56" s="299"/>
      <c r="C56" s="299"/>
      <c r="E56" s="1461"/>
      <c r="F56" s="1462"/>
      <c r="G56" s="421"/>
      <c r="H56" s="422"/>
      <c r="I56" s="422"/>
      <c r="J56" s="422"/>
      <c r="K56" s="593"/>
      <c r="L56" s="421"/>
      <c r="M56" s="422"/>
      <c r="N56" s="422"/>
      <c r="O56" s="422"/>
      <c r="P56" s="422"/>
      <c r="Q56" s="402"/>
      <c r="R56" s="421"/>
      <c r="S56" s="422"/>
      <c r="T56" s="422"/>
      <c r="U56" s="422"/>
      <c r="V56" s="593"/>
      <c r="W56" s="1127"/>
      <c r="AA56" s="421"/>
      <c r="AB56" s="422"/>
      <c r="AC56" s="422"/>
      <c r="AD56" s="422"/>
      <c r="AE56" s="593"/>
      <c r="AF56" s="421"/>
      <c r="AG56" s="422"/>
      <c r="AH56" s="593"/>
    </row>
    <row r="57" spans="1:34">
      <c r="A57" s="299"/>
      <c r="B57" s="299"/>
      <c r="C57" s="299"/>
      <c r="E57" s="4193" t="s">
        <v>360</v>
      </c>
      <c r="F57" s="1453" t="s">
        <v>606</v>
      </c>
      <c r="G57" s="1113">
        <f>G23+G32+G41+G50</f>
        <v>5337920.898</v>
      </c>
      <c r="H57" s="419">
        <f t="shared" ref="H57:P57" si="18">H23+H32+H41+H50</f>
        <v>6045489.7650000015</v>
      </c>
      <c r="I57" s="419">
        <f t="shared" si="18"/>
        <v>7396109.7659999998</v>
      </c>
      <c r="J57" s="419">
        <f t="shared" si="18"/>
        <v>11589023.457000002</v>
      </c>
      <c r="K57" s="1113">
        <f t="shared" si="18"/>
        <v>15571184.472000005</v>
      </c>
      <c r="L57" s="1113">
        <f>L23+L32+L41+L50</f>
        <v>687740.73</v>
      </c>
      <c r="M57" s="419">
        <f t="shared" si="18"/>
        <v>131042.38999999997</v>
      </c>
      <c r="N57" s="419">
        <f t="shared" si="18"/>
        <v>584688.99</v>
      </c>
      <c r="O57" s="419">
        <f t="shared" si="18"/>
        <v>1485276.5200000003</v>
      </c>
      <c r="P57" s="1113">
        <f t="shared" si="18"/>
        <v>1620000</v>
      </c>
      <c r="Q57" s="1122"/>
      <c r="R57" s="1130">
        <f ca="1">SUMIF($F$20:$V$55,"Total direct expenditure",R20:R55)</f>
        <v>4114578.3007448507</v>
      </c>
      <c r="S57" s="420">
        <f ca="1">SUMIF($F$20:$V$55,"Total direct expenditure",S20:S55)</f>
        <v>5011462.8291821871</v>
      </c>
      <c r="T57" s="420">
        <f ca="1">SUMIF($F$20:$V$55,"Total direct expenditure",T20:T55)</f>
        <v>3528579.6285772026</v>
      </c>
      <c r="U57" s="420">
        <f ca="1">SUMIF($F$20:$V$55,"Total direct expenditure",U20:U55)</f>
        <v>2432185.802382336</v>
      </c>
      <c r="V57" s="1131">
        <f ca="1">SUMIF($F$20:$V$55,"Total direct expenditure",V20:V55)</f>
        <v>0</v>
      </c>
      <c r="W57" s="1128"/>
      <c r="AA57" s="1113"/>
      <c r="AB57" s="419"/>
      <c r="AC57" s="419"/>
      <c r="AD57" s="419"/>
      <c r="AE57" s="1114"/>
      <c r="AF57" s="1113"/>
      <c r="AG57" s="419"/>
      <c r="AH57" s="1114"/>
    </row>
    <row r="58" spans="1:34">
      <c r="A58" s="299"/>
      <c r="B58" s="299"/>
      <c r="C58" s="299"/>
      <c r="E58" s="4194"/>
      <c r="F58" s="1454" t="s">
        <v>12</v>
      </c>
      <c r="G58" s="384">
        <f>SUMIF($F$20:$F$55,"Total overhead expenditure",G20:G55)</f>
        <v>593102.32200000004</v>
      </c>
      <c r="H58" s="385">
        <f t="shared" ref="H58:V58" si="19">SUMIF($F$20:$F$55,"Total overhead expenditure",H20:H55)</f>
        <v>671721.08499999996</v>
      </c>
      <c r="I58" s="385">
        <f t="shared" si="19"/>
        <v>821789.97400000005</v>
      </c>
      <c r="J58" s="385">
        <f t="shared" si="19"/>
        <v>1287669.2730000005</v>
      </c>
      <c r="K58" s="477">
        <f t="shared" si="19"/>
        <v>1730131.6080000007</v>
      </c>
      <c r="L58" s="384">
        <f t="shared" si="19"/>
        <v>52600.25</v>
      </c>
      <c r="M58" s="385">
        <f t="shared" si="19"/>
        <v>6649.76</v>
      </c>
      <c r="N58" s="385">
        <f t="shared" si="19"/>
        <v>22422.010000000002</v>
      </c>
      <c r="O58" s="385">
        <f t="shared" si="19"/>
        <v>77960.48000000001</v>
      </c>
      <c r="P58" s="385">
        <f t="shared" si="19"/>
        <v>97200</v>
      </c>
      <c r="Q58" s="1120">
        <f t="shared" si="19"/>
        <v>0</v>
      </c>
      <c r="R58" s="384">
        <f t="shared" si="19"/>
        <v>246874.698044691</v>
      </c>
      <c r="S58" s="385">
        <f t="shared" si="19"/>
        <v>300687.76975093118</v>
      </c>
      <c r="T58" s="385">
        <f t="shared" si="19"/>
        <v>211714.77771463216</v>
      </c>
      <c r="U58" s="385">
        <f t="shared" si="19"/>
        <v>145931.14814294016</v>
      </c>
      <c r="V58" s="477">
        <f t="shared" si="19"/>
        <v>0</v>
      </c>
      <c r="W58" s="1128"/>
      <c r="AA58" s="384">
        <f>SUMIF($F$20:$F$55,"Total overhead expenditure",AA20:AA55)</f>
        <v>0</v>
      </c>
      <c r="AB58" s="385">
        <f t="shared" ref="AB58:AH58" si="20">SUMIF($F$20:$F$55,"Total overhead expenditure",AB20:AB55)</f>
        <v>0</v>
      </c>
      <c r="AC58" s="385">
        <f t="shared" si="20"/>
        <v>0</v>
      </c>
      <c r="AD58" s="385">
        <f t="shared" si="20"/>
        <v>0</v>
      </c>
      <c r="AE58" s="477">
        <f t="shared" si="20"/>
        <v>0</v>
      </c>
      <c r="AF58" s="384">
        <f t="shared" si="20"/>
        <v>0</v>
      </c>
      <c r="AG58" s="385">
        <f t="shared" si="20"/>
        <v>0</v>
      </c>
      <c r="AH58" s="477">
        <f t="shared" si="20"/>
        <v>0</v>
      </c>
    </row>
    <row r="59" spans="1:34">
      <c r="A59" s="299"/>
      <c r="B59" s="299"/>
      <c r="C59" s="299"/>
      <c r="E59" s="4194"/>
      <c r="F59" s="1454" t="s">
        <v>607</v>
      </c>
      <c r="G59" s="384">
        <f>SUMIF($F$20:$F$55,"Related party margin expenditure",G20:G55)</f>
        <v>0</v>
      </c>
      <c r="H59" s="385">
        <f t="shared" ref="H59:V59" si="21">SUMIF($F$20:$F$55,"Related party margin expenditure",H20:H55)</f>
        <v>0</v>
      </c>
      <c r="I59" s="385">
        <f t="shared" si="21"/>
        <v>0</v>
      </c>
      <c r="J59" s="385">
        <f t="shared" si="21"/>
        <v>0</v>
      </c>
      <c r="K59" s="477">
        <f t="shared" si="21"/>
        <v>0</v>
      </c>
      <c r="L59" s="384">
        <f t="shared" si="21"/>
        <v>0</v>
      </c>
      <c r="M59" s="385">
        <f t="shared" si="21"/>
        <v>0</v>
      </c>
      <c r="N59" s="385">
        <f t="shared" si="21"/>
        <v>0</v>
      </c>
      <c r="O59" s="385">
        <f t="shared" si="21"/>
        <v>0</v>
      </c>
      <c r="P59" s="385">
        <f t="shared" si="21"/>
        <v>0</v>
      </c>
      <c r="Q59" s="1120">
        <f t="shared" si="21"/>
        <v>0</v>
      </c>
      <c r="R59" s="384">
        <f t="shared" si="21"/>
        <v>0</v>
      </c>
      <c r="S59" s="385">
        <f t="shared" si="21"/>
        <v>0</v>
      </c>
      <c r="T59" s="385">
        <f t="shared" si="21"/>
        <v>0</v>
      </c>
      <c r="U59" s="385">
        <f t="shared" si="21"/>
        <v>0</v>
      </c>
      <c r="V59" s="477">
        <f t="shared" si="21"/>
        <v>0</v>
      </c>
      <c r="W59" s="1128"/>
      <c r="AA59" s="384">
        <f>SUMIF($F$20:$F$55,"Related party margin expenditure",AA20:AA55)</f>
        <v>0</v>
      </c>
      <c r="AB59" s="385">
        <f t="shared" ref="AB59:AH59" si="22">SUMIF($F$20:$F$55,"Related party margin expenditure",AB20:AB55)</f>
        <v>0</v>
      </c>
      <c r="AC59" s="385">
        <f t="shared" si="22"/>
        <v>0</v>
      </c>
      <c r="AD59" s="385">
        <f t="shared" si="22"/>
        <v>0</v>
      </c>
      <c r="AE59" s="477">
        <f t="shared" si="22"/>
        <v>0</v>
      </c>
      <c r="AF59" s="384">
        <f t="shared" si="22"/>
        <v>0</v>
      </c>
      <c r="AG59" s="385">
        <f t="shared" si="22"/>
        <v>0</v>
      </c>
      <c r="AH59" s="477">
        <f t="shared" si="22"/>
        <v>0</v>
      </c>
    </row>
    <row r="60" spans="1:34">
      <c r="A60" s="299"/>
      <c r="B60" s="299"/>
      <c r="C60" s="299"/>
      <c r="E60" s="4194"/>
      <c r="F60" s="1455" t="s">
        <v>610</v>
      </c>
      <c r="G60" s="1115">
        <f>SUMIF($F$20:$F$55,"Total gross expenditure",G20:G55)</f>
        <v>5931023.2199999997</v>
      </c>
      <c r="H60" s="1116">
        <f t="shared" ref="H60:V60" si="23">SUMIF($F$20:$F$55,"Total gross expenditure",H20:H55)</f>
        <v>6717210.8500000006</v>
      </c>
      <c r="I60" s="1116">
        <f t="shared" si="23"/>
        <v>8217899.7400000002</v>
      </c>
      <c r="J60" s="1116">
        <f t="shared" si="23"/>
        <v>12876692.730000002</v>
      </c>
      <c r="K60" s="1117">
        <f t="shared" si="23"/>
        <v>17301316.080000006</v>
      </c>
      <c r="L60" s="1115">
        <f t="shared" si="23"/>
        <v>740340.98</v>
      </c>
      <c r="M60" s="1116">
        <f t="shared" si="23"/>
        <v>137692.14999999997</v>
      </c>
      <c r="N60" s="1116">
        <f t="shared" si="23"/>
        <v>607111</v>
      </c>
      <c r="O60" s="1116">
        <f t="shared" si="23"/>
        <v>1563237.0000000002</v>
      </c>
      <c r="P60" s="1116">
        <f t="shared" si="23"/>
        <v>1717200</v>
      </c>
      <c r="Q60" s="1123">
        <f t="shared" si="23"/>
        <v>0</v>
      </c>
      <c r="R60" s="1115">
        <f t="shared" si="23"/>
        <v>4361452.9987895414</v>
      </c>
      <c r="S60" s="1116">
        <f t="shared" si="23"/>
        <v>5312150.5989331184</v>
      </c>
      <c r="T60" s="1116">
        <f t="shared" si="23"/>
        <v>3740294.406291835</v>
      </c>
      <c r="U60" s="1116">
        <f t="shared" si="23"/>
        <v>2578116.9505252764</v>
      </c>
      <c r="V60" s="1117">
        <f t="shared" si="23"/>
        <v>0</v>
      </c>
      <c r="W60" s="1128"/>
      <c r="AA60" s="1115">
        <f>SUMIF($F$20:$F$55,"Total gross expenditure",AA20:AA55)</f>
        <v>0</v>
      </c>
      <c r="AB60" s="1116">
        <f t="shared" ref="AB60:AH60" si="24">SUMIF($F$20:$F$55,"Total gross expenditure",AB20:AB55)</f>
        <v>0</v>
      </c>
      <c r="AC60" s="1116">
        <f t="shared" si="24"/>
        <v>0</v>
      </c>
      <c r="AD60" s="1116">
        <f t="shared" si="24"/>
        <v>0</v>
      </c>
      <c r="AE60" s="1117">
        <f t="shared" si="24"/>
        <v>0</v>
      </c>
      <c r="AF60" s="1115">
        <f t="shared" si="24"/>
        <v>0</v>
      </c>
      <c r="AG60" s="1116">
        <f t="shared" si="24"/>
        <v>0</v>
      </c>
      <c r="AH60" s="1117">
        <f t="shared" si="24"/>
        <v>0</v>
      </c>
    </row>
    <row r="61" spans="1:34">
      <c r="A61" s="299"/>
      <c r="B61" s="299"/>
      <c r="C61" s="299"/>
      <c r="E61" s="4194"/>
      <c r="F61" s="1454" t="s">
        <v>35</v>
      </c>
      <c r="G61" s="384">
        <f>SUMIF($F$20:$F$55,"Less customer contributions",G20:G55)</f>
        <v>0</v>
      </c>
      <c r="H61" s="385">
        <f t="shared" ref="H61:V61" si="25">SUMIF($F$20:$F$55,"Less customer contributions",H20:H55)</f>
        <v>0</v>
      </c>
      <c r="I61" s="385">
        <f t="shared" si="25"/>
        <v>0</v>
      </c>
      <c r="J61" s="385">
        <f t="shared" si="25"/>
        <v>0</v>
      </c>
      <c r="K61" s="477">
        <f t="shared" si="25"/>
        <v>0</v>
      </c>
      <c r="L61" s="384">
        <f t="shared" si="25"/>
        <v>0</v>
      </c>
      <c r="M61" s="385">
        <f t="shared" si="25"/>
        <v>0</v>
      </c>
      <c r="N61" s="385">
        <f t="shared" si="25"/>
        <v>0</v>
      </c>
      <c r="O61" s="385">
        <f t="shared" si="25"/>
        <v>0</v>
      </c>
      <c r="P61" s="385">
        <f t="shared" si="25"/>
        <v>0</v>
      </c>
      <c r="Q61" s="1120">
        <f t="shared" si="25"/>
        <v>0</v>
      </c>
      <c r="R61" s="384">
        <f t="shared" si="25"/>
        <v>0</v>
      </c>
      <c r="S61" s="385">
        <f t="shared" si="25"/>
        <v>0</v>
      </c>
      <c r="T61" s="385">
        <f t="shared" si="25"/>
        <v>0</v>
      </c>
      <c r="U61" s="385">
        <f t="shared" si="25"/>
        <v>0</v>
      </c>
      <c r="V61" s="477">
        <f t="shared" si="25"/>
        <v>0</v>
      </c>
      <c r="W61" s="1128"/>
      <c r="AA61" s="384">
        <f>SUMIF($F$20:$F$55,"Less customer contributions",AA20:AA55)</f>
        <v>0</v>
      </c>
      <c r="AB61" s="385">
        <f t="shared" ref="AB61:AH61" si="26">SUMIF($F$20:$F$55,"Less customer contributions",AB20:AB55)</f>
        <v>0</v>
      </c>
      <c r="AC61" s="385">
        <f t="shared" si="26"/>
        <v>0</v>
      </c>
      <c r="AD61" s="385">
        <f t="shared" si="26"/>
        <v>0</v>
      </c>
      <c r="AE61" s="477">
        <f t="shared" si="26"/>
        <v>0</v>
      </c>
      <c r="AF61" s="384">
        <f t="shared" si="26"/>
        <v>0</v>
      </c>
      <c r="AG61" s="385">
        <f t="shared" si="26"/>
        <v>0</v>
      </c>
      <c r="AH61" s="477">
        <f t="shared" si="26"/>
        <v>0</v>
      </c>
    </row>
    <row r="62" spans="1:34" ht="13.5" thickBot="1">
      <c r="A62" s="299"/>
      <c r="B62" s="299"/>
      <c r="C62" s="299"/>
      <c r="E62" s="4195"/>
      <c r="F62" s="1456" t="s">
        <v>611</v>
      </c>
      <c r="G62" s="1773">
        <f>SUMIF($F$20:$F$55,"Total net expenditure",G20:G55)</f>
        <v>5931023.2199999997</v>
      </c>
      <c r="H62" s="1118">
        <f t="shared" ref="H62:V62" si="27">SUMIF($F$20:$F$55,"Total net expenditure",H20:H55)</f>
        <v>6717210.8500000006</v>
      </c>
      <c r="I62" s="1118">
        <f t="shared" si="27"/>
        <v>8217899.7400000002</v>
      </c>
      <c r="J62" s="1118">
        <f t="shared" si="27"/>
        <v>12876692.730000002</v>
      </c>
      <c r="K62" s="1119">
        <f t="shared" si="27"/>
        <v>17301316.080000006</v>
      </c>
      <c r="L62" s="1773">
        <f t="shared" si="27"/>
        <v>740340.98</v>
      </c>
      <c r="M62" s="1118">
        <f t="shared" si="27"/>
        <v>137692.14999999997</v>
      </c>
      <c r="N62" s="1118">
        <f t="shared" si="27"/>
        <v>607111</v>
      </c>
      <c r="O62" s="1118">
        <f t="shared" si="27"/>
        <v>1563237.0000000002</v>
      </c>
      <c r="P62" s="1118">
        <f t="shared" si="27"/>
        <v>1717200</v>
      </c>
      <c r="Q62" s="1124">
        <f t="shared" si="27"/>
        <v>0</v>
      </c>
      <c r="R62" s="1773">
        <f t="shared" si="27"/>
        <v>4361452.9987895414</v>
      </c>
      <c r="S62" s="1118">
        <f t="shared" si="27"/>
        <v>5312150.5989331184</v>
      </c>
      <c r="T62" s="1118">
        <f t="shared" si="27"/>
        <v>3740294.406291835</v>
      </c>
      <c r="U62" s="1118">
        <f t="shared" si="27"/>
        <v>2578116.9505252764</v>
      </c>
      <c r="V62" s="1119">
        <f t="shared" si="27"/>
        <v>0</v>
      </c>
      <c r="W62" s="1128"/>
      <c r="AA62" s="1773">
        <f>SUMIF($F$20:$F$55,"Total net expenditure",AA20:AA55)</f>
        <v>0</v>
      </c>
      <c r="AB62" s="1118">
        <f t="shared" ref="AB62:AH62" si="28">SUMIF($F$20:$F$55,"Total net expenditure",AB20:AB55)</f>
        <v>0</v>
      </c>
      <c r="AC62" s="1118">
        <f t="shared" si="28"/>
        <v>0</v>
      </c>
      <c r="AD62" s="1118">
        <f t="shared" si="28"/>
        <v>0</v>
      </c>
      <c r="AE62" s="1119">
        <f t="shared" si="28"/>
        <v>0</v>
      </c>
      <c r="AF62" s="1773">
        <f t="shared" si="28"/>
        <v>0</v>
      </c>
      <c r="AG62" s="1118">
        <f t="shared" si="28"/>
        <v>0</v>
      </c>
      <c r="AH62" s="1119">
        <f t="shared" si="28"/>
        <v>0</v>
      </c>
    </row>
    <row r="63" spans="1:34" s="69" customFormat="1" ht="47.25" customHeight="1" thickBot="1">
      <c r="A63" s="348"/>
      <c r="B63" s="348"/>
      <c r="C63" s="348"/>
      <c r="D63" s="348"/>
      <c r="E63" s="4196" t="s">
        <v>127</v>
      </c>
      <c r="F63" s="4197"/>
      <c r="G63" s="300"/>
      <c r="H63" s="301"/>
      <c r="I63" s="301"/>
      <c r="J63" s="301"/>
      <c r="K63" s="301"/>
      <c r="L63" s="301"/>
      <c r="M63" s="301"/>
      <c r="N63" s="301"/>
      <c r="O63" s="301"/>
      <c r="P63" s="301"/>
      <c r="Q63" s="301"/>
      <c r="R63" s="301"/>
      <c r="S63" s="301"/>
      <c r="T63" s="301"/>
      <c r="U63" s="301"/>
      <c r="V63" s="301"/>
      <c r="W63" s="3645"/>
      <c r="X63"/>
      <c r="Y63"/>
      <c r="Z63"/>
      <c r="AA63" s="1762"/>
      <c r="AB63" s="1771"/>
      <c r="AC63" s="1771"/>
      <c r="AD63" s="1771"/>
      <c r="AE63" s="1771"/>
      <c r="AF63" s="1771"/>
      <c r="AG63" s="1771"/>
      <c r="AH63" s="1774"/>
    </row>
    <row r="64" spans="1:34" s="78" customFormat="1" ht="33" customHeight="1" thickBot="1">
      <c r="A64" s="299"/>
      <c r="B64" s="299"/>
      <c r="C64" s="299"/>
      <c r="D64" s="299"/>
      <c r="E64" s="82"/>
      <c r="F64" s="82"/>
      <c r="G64" s="3523"/>
      <c r="H64" s="3523"/>
      <c r="I64" s="3523"/>
      <c r="J64" s="3523"/>
      <c r="K64" s="3523"/>
      <c r="L64" s="3524"/>
      <c r="M64" s="3524"/>
      <c r="N64" s="3524"/>
      <c r="O64" s="3524"/>
      <c r="P64" s="3524"/>
      <c r="Q64" s="3524"/>
      <c r="R64" s="3524"/>
      <c r="S64" s="3524"/>
      <c r="T64" s="3524"/>
      <c r="U64" s="3524"/>
      <c r="V64" s="3524"/>
      <c r="W64" s="3524"/>
      <c r="X64"/>
      <c r="Y64"/>
      <c r="Z64"/>
      <c r="AA64" s="82"/>
      <c r="AB64" s="82"/>
      <c r="AC64" s="82"/>
      <c r="AD64" s="82"/>
      <c r="AE64" s="82"/>
      <c r="AF64" s="82"/>
      <c r="AG64" s="82"/>
      <c r="AH64" s="82"/>
    </row>
    <row r="65" spans="1:34" s="65" customFormat="1" ht="16.5" thickBot="1">
      <c r="A65" s="283"/>
      <c r="B65" s="283"/>
      <c r="C65" s="283"/>
      <c r="D65" s="283"/>
      <c r="E65" s="2867" t="s">
        <v>612</v>
      </c>
      <c r="F65" s="2867"/>
      <c r="G65" s="1373"/>
      <c r="H65" s="1373"/>
      <c r="I65" s="1373"/>
      <c r="J65" s="1373"/>
      <c r="K65" s="1373"/>
      <c r="L65" s="1373"/>
      <c r="M65" s="1373"/>
      <c r="N65" s="1373"/>
      <c r="O65" s="1373"/>
      <c r="P65" s="1374"/>
      <c r="Q65" s="1266"/>
      <c r="R65" s="1266"/>
      <c r="S65" s="1266"/>
      <c r="T65" s="1266"/>
      <c r="U65" s="1266"/>
      <c r="V65" s="1266"/>
      <c r="W65" s="1266"/>
      <c r="X65"/>
      <c r="Y65"/>
      <c r="Z65"/>
      <c r="AA65" s="1372"/>
      <c r="AB65" s="1373"/>
      <c r="AC65" s="1373"/>
      <c r="AD65" s="1373"/>
      <c r="AE65" s="1373"/>
      <c r="AF65" s="1373"/>
      <c r="AG65" s="1373"/>
      <c r="AH65" s="1374"/>
    </row>
    <row r="66" spans="1:34" s="65" customFormat="1" ht="18" customHeight="1">
      <c r="A66" s="282"/>
      <c r="B66" s="282"/>
      <c r="C66" s="282"/>
      <c r="D66" s="282"/>
      <c r="E66" s="4204"/>
      <c r="F66" s="4205"/>
      <c r="G66" s="4186" t="s">
        <v>36</v>
      </c>
      <c r="H66" s="4137"/>
      <c r="I66" s="4137"/>
      <c r="J66" s="4137"/>
      <c r="K66" s="4137"/>
      <c r="L66" s="4187" t="s">
        <v>37</v>
      </c>
      <c r="M66" s="4188"/>
      <c r="N66" s="4188"/>
      <c r="O66" s="4188"/>
      <c r="P66" s="4189"/>
      <c r="Q66" s="1266"/>
      <c r="R66" s="1266"/>
      <c r="S66" s="1266"/>
      <c r="T66" s="1266"/>
      <c r="U66" s="1266"/>
      <c r="V66" s="1266"/>
      <c r="W66" s="1266"/>
      <c r="X66"/>
      <c r="Y66"/>
      <c r="Z66"/>
      <c r="AA66" s="4186" t="s">
        <v>36</v>
      </c>
      <c r="AB66" s="4137"/>
      <c r="AC66" s="4137"/>
      <c r="AD66" s="4137"/>
      <c r="AE66" s="4137"/>
      <c r="AF66" s="4187" t="s">
        <v>37</v>
      </c>
      <c r="AG66" s="4188"/>
      <c r="AH66" s="4189"/>
    </row>
    <row r="67" spans="1:34" s="65" customFormat="1" ht="15" customHeight="1">
      <c r="A67" s="282"/>
      <c r="B67" s="282"/>
      <c r="C67" s="282"/>
      <c r="D67" s="282"/>
      <c r="E67" s="4206"/>
      <c r="F67" s="4207"/>
      <c r="G67" s="4125" t="str">
        <f>CONCATENATE("$0's, real ",dms_DollarReal)</f>
        <v>$0's, real December 2017</v>
      </c>
      <c r="H67" s="4126"/>
      <c r="I67" s="4126"/>
      <c r="J67" s="4126"/>
      <c r="K67" s="4126"/>
      <c r="L67" s="4126"/>
      <c r="M67" s="4126"/>
      <c r="N67" s="4126"/>
      <c r="O67" s="4126"/>
      <c r="P67" s="4169"/>
      <c r="Q67" s="1266"/>
      <c r="R67" s="1266"/>
      <c r="S67" s="1266"/>
      <c r="T67" s="1266"/>
      <c r="U67" s="1266"/>
      <c r="V67" s="1266"/>
      <c r="W67" s="1266"/>
      <c r="X67"/>
      <c r="Y67"/>
      <c r="Z67"/>
      <c r="AA67" s="4217" t="str">
        <f>CONCATENATE("$0's, real ",dms_DollarReal)</f>
        <v>$0's, real December 2017</v>
      </c>
      <c r="AB67" s="4129"/>
      <c r="AC67" s="4129"/>
      <c r="AD67" s="4129"/>
      <c r="AE67" s="4129"/>
      <c r="AF67" s="4129"/>
      <c r="AG67" s="4129"/>
      <c r="AH67" s="4130"/>
    </row>
    <row r="68" spans="1:34" s="65" customFormat="1" ht="15">
      <c r="A68" s="282"/>
      <c r="B68" s="282"/>
      <c r="C68" s="282"/>
      <c r="D68" s="282"/>
      <c r="E68" s="4206"/>
      <c r="F68" s="4207"/>
      <c r="G68" s="4131" t="s">
        <v>76</v>
      </c>
      <c r="H68" s="4132"/>
      <c r="I68" s="4132"/>
      <c r="J68" s="4132"/>
      <c r="K68" s="4132"/>
      <c r="L68" s="4132"/>
      <c r="M68" s="4132"/>
      <c r="N68" s="4132"/>
      <c r="O68" s="4132"/>
      <c r="P68" s="4210"/>
      <c r="Q68" s="1266"/>
      <c r="R68" s="1266"/>
      <c r="S68" s="1266"/>
      <c r="T68" s="1266"/>
      <c r="U68" s="1266"/>
      <c r="V68" s="1266"/>
      <c r="W68" s="1266"/>
      <c r="X68"/>
      <c r="Y68"/>
      <c r="Z68"/>
      <c r="AA68" s="4131" t="s">
        <v>76</v>
      </c>
      <c r="AB68" s="4132"/>
      <c r="AC68" s="4132"/>
      <c r="AD68" s="4132"/>
      <c r="AE68" s="4132"/>
      <c r="AF68" s="4132"/>
      <c r="AG68" s="4132"/>
      <c r="AH68" s="4210"/>
    </row>
    <row r="69" spans="1:34" s="65" customFormat="1" ht="15.75" thickBot="1">
      <c r="A69" s="282"/>
      <c r="B69" s="282"/>
      <c r="C69" s="282"/>
      <c r="D69" s="282"/>
      <c r="E69" s="4208"/>
      <c r="F69" s="4209"/>
      <c r="G69" s="1521">
        <f t="array" ref="G69:K69">PRCP</f>
        <v>2008</v>
      </c>
      <c r="H69" s="374">
        <v>2009</v>
      </c>
      <c r="I69" s="374">
        <v>2010</v>
      </c>
      <c r="J69" s="374">
        <v>2011</v>
      </c>
      <c r="K69" s="374">
        <v>2012</v>
      </c>
      <c r="L69" s="376">
        <f>CRCP_y1</f>
        <v>2013</v>
      </c>
      <c r="M69" s="376">
        <f>CRCP_y2</f>
        <v>2014</v>
      </c>
      <c r="N69" s="376">
        <f>CRCP_y3</f>
        <v>2015</v>
      </c>
      <c r="O69" s="376">
        <f>CRCP_y4</f>
        <v>2016</v>
      </c>
      <c r="P69" s="568">
        <f>CRCP_y5</f>
        <v>2017</v>
      </c>
      <c r="Q69" s="1266"/>
      <c r="R69" s="1266"/>
      <c r="S69" s="1266"/>
      <c r="T69" s="1266"/>
      <c r="U69" s="1266"/>
      <c r="V69" s="1266"/>
      <c r="W69" s="1266"/>
      <c r="X69"/>
      <c r="Y69"/>
      <c r="Z69"/>
      <c r="AA69" s="1521">
        <f t="array" ref="AA69:AE69">PRCP</f>
        <v>2008</v>
      </c>
      <c r="AB69" s="374">
        <v>2009</v>
      </c>
      <c r="AC69" s="374">
        <v>2010</v>
      </c>
      <c r="AD69" s="374">
        <v>2011</v>
      </c>
      <c r="AE69" s="374">
        <v>2012</v>
      </c>
      <c r="AF69" s="376">
        <f>CRCP_y1</f>
        <v>2013</v>
      </c>
      <c r="AG69" s="376">
        <f>CRCP_y2</f>
        <v>2014</v>
      </c>
      <c r="AH69" s="568">
        <f>CRCP_y3</f>
        <v>2015</v>
      </c>
    </row>
    <row r="70" spans="1:34" ht="18" customHeight="1" outlineLevel="2">
      <c r="A70" s="299"/>
      <c r="B70" s="299"/>
      <c r="C70" s="299"/>
      <c r="E70" s="4214" t="s">
        <v>91</v>
      </c>
      <c r="F70" s="370" t="s">
        <v>605</v>
      </c>
      <c r="G70" s="499"/>
      <c r="H70" s="494"/>
      <c r="I70" s="494"/>
      <c r="J70" s="494"/>
      <c r="K70" s="507"/>
      <c r="L70" s="1105"/>
      <c r="M70" s="494"/>
      <c r="N70" s="494"/>
      <c r="O70" s="494"/>
      <c r="P70" s="507"/>
      <c r="Q70" s="1266"/>
      <c r="R70" s="482"/>
      <c r="S70" s="482"/>
      <c r="T70" s="482"/>
      <c r="U70" s="482"/>
      <c r="V70" s="482"/>
      <c r="W70" s="501"/>
      <c r="AA70" s="489"/>
      <c r="AB70" s="490"/>
      <c r="AC70" s="490"/>
      <c r="AD70" s="490"/>
      <c r="AE70" s="491"/>
      <c r="AF70" s="538"/>
      <c r="AG70" s="490"/>
      <c r="AH70" s="491"/>
    </row>
    <row r="71" spans="1:34" ht="12.75" customHeight="1" outlineLevel="2">
      <c r="A71" s="299"/>
      <c r="B71" s="299"/>
      <c r="C71" s="299"/>
      <c r="E71" s="4214"/>
      <c r="F71" s="3102" t="s">
        <v>609</v>
      </c>
      <c r="G71" s="486"/>
      <c r="H71" s="485"/>
      <c r="I71" s="485"/>
      <c r="J71" s="485"/>
      <c r="K71" s="487"/>
      <c r="L71" s="444"/>
      <c r="M71" s="485"/>
      <c r="N71" s="485"/>
      <c r="O71" s="485"/>
      <c r="P71" s="487"/>
      <c r="Q71" s="1266"/>
      <c r="R71" s="482"/>
      <c r="S71" s="482"/>
      <c r="T71" s="482"/>
      <c r="U71" s="482"/>
      <c r="V71" s="482"/>
      <c r="W71" s="501"/>
      <c r="AA71" s="489"/>
      <c r="AB71" s="490"/>
      <c r="AC71" s="490"/>
      <c r="AD71" s="490"/>
      <c r="AE71" s="491"/>
      <c r="AF71" s="538"/>
      <c r="AG71" s="490"/>
      <c r="AH71" s="491"/>
    </row>
    <row r="72" spans="1:34" ht="12.75" customHeight="1" outlineLevel="2">
      <c r="A72" s="299"/>
      <c r="B72" s="299"/>
      <c r="C72" s="299"/>
      <c r="E72" s="4214"/>
      <c r="F72" s="3102" t="s">
        <v>607</v>
      </c>
      <c r="G72" s="486"/>
      <c r="H72" s="485"/>
      <c r="I72" s="485"/>
      <c r="J72" s="485"/>
      <c r="K72" s="487"/>
      <c r="L72" s="444"/>
      <c r="M72" s="485"/>
      <c r="N72" s="485"/>
      <c r="O72" s="485"/>
      <c r="P72" s="487"/>
      <c r="Q72" s="1266"/>
      <c r="R72" s="482"/>
      <c r="S72" s="482"/>
      <c r="T72" s="482"/>
      <c r="U72" s="482"/>
      <c r="V72" s="482"/>
      <c r="W72" s="501"/>
      <c r="AA72" s="489"/>
      <c r="AB72" s="490"/>
      <c r="AC72" s="490"/>
      <c r="AD72" s="490"/>
      <c r="AE72" s="491"/>
      <c r="AF72" s="538"/>
      <c r="AG72" s="490"/>
      <c r="AH72" s="491"/>
    </row>
    <row r="73" spans="1:34" ht="12.75" customHeight="1" outlineLevel="2">
      <c r="A73" s="299"/>
      <c r="B73" s="299"/>
      <c r="C73" s="299"/>
      <c r="E73" s="4214"/>
      <c r="F73" s="3106" t="s">
        <v>610</v>
      </c>
      <c r="G73" s="412">
        <f t="shared" ref="G73:P73" si="29">SUM(G71:G72)</f>
        <v>0</v>
      </c>
      <c r="H73" s="393">
        <f t="shared" si="29"/>
        <v>0</v>
      </c>
      <c r="I73" s="393">
        <f t="shared" si="29"/>
        <v>0</v>
      </c>
      <c r="J73" s="393">
        <f t="shared" si="29"/>
        <v>0</v>
      </c>
      <c r="K73" s="394">
        <f t="shared" si="29"/>
        <v>0</v>
      </c>
      <c r="L73" s="1106">
        <f t="shared" si="29"/>
        <v>0</v>
      </c>
      <c r="M73" s="393">
        <f t="shared" si="29"/>
        <v>0</v>
      </c>
      <c r="N73" s="393">
        <f t="shared" si="29"/>
        <v>0</v>
      </c>
      <c r="O73" s="393">
        <f t="shared" si="29"/>
        <v>0</v>
      </c>
      <c r="P73" s="394">
        <f t="shared" si="29"/>
        <v>0</v>
      </c>
      <c r="Q73" s="1266"/>
      <c r="R73" s="482"/>
      <c r="S73" s="482"/>
      <c r="T73" s="482"/>
      <c r="U73" s="482"/>
      <c r="V73" s="482"/>
      <c r="W73" s="501"/>
      <c r="AA73" s="1777">
        <f t="shared" ref="AA73:AH73" si="30">SUM(AA71:AA72)</f>
        <v>0</v>
      </c>
      <c r="AB73" s="1778">
        <f t="shared" si="30"/>
        <v>0</v>
      </c>
      <c r="AC73" s="1778">
        <f t="shared" si="30"/>
        <v>0</v>
      </c>
      <c r="AD73" s="1778">
        <f t="shared" si="30"/>
        <v>0</v>
      </c>
      <c r="AE73" s="1779">
        <f t="shared" si="30"/>
        <v>0</v>
      </c>
      <c r="AF73" s="1780">
        <f t="shared" si="30"/>
        <v>0</v>
      </c>
      <c r="AG73" s="1778">
        <f t="shared" si="30"/>
        <v>0</v>
      </c>
      <c r="AH73" s="1779">
        <f t="shared" si="30"/>
        <v>0</v>
      </c>
    </row>
    <row r="74" spans="1:34" ht="12.75" customHeight="1" outlineLevel="2">
      <c r="A74" s="299"/>
      <c r="B74" s="299"/>
      <c r="C74" s="299"/>
      <c r="E74" s="4214"/>
      <c r="F74" s="3102" t="s">
        <v>35</v>
      </c>
      <c r="G74" s="486"/>
      <c r="H74" s="485"/>
      <c r="I74" s="485"/>
      <c r="J74" s="485"/>
      <c r="K74" s="487"/>
      <c r="L74" s="444"/>
      <c r="M74" s="485"/>
      <c r="N74" s="485"/>
      <c r="O74" s="485"/>
      <c r="P74" s="487"/>
      <c r="Q74" s="1266"/>
      <c r="R74" s="482"/>
      <c r="S74" s="482"/>
      <c r="T74" s="482"/>
      <c r="U74" s="482"/>
      <c r="V74" s="482"/>
      <c r="W74" s="501"/>
      <c r="AA74" s="489"/>
      <c r="AB74" s="490"/>
      <c r="AC74" s="490"/>
      <c r="AD74" s="490"/>
      <c r="AE74" s="491"/>
      <c r="AF74" s="538"/>
      <c r="AG74" s="490"/>
      <c r="AH74" s="491"/>
    </row>
    <row r="75" spans="1:34" ht="13.5" customHeight="1" outlineLevel="2" thickBot="1">
      <c r="A75" s="299"/>
      <c r="B75" s="299"/>
      <c r="C75" s="299"/>
      <c r="E75" s="4215"/>
      <c r="F75" s="388" t="s">
        <v>611</v>
      </c>
      <c r="G75" s="413">
        <f t="shared" ref="G75:P75" si="31">G73-G74</f>
        <v>0</v>
      </c>
      <c r="H75" s="395">
        <f t="shared" si="31"/>
        <v>0</v>
      </c>
      <c r="I75" s="395">
        <f t="shared" si="31"/>
        <v>0</v>
      </c>
      <c r="J75" s="395">
        <f t="shared" si="31"/>
        <v>0</v>
      </c>
      <c r="K75" s="396">
        <f t="shared" si="31"/>
        <v>0</v>
      </c>
      <c r="L75" s="1107">
        <f t="shared" si="31"/>
        <v>0</v>
      </c>
      <c r="M75" s="395">
        <f t="shared" si="31"/>
        <v>0</v>
      </c>
      <c r="N75" s="395">
        <f t="shared" si="31"/>
        <v>0</v>
      </c>
      <c r="O75" s="395">
        <f t="shared" si="31"/>
        <v>0</v>
      </c>
      <c r="P75" s="396">
        <f t="shared" si="31"/>
        <v>0</v>
      </c>
      <c r="Q75" s="1266"/>
      <c r="R75" s="482"/>
      <c r="S75" s="482"/>
      <c r="T75" s="482"/>
      <c r="U75" s="482"/>
      <c r="V75" s="482"/>
      <c r="W75" s="501"/>
      <c r="AA75" s="1781">
        <f t="shared" ref="AA75:AH75" si="32">AA73-AA74</f>
        <v>0</v>
      </c>
      <c r="AB75" s="1782">
        <f t="shared" si="32"/>
        <v>0</v>
      </c>
      <c r="AC75" s="1782">
        <f t="shared" si="32"/>
        <v>0</v>
      </c>
      <c r="AD75" s="1782">
        <f t="shared" si="32"/>
        <v>0</v>
      </c>
      <c r="AE75" s="1783">
        <f t="shared" si="32"/>
        <v>0</v>
      </c>
      <c r="AF75" s="1784">
        <f t="shared" si="32"/>
        <v>0</v>
      </c>
      <c r="AG75" s="1782">
        <f t="shared" si="32"/>
        <v>0</v>
      </c>
      <c r="AH75" s="1783">
        <f t="shared" si="32"/>
        <v>0</v>
      </c>
    </row>
    <row r="76" spans="1:34" s="501" customFormat="1" ht="12.75" customHeight="1" outlineLevel="2">
      <c r="A76" s="299"/>
      <c r="B76" s="299"/>
      <c r="C76" s="299"/>
      <c r="D76" s="299"/>
      <c r="E76" s="4216" t="s">
        <v>91</v>
      </c>
      <c r="F76" s="3106" t="s">
        <v>605</v>
      </c>
      <c r="G76" s="499"/>
      <c r="H76" s="494"/>
      <c r="I76" s="494"/>
      <c r="J76" s="494"/>
      <c r="K76" s="507"/>
      <c r="L76" s="1105"/>
      <c r="M76" s="494"/>
      <c r="N76" s="494"/>
      <c r="O76" s="494"/>
      <c r="P76" s="507"/>
      <c r="Q76" s="1266"/>
      <c r="R76" s="482"/>
      <c r="S76" s="482"/>
      <c r="T76" s="482"/>
      <c r="U76" s="482"/>
      <c r="V76" s="482"/>
      <c r="X76" s="1266"/>
      <c r="Y76" s="1266"/>
      <c r="Z76" s="1266"/>
      <c r="AA76" s="489"/>
      <c r="AB76" s="490"/>
      <c r="AC76" s="490"/>
      <c r="AD76" s="490"/>
      <c r="AE76" s="491"/>
      <c r="AF76" s="538"/>
      <c r="AG76" s="490"/>
      <c r="AH76" s="491"/>
    </row>
    <row r="77" spans="1:34" s="501" customFormat="1" ht="12.75" customHeight="1" outlineLevel="2">
      <c r="A77" s="299"/>
      <c r="B77" s="299"/>
      <c r="C77" s="299"/>
      <c r="D77" s="299"/>
      <c r="E77" s="4214"/>
      <c r="F77" s="3102" t="s">
        <v>609</v>
      </c>
      <c r="G77" s="486"/>
      <c r="H77" s="485"/>
      <c r="I77" s="485"/>
      <c r="J77" s="485"/>
      <c r="K77" s="487"/>
      <c r="L77" s="444"/>
      <c r="M77" s="485"/>
      <c r="N77" s="485"/>
      <c r="O77" s="485"/>
      <c r="P77" s="487"/>
      <c r="Q77" s="1266"/>
      <c r="R77" s="482"/>
      <c r="S77" s="482"/>
      <c r="T77" s="482"/>
      <c r="U77" s="482"/>
      <c r="V77" s="482"/>
      <c r="X77" s="1266"/>
      <c r="Y77" s="1266"/>
      <c r="Z77" s="1266"/>
      <c r="AA77" s="489"/>
      <c r="AB77" s="490"/>
      <c r="AC77" s="490"/>
      <c r="AD77" s="490"/>
      <c r="AE77" s="491"/>
      <c r="AF77" s="538"/>
      <c r="AG77" s="490"/>
      <c r="AH77" s="491"/>
    </row>
    <row r="78" spans="1:34" s="501" customFormat="1" ht="12.75" customHeight="1" outlineLevel="2">
      <c r="A78" s="299"/>
      <c r="B78" s="299"/>
      <c r="C78" s="299"/>
      <c r="D78" s="299"/>
      <c r="E78" s="4214"/>
      <c r="F78" s="3102" t="s">
        <v>607</v>
      </c>
      <c r="G78" s="486"/>
      <c r="H78" s="485"/>
      <c r="I78" s="485"/>
      <c r="J78" s="485"/>
      <c r="K78" s="487"/>
      <c r="L78" s="444"/>
      <c r="M78" s="485"/>
      <c r="N78" s="485"/>
      <c r="O78" s="485"/>
      <c r="P78" s="487"/>
      <c r="Q78" s="1266"/>
      <c r="R78" s="482"/>
      <c r="S78" s="482"/>
      <c r="T78" s="482"/>
      <c r="U78" s="482"/>
      <c r="V78" s="482"/>
      <c r="X78" s="1266"/>
      <c r="Y78" s="1266"/>
      <c r="Z78" s="1266"/>
      <c r="AA78" s="489"/>
      <c r="AB78" s="490"/>
      <c r="AC78" s="490"/>
      <c r="AD78" s="490"/>
      <c r="AE78" s="491"/>
      <c r="AF78" s="538"/>
      <c r="AG78" s="490"/>
      <c r="AH78" s="491"/>
    </row>
    <row r="79" spans="1:34" s="501" customFormat="1" ht="12.75" customHeight="1" outlineLevel="2">
      <c r="A79" s="299"/>
      <c r="B79" s="299"/>
      <c r="C79" s="299"/>
      <c r="D79" s="299"/>
      <c r="E79" s="4214"/>
      <c r="F79" s="3106" t="s">
        <v>610</v>
      </c>
      <c r="G79" s="412">
        <f t="shared" ref="G79:P79" si="33">SUM(G77:G78)</f>
        <v>0</v>
      </c>
      <c r="H79" s="393">
        <f t="shared" si="33"/>
        <v>0</v>
      </c>
      <c r="I79" s="393">
        <f t="shared" si="33"/>
        <v>0</v>
      </c>
      <c r="J79" s="393">
        <f t="shared" si="33"/>
        <v>0</v>
      </c>
      <c r="K79" s="394">
        <f t="shared" si="33"/>
        <v>0</v>
      </c>
      <c r="L79" s="1106">
        <f t="shared" si="33"/>
        <v>0</v>
      </c>
      <c r="M79" s="393">
        <f t="shared" si="33"/>
        <v>0</v>
      </c>
      <c r="N79" s="393">
        <f t="shared" si="33"/>
        <v>0</v>
      </c>
      <c r="O79" s="393">
        <f t="shared" si="33"/>
        <v>0</v>
      </c>
      <c r="P79" s="394">
        <f t="shared" si="33"/>
        <v>0</v>
      </c>
      <c r="Q79" s="1266"/>
      <c r="R79" s="482"/>
      <c r="S79" s="482"/>
      <c r="T79" s="482"/>
      <c r="U79" s="482"/>
      <c r="V79" s="482"/>
      <c r="X79" s="1266"/>
      <c r="Y79" s="1266"/>
      <c r="Z79" s="1266"/>
      <c r="AA79" s="1777">
        <f t="shared" ref="AA79:AH79" si="34">SUM(AA77:AA78)</f>
        <v>0</v>
      </c>
      <c r="AB79" s="1778">
        <f t="shared" si="34"/>
        <v>0</v>
      </c>
      <c r="AC79" s="1778">
        <f t="shared" si="34"/>
        <v>0</v>
      </c>
      <c r="AD79" s="1778">
        <f t="shared" si="34"/>
        <v>0</v>
      </c>
      <c r="AE79" s="1779">
        <f t="shared" si="34"/>
        <v>0</v>
      </c>
      <c r="AF79" s="1780">
        <f t="shared" si="34"/>
        <v>0</v>
      </c>
      <c r="AG79" s="1778">
        <f t="shared" si="34"/>
        <v>0</v>
      </c>
      <c r="AH79" s="1779">
        <f t="shared" si="34"/>
        <v>0</v>
      </c>
    </row>
    <row r="80" spans="1:34" s="501" customFormat="1" ht="12.75" customHeight="1" outlineLevel="2">
      <c r="A80" s="299"/>
      <c r="B80" s="299"/>
      <c r="C80" s="299"/>
      <c r="D80" s="299"/>
      <c r="E80" s="4214"/>
      <c r="F80" s="3102" t="s">
        <v>35</v>
      </c>
      <c r="G80" s="486"/>
      <c r="H80" s="485"/>
      <c r="I80" s="485"/>
      <c r="J80" s="485"/>
      <c r="K80" s="487"/>
      <c r="L80" s="444"/>
      <c r="M80" s="485"/>
      <c r="N80" s="485"/>
      <c r="O80" s="485"/>
      <c r="P80" s="487"/>
      <c r="Q80" s="1266"/>
      <c r="R80" s="482"/>
      <c r="S80" s="482"/>
      <c r="T80" s="482"/>
      <c r="U80" s="482"/>
      <c r="V80" s="482"/>
      <c r="X80" s="1266"/>
      <c r="Y80" s="1266"/>
      <c r="Z80" s="1266"/>
      <c r="AA80" s="489"/>
      <c r="AB80" s="490"/>
      <c r="AC80" s="490"/>
      <c r="AD80" s="490"/>
      <c r="AE80" s="491"/>
      <c r="AF80" s="538"/>
      <c r="AG80" s="490"/>
      <c r="AH80" s="491"/>
    </row>
    <row r="81" spans="1:34" s="501" customFormat="1" ht="13.5" customHeight="1" outlineLevel="2" thickBot="1">
      <c r="A81" s="299"/>
      <c r="B81" s="299"/>
      <c r="C81" s="299"/>
      <c r="D81" s="299"/>
      <c r="E81" s="4215"/>
      <c r="F81" s="388" t="s">
        <v>611</v>
      </c>
      <c r="G81" s="413">
        <f t="shared" ref="G81:P81" si="35">G79-G80</f>
        <v>0</v>
      </c>
      <c r="H81" s="395">
        <f t="shared" si="35"/>
        <v>0</v>
      </c>
      <c r="I81" s="395">
        <f t="shared" si="35"/>
        <v>0</v>
      </c>
      <c r="J81" s="395">
        <f t="shared" si="35"/>
        <v>0</v>
      </c>
      <c r="K81" s="396">
        <f t="shared" si="35"/>
        <v>0</v>
      </c>
      <c r="L81" s="1107">
        <f t="shared" si="35"/>
        <v>0</v>
      </c>
      <c r="M81" s="395">
        <f t="shared" si="35"/>
        <v>0</v>
      </c>
      <c r="N81" s="395">
        <f t="shared" si="35"/>
        <v>0</v>
      </c>
      <c r="O81" s="395">
        <f t="shared" si="35"/>
        <v>0</v>
      </c>
      <c r="P81" s="396">
        <f t="shared" si="35"/>
        <v>0</v>
      </c>
      <c r="Q81" s="1266"/>
      <c r="R81" s="482"/>
      <c r="S81" s="482"/>
      <c r="T81" s="482"/>
      <c r="U81" s="482"/>
      <c r="V81" s="482"/>
      <c r="X81" s="1266"/>
      <c r="Y81" s="1266"/>
      <c r="Z81" s="1266"/>
      <c r="AA81" s="1781">
        <f t="shared" ref="AA81:AH81" si="36">AA79-AA80</f>
        <v>0</v>
      </c>
      <c r="AB81" s="1782">
        <f t="shared" si="36"/>
        <v>0</v>
      </c>
      <c r="AC81" s="1782">
        <f t="shared" si="36"/>
        <v>0</v>
      </c>
      <c r="AD81" s="1782">
        <f t="shared" si="36"/>
        <v>0</v>
      </c>
      <c r="AE81" s="1783">
        <f t="shared" si="36"/>
        <v>0</v>
      </c>
      <c r="AF81" s="1784">
        <f t="shared" si="36"/>
        <v>0</v>
      </c>
      <c r="AG81" s="1782">
        <f t="shared" si="36"/>
        <v>0</v>
      </c>
      <c r="AH81" s="1783">
        <f t="shared" si="36"/>
        <v>0</v>
      </c>
    </row>
    <row r="82" spans="1:34" ht="12.75" customHeight="1" outlineLevel="2">
      <c r="A82" s="299"/>
      <c r="B82" s="299"/>
      <c r="C82" s="299"/>
      <c r="E82" s="4216" t="s">
        <v>91</v>
      </c>
      <c r="F82" s="3106" t="s">
        <v>605</v>
      </c>
      <c r="G82" s="499"/>
      <c r="H82" s="494"/>
      <c r="I82" s="494"/>
      <c r="J82" s="494"/>
      <c r="K82" s="507"/>
      <c r="L82" s="1105"/>
      <c r="M82" s="494"/>
      <c r="N82" s="494"/>
      <c r="O82" s="494"/>
      <c r="P82" s="507"/>
      <c r="Q82" s="1266"/>
      <c r="R82" s="482"/>
      <c r="S82" s="482"/>
      <c r="T82" s="482"/>
      <c r="U82" s="482"/>
      <c r="V82" s="482"/>
      <c r="W82" s="501"/>
      <c r="AA82" s="489"/>
      <c r="AB82" s="490"/>
      <c r="AC82" s="490"/>
      <c r="AD82" s="490"/>
      <c r="AE82" s="491"/>
      <c r="AF82" s="538"/>
      <c r="AG82" s="490"/>
      <c r="AH82" s="491"/>
    </row>
    <row r="83" spans="1:34" ht="12.75" customHeight="1" outlineLevel="2">
      <c r="A83" s="299"/>
      <c r="B83" s="299"/>
      <c r="C83" s="299"/>
      <c r="E83" s="4214"/>
      <c r="F83" s="3102" t="s">
        <v>609</v>
      </c>
      <c r="G83" s="486"/>
      <c r="H83" s="485"/>
      <c r="I83" s="485"/>
      <c r="J83" s="485"/>
      <c r="K83" s="487"/>
      <c r="L83" s="444"/>
      <c r="M83" s="485"/>
      <c r="N83" s="485"/>
      <c r="O83" s="485"/>
      <c r="P83" s="487"/>
      <c r="Q83" s="1266"/>
      <c r="R83" s="482"/>
      <c r="S83" s="482"/>
      <c r="T83" s="482"/>
      <c r="U83" s="482"/>
      <c r="V83" s="482"/>
      <c r="W83" s="501"/>
      <c r="AA83" s="489"/>
      <c r="AB83" s="490"/>
      <c r="AC83" s="490"/>
      <c r="AD83" s="490"/>
      <c r="AE83" s="491"/>
      <c r="AF83" s="538"/>
      <c r="AG83" s="490"/>
      <c r="AH83" s="491"/>
    </row>
    <row r="84" spans="1:34" ht="12.75" customHeight="1" outlineLevel="2">
      <c r="A84" s="299"/>
      <c r="B84" s="299"/>
      <c r="C84" s="299"/>
      <c r="E84" s="4214"/>
      <c r="F84" s="3102" t="s">
        <v>607</v>
      </c>
      <c r="G84" s="486"/>
      <c r="H84" s="485"/>
      <c r="I84" s="485"/>
      <c r="J84" s="485"/>
      <c r="K84" s="487"/>
      <c r="L84" s="444"/>
      <c r="M84" s="485"/>
      <c r="N84" s="485"/>
      <c r="O84" s="485"/>
      <c r="P84" s="487"/>
      <c r="Q84" s="1266"/>
      <c r="R84" s="482"/>
      <c r="S84" s="482"/>
      <c r="T84" s="482"/>
      <c r="U84" s="482"/>
      <c r="V84" s="482"/>
      <c r="W84" s="501"/>
      <c r="AA84" s="489"/>
      <c r="AB84" s="490"/>
      <c r="AC84" s="490"/>
      <c r="AD84" s="490"/>
      <c r="AE84" s="491"/>
      <c r="AF84" s="538"/>
      <c r="AG84" s="490"/>
      <c r="AH84" s="491"/>
    </row>
    <row r="85" spans="1:34" ht="12.75" customHeight="1" outlineLevel="2">
      <c r="A85" s="299"/>
      <c r="B85" s="299"/>
      <c r="C85" s="299"/>
      <c r="E85" s="4214"/>
      <c r="F85" s="3106" t="s">
        <v>610</v>
      </c>
      <c r="G85" s="412">
        <f t="shared" ref="G85:P85" si="37">SUM(G83:G84)</f>
        <v>0</v>
      </c>
      <c r="H85" s="393">
        <f t="shared" si="37"/>
        <v>0</v>
      </c>
      <c r="I85" s="393">
        <f t="shared" si="37"/>
        <v>0</v>
      </c>
      <c r="J85" s="393">
        <f t="shared" si="37"/>
        <v>0</v>
      </c>
      <c r="K85" s="394">
        <f t="shared" si="37"/>
        <v>0</v>
      </c>
      <c r="L85" s="1106">
        <f t="shared" si="37"/>
        <v>0</v>
      </c>
      <c r="M85" s="393">
        <f t="shared" si="37"/>
        <v>0</v>
      </c>
      <c r="N85" s="393">
        <f t="shared" si="37"/>
        <v>0</v>
      </c>
      <c r="O85" s="393">
        <f t="shared" si="37"/>
        <v>0</v>
      </c>
      <c r="P85" s="394">
        <f t="shared" si="37"/>
        <v>0</v>
      </c>
      <c r="Q85" s="1266"/>
      <c r="R85" s="482"/>
      <c r="S85" s="482"/>
      <c r="T85" s="482"/>
      <c r="U85" s="482"/>
      <c r="V85" s="482"/>
      <c r="W85" s="501"/>
      <c r="AA85" s="1777">
        <f t="shared" ref="AA85:AH85" si="38">SUM(AA83:AA84)</f>
        <v>0</v>
      </c>
      <c r="AB85" s="1778">
        <f t="shared" si="38"/>
        <v>0</v>
      </c>
      <c r="AC85" s="1778">
        <f t="shared" si="38"/>
        <v>0</v>
      </c>
      <c r="AD85" s="1778">
        <f t="shared" si="38"/>
        <v>0</v>
      </c>
      <c r="AE85" s="1779">
        <f t="shared" si="38"/>
        <v>0</v>
      </c>
      <c r="AF85" s="1780">
        <f t="shared" si="38"/>
        <v>0</v>
      </c>
      <c r="AG85" s="1778">
        <f t="shared" si="38"/>
        <v>0</v>
      </c>
      <c r="AH85" s="1779">
        <f t="shared" si="38"/>
        <v>0</v>
      </c>
    </row>
    <row r="86" spans="1:34" ht="12.75" customHeight="1" outlineLevel="2">
      <c r="A86" s="299"/>
      <c r="B86" s="299"/>
      <c r="C86" s="299"/>
      <c r="E86" s="4214"/>
      <c r="F86" s="3102" t="s">
        <v>35</v>
      </c>
      <c r="G86" s="486"/>
      <c r="H86" s="485"/>
      <c r="I86" s="485"/>
      <c r="J86" s="485"/>
      <c r="K86" s="487"/>
      <c r="L86" s="444"/>
      <c r="M86" s="485"/>
      <c r="N86" s="485"/>
      <c r="O86" s="485"/>
      <c r="P86" s="487"/>
      <c r="Q86" s="1266"/>
      <c r="R86" s="482"/>
      <c r="S86" s="482"/>
      <c r="T86" s="482"/>
      <c r="U86" s="482"/>
      <c r="V86" s="482"/>
      <c r="W86" s="501"/>
      <c r="AA86" s="489"/>
      <c r="AB86" s="490"/>
      <c r="AC86" s="490"/>
      <c r="AD86" s="490"/>
      <c r="AE86" s="491"/>
      <c r="AF86" s="538"/>
      <c r="AG86" s="490"/>
      <c r="AH86" s="491"/>
    </row>
    <row r="87" spans="1:34" ht="13.5" customHeight="1" outlineLevel="2" thickBot="1">
      <c r="A87" s="299"/>
      <c r="B87" s="299"/>
      <c r="C87" s="299"/>
      <c r="E87" s="4215"/>
      <c r="F87" s="388" t="s">
        <v>611</v>
      </c>
      <c r="G87" s="413">
        <f t="shared" ref="G87:M87" si="39">G85-G86</f>
        <v>0</v>
      </c>
      <c r="H87" s="395">
        <f t="shared" si="39"/>
        <v>0</v>
      </c>
      <c r="I87" s="395">
        <f t="shared" si="39"/>
        <v>0</v>
      </c>
      <c r="J87" s="395">
        <f t="shared" si="39"/>
        <v>0</v>
      </c>
      <c r="K87" s="396">
        <f t="shared" si="39"/>
        <v>0</v>
      </c>
      <c r="L87" s="1107">
        <f t="shared" si="39"/>
        <v>0</v>
      </c>
      <c r="M87" s="395">
        <f t="shared" si="39"/>
        <v>0</v>
      </c>
      <c r="N87" s="395">
        <f>N85-N86</f>
        <v>0</v>
      </c>
      <c r="O87" s="395">
        <f>O85-O86</f>
        <v>0</v>
      </c>
      <c r="P87" s="396">
        <f>P85-P86</f>
        <v>0</v>
      </c>
      <c r="Q87" s="1266"/>
      <c r="R87" s="482"/>
      <c r="S87" s="482"/>
      <c r="T87" s="482"/>
      <c r="U87" s="482"/>
      <c r="V87" s="482"/>
      <c r="W87" s="501"/>
      <c r="AA87" s="1781">
        <f t="shared" ref="AA87:AH87" si="40">AA85-AA86</f>
        <v>0</v>
      </c>
      <c r="AB87" s="1782">
        <f t="shared" si="40"/>
        <v>0</v>
      </c>
      <c r="AC87" s="1782">
        <f t="shared" si="40"/>
        <v>0</v>
      </c>
      <c r="AD87" s="1782">
        <f t="shared" si="40"/>
        <v>0</v>
      </c>
      <c r="AE87" s="1783">
        <f t="shared" si="40"/>
        <v>0</v>
      </c>
      <c r="AF87" s="1784">
        <f t="shared" si="40"/>
        <v>0</v>
      </c>
      <c r="AG87" s="1782">
        <f t="shared" si="40"/>
        <v>0</v>
      </c>
      <c r="AH87" s="1783">
        <f t="shared" si="40"/>
        <v>0</v>
      </c>
    </row>
    <row r="88" spans="1:34" ht="12.75" customHeight="1" outlineLevel="2">
      <c r="A88" s="299"/>
      <c r="B88" s="299"/>
      <c r="C88" s="299"/>
      <c r="E88" s="4216" t="s">
        <v>91</v>
      </c>
      <c r="F88" s="3106" t="s">
        <v>605</v>
      </c>
      <c r="G88" s="499"/>
      <c r="H88" s="494"/>
      <c r="I88" s="494"/>
      <c r="J88" s="494"/>
      <c r="K88" s="507"/>
      <c r="L88" s="1105"/>
      <c r="M88" s="494"/>
      <c r="N88" s="494"/>
      <c r="O88" s="494"/>
      <c r="P88" s="507"/>
      <c r="Q88" s="1266"/>
      <c r="R88" s="482"/>
      <c r="S88" s="482"/>
      <c r="T88" s="482"/>
      <c r="U88" s="482"/>
      <c r="V88" s="482"/>
      <c r="W88" s="501"/>
      <c r="AA88" s="489"/>
      <c r="AB88" s="490"/>
      <c r="AC88" s="490"/>
      <c r="AD88" s="490"/>
      <c r="AE88" s="491"/>
      <c r="AF88" s="538"/>
      <c r="AG88" s="490"/>
      <c r="AH88" s="491"/>
    </row>
    <row r="89" spans="1:34" ht="12.75" customHeight="1" outlineLevel="2">
      <c r="A89" s="299"/>
      <c r="B89" s="299"/>
      <c r="C89" s="299"/>
      <c r="E89" s="4214"/>
      <c r="F89" s="3102" t="s">
        <v>609</v>
      </c>
      <c r="G89" s="486"/>
      <c r="H89" s="485"/>
      <c r="I89" s="485"/>
      <c r="J89" s="485"/>
      <c r="K89" s="487"/>
      <c r="L89" s="444"/>
      <c r="M89" s="485"/>
      <c r="N89" s="485"/>
      <c r="O89" s="485"/>
      <c r="P89" s="487"/>
      <c r="Q89" s="1266"/>
      <c r="R89" s="482"/>
      <c r="S89" s="482"/>
      <c r="T89" s="482"/>
      <c r="U89" s="482"/>
      <c r="V89" s="482"/>
      <c r="W89" s="501"/>
      <c r="AA89" s="489"/>
      <c r="AB89" s="490"/>
      <c r="AC89" s="490"/>
      <c r="AD89" s="490"/>
      <c r="AE89" s="491"/>
      <c r="AF89" s="538"/>
      <c r="AG89" s="490"/>
      <c r="AH89" s="491"/>
    </row>
    <row r="90" spans="1:34" ht="12.75" customHeight="1" outlineLevel="2">
      <c r="A90" s="299"/>
      <c r="B90" s="299"/>
      <c r="C90" s="299"/>
      <c r="E90" s="4214"/>
      <c r="F90" s="3102" t="s">
        <v>607</v>
      </c>
      <c r="G90" s="486"/>
      <c r="H90" s="485"/>
      <c r="I90" s="485"/>
      <c r="J90" s="485"/>
      <c r="K90" s="487"/>
      <c r="L90" s="444"/>
      <c r="M90" s="485"/>
      <c r="N90" s="485"/>
      <c r="O90" s="485"/>
      <c r="P90" s="487"/>
      <c r="Q90" s="1266"/>
      <c r="R90" s="482"/>
      <c r="S90" s="482"/>
      <c r="T90" s="482"/>
      <c r="U90" s="482"/>
      <c r="V90" s="482"/>
      <c r="W90" s="501"/>
      <c r="AA90" s="489"/>
      <c r="AB90" s="490"/>
      <c r="AC90" s="490"/>
      <c r="AD90" s="490"/>
      <c r="AE90" s="491"/>
      <c r="AF90" s="538"/>
      <c r="AG90" s="490"/>
      <c r="AH90" s="491"/>
    </row>
    <row r="91" spans="1:34" ht="12.75" customHeight="1" outlineLevel="2">
      <c r="A91" s="299"/>
      <c r="B91" s="299"/>
      <c r="C91" s="299"/>
      <c r="E91" s="4214"/>
      <c r="F91" s="3106" t="s">
        <v>610</v>
      </c>
      <c r="G91" s="412">
        <f t="shared" ref="G91:P91" si="41">SUM(G89:G90)</f>
        <v>0</v>
      </c>
      <c r="H91" s="393">
        <f t="shared" si="41"/>
        <v>0</v>
      </c>
      <c r="I91" s="393">
        <f t="shared" si="41"/>
        <v>0</v>
      </c>
      <c r="J91" s="393">
        <f t="shared" si="41"/>
        <v>0</v>
      </c>
      <c r="K91" s="394">
        <f t="shared" si="41"/>
        <v>0</v>
      </c>
      <c r="L91" s="1106">
        <f t="shared" si="41"/>
        <v>0</v>
      </c>
      <c r="M91" s="393">
        <f t="shared" si="41"/>
        <v>0</v>
      </c>
      <c r="N91" s="393">
        <f t="shared" si="41"/>
        <v>0</v>
      </c>
      <c r="O91" s="393">
        <f t="shared" si="41"/>
        <v>0</v>
      </c>
      <c r="P91" s="394">
        <f t="shared" si="41"/>
        <v>0</v>
      </c>
      <c r="Q91" s="1266"/>
      <c r="R91" s="482"/>
      <c r="S91" s="482"/>
      <c r="T91" s="482"/>
      <c r="U91" s="482"/>
      <c r="V91" s="482"/>
      <c r="W91" s="501"/>
      <c r="AA91" s="1777">
        <f t="shared" ref="AA91:AH91" si="42">SUM(AA89:AA90)</f>
        <v>0</v>
      </c>
      <c r="AB91" s="1778">
        <f t="shared" si="42"/>
        <v>0</v>
      </c>
      <c r="AC91" s="1778">
        <f t="shared" si="42"/>
        <v>0</v>
      </c>
      <c r="AD91" s="1778">
        <f t="shared" si="42"/>
        <v>0</v>
      </c>
      <c r="AE91" s="1779">
        <f t="shared" si="42"/>
        <v>0</v>
      </c>
      <c r="AF91" s="1780">
        <f t="shared" si="42"/>
        <v>0</v>
      </c>
      <c r="AG91" s="1778">
        <f t="shared" si="42"/>
        <v>0</v>
      </c>
      <c r="AH91" s="1779">
        <f t="shared" si="42"/>
        <v>0</v>
      </c>
    </row>
    <row r="92" spans="1:34" ht="12.75" customHeight="1" outlineLevel="2">
      <c r="A92" s="299"/>
      <c r="B92" s="299"/>
      <c r="C92" s="299"/>
      <c r="E92" s="4214"/>
      <c r="F92" s="3102" t="s">
        <v>35</v>
      </c>
      <c r="G92" s="486"/>
      <c r="H92" s="485"/>
      <c r="I92" s="485"/>
      <c r="J92" s="485"/>
      <c r="K92" s="487"/>
      <c r="L92" s="444"/>
      <c r="M92" s="485"/>
      <c r="N92" s="485"/>
      <c r="O92" s="485"/>
      <c r="P92" s="487"/>
      <c r="Q92" s="1266"/>
      <c r="R92" s="482"/>
      <c r="S92" s="482"/>
      <c r="T92" s="482"/>
      <c r="U92" s="482"/>
      <c r="V92" s="482"/>
      <c r="W92" s="501"/>
      <c r="AA92" s="489"/>
      <c r="AB92" s="490"/>
      <c r="AC92" s="490"/>
      <c r="AD92" s="490"/>
      <c r="AE92" s="491"/>
      <c r="AF92" s="538"/>
      <c r="AG92" s="490"/>
      <c r="AH92" s="491"/>
    </row>
    <row r="93" spans="1:34" ht="13.5" customHeight="1" outlineLevel="2" thickBot="1">
      <c r="A93" s="299"/>
      <c r="B93" s="299"/>
      <c r="C93" s="299"/>
      <c r="E93" s="4215"/>
      <c r="F93" s="388" t="s">
        <v>611</v>
      </c>
      <c r="G93" s="413">
        <f t="shared" ref="G93:P93" si="43">G91-G92</f>
        <v>0</v>
      </c>
      <c r="H93" s="395">
        <f t="shared" si="43"/>
        <v>0</v>
      </c>
      <c r="I93" s="395">
        <f t="shared" si="43"/>
        <v>0</v>
      </c>
      <c r="J93" s="395">
        <f t="shared" si="43"/>
        <v>0</v>
      </c>
      <c r="K93" s="396">
        <f t="shared" si="43"/>
        <v>0</v>
      </c>
      <c r="L93" s="1107">
        <f t="shared" si="43"/>
        <v>0</v>
      </c>
      <c r="M93" s="395">
        <f t="shared" si="43"/>
        <v>0</v>
      </c>
      <c r="N93" s="395">
        <f>N91-N92</f>
        <v>0</v>
      </c>
      <c r="O93" s="395">
        <f t="shared" si="43"/>
        <v>0</v>
      </c>
      <c r="P93" s="396">
        <f t="shared" si="43"/>
        <v>0</v>
      </c>
      <c r="Q93" s="1266"/>
      <c r="R93" s="482"/>
      <c r="S93" s="482"/>
      <c r="T93" s="482"/>
      <c r="U93" s="482"/>
      <c r="V93" s="482"/>
      <c r="W93" s="501"/>
      <c r="AA93" s="1781">
        <f t="shared" ref="AA93:AH93" si="44">AA91-AA92</f>
        <v>0</v>
      </c>
      <c r="AB93" s="1782">
        <f t="shared" si="44"/>
        <v>0</v>
      </c>
      <c r="AC93" s="1782">
        <f t="shared" si="44"/>
        <v>0</v>
      </c>
      <c r="AD93" s="1782">
        <f t="shared" si="44"/>
        <v>0</v>
      </c>
      <c r="AE93" s="1783">
        <f t="shared" si="44"/>
        <v>0</v>
      </c>
      <c r="AF93" s="1784">
        <f t="shared" si="44"/>
        <v>0</v>
      </c>
      <c r="AG93" s="1782">
        <f t="shared" si="44"/>
        <v>0</v>
      </c>
      <c r="AH93" s="1783">
        <f t="shared" si="44"/>
        <v>0</v>
      </c>
    </row>
    <row r="94" spans="1:34">
      <c r="A94" s="299"/>
      <c r="B94" s="299"/>
      <c r="C94" s="299"/>
      <c r="E94" s="4193" t="s">
        <v>360</v>
      </c>
      <c r="F94" s="1434" t="s">
        <v>606</v>
      </c>
      <c r="G94" s="1775">
        <v>4253447.8436774323</v>
      </c>
      <c r="H94" s="397">
        <v>4962355.8176236702</v>
      </c>
      <c r="I94" s="397">
        <v>14414462.136906855</v>
      </c>
      <c r="J94" s="397">
        <v>4174680.2910167393</v>
      </c>
      <c r="K94" s="416">
        <v>5645007.940683011</v>
      </c>
      <c r="L94" s="1108">
        <v>7652888.2715749629</v>
      </c>
      <c r="M94" s="397">
        <v>6156363.639775807</v>
      </c>
      <c r="N94" s="397">
        <v>5710962.2041257517</v>
      </c>
      <c r="O94" s="397">
        <v>6021975.3183296993</v>
      </c>
      <c r="P94" s="416">
        <v>427707.67275170318</v>
      </c>
      <c r="Q94" s="1266"/>
      <c r="R94" s="142"/>
      <c r="S94" s="142"/>
      <c r="T94" s="142"/>
      <c r="U94" s="142"/>
      <c r="V94" s="134"/>
      <c r="W94" s="501"/>
      <c r="AA94" s="1775">
        <f t="shared" ref="AA94:AH94" ca="1" si="45">SUMIF($F$70:$P$93,"Total direct expenditure",AA70:AA93)</f>
        <v>0</v>
      </c>
      <c r="AB94" s="397">
        <f t="shared" ca="1" si="45"/>
        <v>0</v>
      </c>
      <c r="AC94" s="397">
        <f t="shared" ca="1" si="45"/>
        <v>0</v>
      </c>
      <c r="AD94" s="397">
        <f t="shared" ca="1" si="45"/>
        <v>0</v>
      </c>
      <c r="AE94" s="416">
        <f t="shared" ca="1" si="45"/>
        <v>0</v>
      </c>
      <c r="AF94" s="1108">
        <f t="shared" ca="1" si="45"/>
        <v>0</v>
      </c>
      <c r="AG94" s="397">
        <f t="shared" ca="1" si="45"/>
        <v>0</v>
      </c>
      <c r="AH94" s="416">
        <f t="shared" ca="1" si="45"/>
        <v>0</v>
      </c>
    </row>
    <row r="95" spans="1:34">
      <c r="A95" s="299"/>
      <c r="B95" s="299"/>
      <c r="C95" s="299"/>
      <c r="E95" s="4194"/>
      <c r="F95" s="1451" t="s">
        <v>12</v>
      </c>
      <c r="G95" s="398">
        <f ca="1">SUMIF($F$70:$P$93,"Total overhead expenditure",G70:G93)</f>
        <v>0</v>
      </c>
      <c r="H95" s="399">
        <f ca="1">SUMIF($F$70:$P$93,"Total overhead expenditure",H70:H93)</f>
        <v>0</v>
      </c>
      <c r="I95" s="399">
        <f ca="1">SUMIF($F$70:$P$93,"Total overhead expenditure",I70:I93)</f>
        <v>0</v>
      </c>
      <c r="J95" s="399">
        <f ca="1">SUMIF($F$70:$P$93,"Total overhead expenditure",J70:J93)</f>
        <v>0</v>
      </c>
      <c r="K95" s="414">
        <f ca="1">SUMIF($F$70:$P$93,"Total overhead expenditure",K70:K93)</f>
        <v>0</v>
      </c>
      <c r="L95" s="1109">
        <f>L94*0.04194</f>
        <v>320962.13410985394</v>
      </c>
      <c r="M95" s="1109">
        <f>M94*0.04194</f>
        <v>258197.89105219734</v>
      </c>
      <c r="N95" s="1109">
        <f>N94*0.04194</f>
        <v>239517.75484103401</v>
      </c>
      <c r="O95" s="1109">
        <f>O94*0.04194</f>
        <v>252561.64485074757</v>
      </c>
      <c r="P95" s="1109">
        <f>P94*0.04194</f>
        <v>17938.059795206431</v>
      </c>
      <c r="Q95" s="1266"/>
      <c r="R95" s="23"/>
      <c r="S95" s="23"/>
      <c r="T95" s="23"/>
      <c r="U95" s="23"/>
      <c r="V95" s="23"/>
      <c r="W95" s="501"/>
      <c r="AA95" s="398">
        <f t="shared" ref="AA95:AH95" ca="1" si="46">SUMIF($F$70:$P$93,"Total overhead expenditure",AA70:AA93)</f>
        <v>0</v>
      </c>
      <c r="AB95" s="399">
        <f t="shared" ca="1" si="46"/>
        <v>0</v>
      </c>
      <c r="AC95" s="399">
        <f t="shared" ca="1" si="46"/>
        <v>0</v>
      </c>
      <c r="AD95" s="399">
        <f t="shared" ca="1" si="46"/>
        <v>0</v>
      </c>
      <c r="AE95" s="414">
        <f t="shared" ca="1" si="46"/>
        <v>0</v>
      </c>
      <c r="AF95" s="1109">
        <f t="shared" ca="1" si="46"/>
        <v>0</v>
      </c>
      <c r="AG95" s="399">
        <f t="shared" ca="1" si="46"/>
        <v>0</v>
      </c>
      <c r="AH95" s="414">
        <f t="shared" ca="1" si="46"/>
        <v>0</v>
      </c>
    </row>
    <row r="96" spans="1:34">
      <c r="A96" s="299"/>
      <c r="B96" s="299"/>
      <c r="C96" s="299"/>
      <c r="E96" s="4194"/>
      <c r="F96" s="1451" t="s">
        <v>607</v>
      </c>
      <c r="G96" s="398">
        <f t="shared" ref="G96:P96" ca="1" si="47">SUMIF($F$70:$P$93,"Related party margin expenditure",G70:G93)</f>
        <v>0</v>
      </c>
      <c r="H96" s="399">
        <f t="shared" ca="1" si="47"/>
        <v>0</v>
      </c>
      <c r="I96" s="399">
        <f t="shared" ca="1" si="47"/>
        <v>0</v>
      </c>
      <c r="J96" s="399">
        <f t="shared" ca="1" si="47"/>
        <v>0</v>
      </c>
      <c r="K96" s="414">
        <f t="shared" ca="1" si="47"/>
        <v>0</v>
      </c>
      <c r="L96" s="1109">
        <f t="shared" ca="1" si="47"/>
        <v>0</v>
      </c>
      <c r="M96" s="399">
        <f t="shared" ca="1" si="47"/>
        <v>0</v>
      </c>
      <c r="N96" s="399">
        <f t="shared" ca="1" si="47"/>
        <v>0</v>
      </c>
      <c r="O96" s="399">
        <f t="shared" ca="1" si="47"/>
        <v>0</v>
      </c>
      <c r="P96" s="414">
        <f t="shared" ca="1" si="47"/>
        <v>0</v>
      </c>
      <c r="Q96" s="1266"/>
      <c r="R96" s="23"/>
      <c r="S96" s="23"/>
      <c r="T96" s="23"/>
      <c r="U96" s="23"/>
      <c r="V96" s="23"/>
      <c r="W96" s="501"/>
      <c r="AA96" s="398">
        <f t="shared" ref="AA96:AH96" ca="1" si="48">SUMIF($F$70:$P$93,"Related party margin expenditure",AA70:AA93)</f>
        <v>0</v>
      </c>
      <c r="AB96" s="399">
        <f t="shared" ca="1" si="48"/>
        <v>0</v>
      </c>
      <c r="AC96" s="399">
        <f t="shared" ca="1" si="48"/>
        <v>0</v>
      </c>
      <c r="AD96" s="399">
        <f t="shared" ca="1" si="48"/>
        <v>0</v>
      </c>
      <c r="AE96" s="414">
        <f t="shared" ca="1" si="48"/>
        <v>0</v>
      </c>
      <c r="AF96" s="1109">
        <f t="shared" ca="1" si="48"/>
        <v>0</v>
      </c>
      <c r="AG96" s="399">
        <f t="shared" ca="1" si="48"/>
        <v>0</v>
      </c>
      <c r="AH96" s="414">
        <f t="shared" ca="1" si="48"/>
        <v>0</v>
      </c>
    </row>
    <row r="97" spans="1:34" s="69" customFormat="1">
      <c r="A97" s="348"/>
      <c r="B97" s="348"/>
      <c r="C97" s="348"/>
      <c r="D97" s="348"/>
      <c r="E97" s="4194"/>
      <c r="F97" s="840" t="s">
        <v>610</v>
      </c>
      <c r="G97" s="400">
        <f ca="1">SUM(G94:G96)</f>
        <v>4253447.8436774323</v>
      </c>
      <c r="H97" s="400">
        <f t="shared" ref="H97:P97" ca="1" si="49">SUM(H94:H96)</f>
        <v>4962355.8176236702</v>
      </c>
      <c r="I97" s="400">
        <f t="shared" ca="1" si="49"/>
        <v>14414462.136906855</v>
      </c>
      <c r="J97" s="400">
        <f t="shared" ca="1" si="49"/>
        <v>4174680.2910167393</v>
      </c>
      <c r="K97" s="400">
        <f t="shared" ca="1" si="49"/>
        <v>5645007.940683011</v>
      </c>
      <c r="L97" s="400">
        <f t="shared" ca="1" si="49"/>
        <v>7973850.4056848167</v>
      </c>
      <c r="M97" s="400">
        <f t="shared" ca="1" si="49"/>
        <v>6414561.5308280047</v>
      </c>
      <c r="N97" s="400">
        <f t="shared" ca="1" si="49"/>
        <v>5950479.958966786</v>
      </c>
      <c r="O97" s="400">
        <f t="shared" ca="1" si="49"/>
        <v>6274536.963180447</v>
      </c>
      <c r="P97" s="400">
        <f t="shared" ca="1" si="49"/>
        <v>445645.7325469096</v>
      </c>
      <c r="Q97" s="1266"/>
      <c r="R97" s="134"/>
      <c r="S97" s="134"/>
      <c r="T97" s="134"/>
      <c r="U97" s="134"/>
      <c r="V97" s="134"/>
      <c r="W97" s="1266"/>
      <c r="X97"/>
      <c r="Y97"/>
      <c r="Z97"/>
      <c r="AA97" s="400">
        <f t="shared" ref="AA97:AH97" ca="1" si="50">SUMIF($F$70:$P$93,"Total gross expenditure",AA70:AA93)</f>
        <v>0</v>
      </c>
      <c r="AB97" s="390">
        <f t="shared" ca="1" si="50"/>
        <v>0</v>
      </c>
      <c r="AC97" s="390">
        <f t="shared" ca="1" si="50"/>
        <v>0</v>
      </c>
      <c r="AD97" s="390">
        <f t="shared" ca="1" si="50"/>
        <v>0</v>
      </c>
      <c r="AE97" s="415">
        <f t="shared" ca="1" si="50"/>
        <v>0</v>
      </c>
      <c r="AF97" s="389">
        <f t="shared" ca="1" si="50"/>
        <v>0</v>
      </c>
      <c r="AG97" s="390">
        <f t="shared" ca="1" si="50"/>
        <v>0</v>
      </c>
      <c r="AH97" s="415">
        <f t="shared" ca="1" si="50"/>
        <v>0</v>
      </c>
    </row>
    <row r="98" spans="1:34" s="69" customFormat="1">
      <c r="A98" s="348"/>
      <c r="B98" s="348"/>
      <c r="C98" s="348"/>
      <c r="D98" s="348"/>
      <c r="E98" s="4194"/>
      <c r="F98" s="1451" t="s">
        <v>35</v>
      </c>
      <c r="G98" s="398">
        <f t="shared" ref="G98:P98" ca="1" si="51">SUMIF($F$70:$P$93,"Less customer contributions",G70:G93)</f>
        <v>0</v>
      </c>
      <c r="H98" s="399">
        <f t="shared" ca="1" si="51"/>
        <v>0</v>
      </c>
      <c r="I98" s="399">
        <f t="shared" ca="1" si="51"/>
        <v>0</v>
      </c>
      <c r="J98" s="399">
        <f t="shared" ca="1" si="51"/>
        <v>0</v>
      </c>
      <c r="K98" s="414">
        <f t="shared" ca="1" si="51"/>
        <v>0</v>
      </c>
      <c r="L98" s="1109">
        <f t="shared" ca="1" si="51"/>
        <v>0</v>
      </c>
      <c r="M98" s="399">
        <f t="shared" ca="1" si="51"/>
        <v>0</v>
      </c>
      <c r="N98" s="399">
        <f t="shared" ca="1" si="51"/>
        <v>0</v>
      </c>
      <c r="O98" s="399">
        <f t="shared" ca="1" si="51"/>
        <v>0</v>
      </c>
      <c r="P98" s="414">
        <f t="shared" ca="1" si="51"/>
        <v>0</v>
      </c>
      <c r="Q98" s="1266"/>
      <c r="R98" s="133"/>
      <c r="S98" s="133"/>
      <c r="T98" s="133"/>
      <c r="U98" s="133"/>
      <c r="V98" s="133"/>
      <c r="W98" s="1266"/>
      <c r="X98"/>
      <c r="Y98"/>
      <c r="Z98"/>
      <c r="AA98" s="398">
        <f t="shared" ref="AA98:AH98" ca="1" si="52">SUMIF($F$70:$P$93,"Less customer contributions",AA70:AA93)</f>
        <v>0</v>
      </c>
      <c r="AB98" s="399">
        <f t="shared" ca="1" si="52"/>
        <v>0</v>
      </c>
      <c r="AC98" s="399">
        <f t="shared" ca="1" si="52"/>
        <v>0</v>
      </c>
      <c r="AD98" s="399">
        <f t="shared" ca="1" si="52"/>
        <v>0</v>
      </c>
      <c r="AE98" s="414">
        <f t="shared" ca="1" si="52"/>
        <v>0</v>
      </c>
      <c r="AF98" s="1109">
        <f t="shared" ca="1" si="52"/>
        <v>0</v>
      </c>
      <c r="AG98" s="399">
        <f t="shared" ca="1" si="52"/>
        <v>0</v>
      </c>
      <c r="AH98" s="414">
        <f t="shared" ca="1" si="52"/>
        <v>0</v>
      </c>
    </row>
    <row r="99" spans="1:34" s="69" customFormat="1" ht="13.5" thickBot="1">
      <c r="A99" s="348"/>
      <c r="B99" s="348"/>
      <c r="C99" s="348"/>
      <c r="D99" s="348"/>
      <c r="E99" s="4195"/>
      <c r="F99" s="1452" t="s">
        <v>611</v>
      </c>
      <c r="G99" s="1776">
        <f ca="1">G97-G98</f>
        <v>4253447.8436774323</v>
      </c>
      <c r="H99" s="1776">
        <f t="shared" ref="H99:P99" ca="1" si="53">H97-H98</f>
        <v>4962355.8176236702</v>
      </c>
      <c r="I99" s="1776">
        <f t="shared" ca="1" si="53"/>
        <v>14414462.136906855</v>
      </c>
      <c r="J99" s="1776">
        <f t="shared" ca="1" si="53"/>
        <v>4174680.2910167393</v>
      </c>
      <c r="K99" s="1776">
        <f t="shared" ca="1" si="53"/>
        <v>5645007.940683011</v>
      </c>
      <c r="L99" s="1776">
        <f t="shared" ca="1" si="53"/>
        <v>7973850.4056848167</v>
      </c>
      <c r="M99" s="1776">
        <f t="shared" ca="1" si="53"/>
        <v>6414561.5308280047</v>
      </c>
      <c r="N99" s="1776">
        <f t="shared" ca="1" si="53"/>
        <v>5950479.958966786</v>
      </c>
      <c r="O99" s="1776">
        <f t="shared" ca="1" si="53"/>
        <v>6274536.963180447</v>
      </c>
      <c r="P99" s="1776">
        <f t="shared" ca="1" si="53"/>
        <v>445645.7325469096</v>
      </c>
      <c r="Q99" s="1266"/>
      <c r="R99" s="1266"/>
      <c r="S99" s="1266"/>
      <c r="T99" s="1266"/>
      <c r="U99" s="1266"/>
      <c r="V99" s="1266"/>
      <c r="W99" s="1266"/>
      <c r="X99"/>
      <c r="Y99"/>
      <c r="Z99"/>
      <c r="AA99" s="1776">
        <f t="shared" ref="AA99:AH99" ca="1" si="54">SUMIF($F$70:$P$93,"Total net expenditure",AA70:AA93)</f>
        <v>0</v>
      </c>
      <c r="AB99" s="417">
        <f t="shared" ca="1" si="54"/>
        <v>0</v>
      </c>
      <c r="AC99" s="417">
        <f t="shared" ca="1" si="54"/>
        <v>0</v>
      </c>
      <c r="AD99" s="417">
        <f t="shared" ca="1" si="54"/>
        <v>0</v>
      </c>
      <c r="AE99" s="418">
        <f t="shared" ca="1" si="54"/>
        <v>0</v>
      </c>
      <c r="AF99" s="1110">
        <f t="shared" ca="1" si="54"/>
        <v>0</v>
      </c>
      <c r="AG99" s="417">
        <f t="shared" ca="1" si="54"/>
        <v>0</v>
      </c>
      <c r="AH99" s="418">
        <f t="shared" ca="1" si="54"/>
        <v>0</v>
      </c>
    </row>
    <row r="100" spans="1:34" s="69" customFormat="1" ht="40.5" customHeight="1" thickBot="1">
      <c r="A100" s="348"/>
      <c r="B100" s="348"/>
      <c r="C100" s="348"/>
      <c r="D100" s="348"/>
      <c r="E100" s="4196" t="s">
        <v>127</v>
      </c>
      <c r="F100" s="4197"/>
      <c r="G100" s="300"/>
      <c r="H100" s="3525"/>
      <c r="I100" s="3525"/>
      <c r="J100" s="3525"/>
      <c r="K100" s="3525"/>
      <c r="L100" s="3525"/>
      <c r="M100" s="3525"/>
      <c r="N100" s="3525"/>
      <c r="O100" s="3525"/>
      <c r="P100" s="3526"/>
      <c r="Q100" s="1266"/>
      <c r="R100" s="1266"/>
      <c r="S100" s="1266"/>
      <c r="T100" s="1266"/>
      <c r="U100" s="1266"/>
      <c r="V100" s="1266"/>
      <c r="W100" s="1266"/>
      <c r="X100"/>
      <c r="Y100"/>
      <c r="Z100"/>
      <c r="AA100" s="1762"/>
      <c r="AB100" s="1785"/>
      <c r="AC100" s="1785"/>
      <c r="AD100" s="1785"/>
      <c r="AE100" s="1785"/>
      <c r="AF100" s="1785"/>
      <c r="AG100" s="1785"/>
      <c r="AH100" s="1786"/>
    </row>
    <row r="101" spans="1:34" collapsed="1">
      <c r="A101" s="299"/>
      <c r="B101" s="299"/>
      <c r="C101" s="299"/>
    </row>
    <row r="102" spans="1:34">
      <c r="A102" s="299"/>
      <c r="B102" s="299"/>
      <c r="C102" s="299"/>
      <c r="F102" s="91"/>
      <c r="G102" s="91"/>
      <c r="H102" s="91"/>
      <c r="I102" s="91"/>
      <c r="J102" s="91"/>
      <c r="AA102" s="482"/>
      <c r="AB102" s="482"/>
      <c r="AC102" s="482"/>
      <c r="AD102" s="482"/>
    </row>
    <row r="103" spans="1:34">
      <c r="A103" s="299"/>
      <c r="B103" s="299"/>
      <c r="C103" s="299"/>
      <c r="F103" s="134"/>
      <c r="G103" s="134"/>
      <c r="H103" s="134"/>
      <c r="I103" s="134"/>
      <c r="J103" s="134"/>
      <c r="AA103" s="134"/>
      <c r="AB103" s="134"/>
      <c r="AC103" s="134"/>
      <c r="AD103" s="134"/>
    </row>
    <row r="104" spans="1:34">
      <c r="A104" s="299"/>
      <c r="B104" s="299"/>
      <c r="C104" s="299"/>
      <c r="F104" s="91"/>
      <c r="G104" s="91"/>
      <c r="H104" s="91"/>
      <c r="I104" s="91"/>
      <c r="J104" s="91"/>
      <c r="AA104" s="482"/>
      <c r="AB104" s="482"/>
      <c r="AC104" s="482"/>
      <c r="AD104" s="482"/>
    </row>
    <row r="105" spans="1:34">
      <c r="F105" s="91"/>
      <c r="G105" s="91"/>
      <c r="H105" s="91"/>
      <c r="I105" s="91"/>
      <c r="J105" s="91"/>
      <c r="AA105" s="482"/>
      <c r="AB105" s="482"/>
      <c r="AC105" s="482"/>
      <c r="AD105" s="482"/>
    </row>
    <row r="106" spans="1:34">
      <c r="F106" s="91"/>
      <c r="G106" s="91"/>
      <c r="H106" s="91"/>
      <c r="I106" s="91"/>
      <c r="J106" s="91"/>
      <c r="AA106" s="482"/>
      <c r="AB106" s="482"/>
      <c r="AC106" s="482"/>
      <c r="AD106" s="482"/>
    </row>
    <row r="107" spans="1:34">
      <c r="F107" s="91"/>
      <c r="G107" s="91"/>
      <c r="H107" s="91"/>
      <c r="I107" s="91"/>
      <c r="J107" s="91"/>
      <c r="AA107" s="482"/>
      <c r="AB107" s="482"/>
      <c r="AC107" s="482"/>
      <c r="AD107" s="482"/>
    </row>
    <row r="108" spans="1:34">
      <c r="F108" s="91"/>
      <c r="G108" s="91"/>
      <c r="H108" s="91"/>
      <c r="I108" s="91"/>
      <c r="J108" s="91"/>
      <c r="AA108" s="482"/>
      <c r="AB108" s="482"/>
      <c r="AC108" s="482"/>
      <c r="AD108" s="482"/>
    </row>
    <row r="109" spans="1:34">
      <c r="F109" s="91"/>
      <c r="G109" s="91"/>
      <c r="H109" s="91"/>
      <c r="I109" s="91"/>
      <c r="J109" s="91"/>
      <c r="AA109" s="482"/>
      <c r="AB109" s="482"/>
      <c r="AC109" s="482"/>
      <c r="AD109" s="482"/>
    </row>
    <row r="110" spans="1:34">
      <c r="F110" s="91"/>
      <c r="G110" s="91"/>
      <c r="H110" s="91"/>
      <c r="I110" s="91"/>
      <c r="J110" s="91"/>
      <c r="AA110" s="482"/>
      <c r="AB110" s="482"/>
      <c r="AC110" s="482"/>
      <c r="AD110" s="482"/>
    </row>
    <row r="111" spans="1:34">
      <c r="F111" s="91"/>
      <c r="G111" s="91"/>
      <c r="H111" s="91"/>
      <c r="I111" s="91"/>
      <c r="J111" s="91"/>
      <c r="AA111" s="482"/>
      <c r="AB111" s="482"/>
      <c r="AC111" s="482"/>
      <c r="AD111" s="482"/>
    </row>
    <row r="112" spans="1:34">
      <c r="F112" s="91"/>
      <c r="G112" s="91"/>
      <c r="H112" s="91"/>
      <c r="I112" s="91"/>
      <c r="J112" s="91"/>
      <c r="AA112" s="482"/>
      <c r="AB112" s="482"/>
      <c r="AC112" s="482"/>
      <c r="AD112" s="482"/>
    </row>
    <row r="113" spans="6:30">
      <c r="F113" s="91"/>
      <c r="G113" s="91"/>
      <c r="H113" s="91"/>
      <c r="I113" s="91"/>
      <c r="J113" s="91"/>
      <c r="AA113" s="482"/>
      <c r="AB113" s="482"/>
      <c r="AC113" s="482"/>
      <c r="AD113" s="482"/>
    </row>
    <row r="114" spans="6:30">
      <c r="F114" s="91"/>
      <c r="G114" s="91"/>
      <c r="H114" s="91"/>
      <c r="I114" s="91"/>
      <c r="J114" s="91"/>
      <c r="AA114" s="482"/>
      <c r="AB114" s="482"/>
      <c r="AC114" s="482"/>
      <c r="AD114" s="482"/>
    </row>
    <row r="115" spans="6:30">
      <c r="F115" s="134"/>
      <c r="G115" s="134"/>
      <c r="H115" s="134"/>
      <c r="I115" s="134"/>
      <c r="J115" s="134"/>
      <c r="AA115" s="134"/>
      <c r="AB115" s="134"/>
      <c r="AC115" s="134"/>
      <c r="AD115" s="134"/>
    </row>
    <row r="116" spans="6:30">
      <c r="F116" s="91"/>
      <c r="G116" s="91"/>
      <c r="H116" s="91"/>
      <c r="I116" s="91"/>
      <c r="J116" s="91"/>
      <c r="AA116" s="482"/>
      <c r="AB116" s="482"/>
      <c r="AC116" s="482"/>
      <c r="AD116" s="482"/>
    </row>
    <row r="117" spans="6:30">
      <c r="F117" s="91"/>
      <c r="G117" s="91"/>
      <c r="H117" s="91"/>
      <c r="I117" s="91"/>
      <c r="J117" s="91"/>
      <c r="AA117" s="482"/>
      <c r="AB117" s="482"/>
      <c r="AC117" s="482"/>
      <c r="AD117" s="482"/>
    </row>
    <row r="118" spans="6:30">
      <c r="F118" s="91"/>
      <c r="G118" s="91"/>
      <c r="H118" s="91"/>
      <c r="I118" s="91"/>
      <c r="J118" s="91"/>
      <c r="AA118" s="482"/>
      <c r="AB118" s="482"/>
      <c r="AC118" s="482"/>
      <c r="AD118" s="482"/>
    </row>
    <row r="119" spans="6:30">
      <c r="F119" s="91"/>
      <c r="G119" s="91"/>
      <c r="H119" s="91"/>
      <c r="I119" s="91"/>
      <c r="J119" s="91"/>
      <c r="AA119" s="482"/>
      <c r="AB119" s="482"/>
      <c r="AC119" s="482"/>
      <c r="AD119" s="482"/>
    </row>
    <row r="120" spans="6:30">
      <c r="F120" s="91"/>
      <c r="G120" s="91"/>
      <c r="H120" s="91"/>
      <c r="I120" s="91"/>
      <c r="J120" s="91"/>
      <c r="AA120" s="482"/>
      <c r="AB120" s="482"/>
      <c r="AC120" s="482"/>
      <c r="AD120" s="482"/>
    </row>
    <row r="121" spans="6:30">
      <c r="F121" s="91"/>
      <c r="G121" s="91"/>
      <c r="H121" s="91"/>
      <c r="I121" s="91"/>
      <c r="J121" s="91"/>
      <c r="AA121" s="482"/>
      <c r="AB121" s="482"/>
      <c r="AC121" s="482"/>
      <c r="AD121" s="482"/>
    </row>
    <row r="122" spans="6:30">
      <c r="F122" s="91"/>
      <c r="G122" s="91"/>
      <c r="H122" s="91"/>
      <c r="I122" s="91"/>
      <c r="J122" s="91"/>
      <c r="AA122" s="482"/>
      <c r="AB122" s="482"/>
      <c r="AC122" s="482"/>
      <c r="AD122" s="482"/>
    </row>
    <row r="123" spans="6:30">
      <c r="F123" s="91"/>
      <c r="G123" s="91"/>
      <c r="H123" s="91"/>
      <c r="I123" s="91"/>
      <c r="J123" s="91"/>
      <c r="AA123" s="482"/>
      <c r="AB123" s="482"/>
      <c r="AC123" s="482"/>
      <c r="AD123" s="482"/>
    </row>
    <row r="124" spans="6:30">
      <c r="F124" s="91"/>
      <c r="G124" s="91"/>
      <c r="H124" s="91"/>
      <c r="I124" s="91"/>
      <c r="J124" s="91"/>
      <c r="AA124" s="482"/>
      <c r="AB124" s="482"/>
      <c r="AC124" s="482"/>
      <c r="AD124" s="482"/>
    </row>
    <row r="125" spans="6:30">
      <c r="F125" s="91"/>
      <c r="G125" s="91"/>
      <c r="H125" s="91"/>
      <c r="I125" s="91"/>
      <c r="J125" s="91"/>
      <c r="AA125" s="482"/>
      <c r="AB125" s="482"/>
      <c r="AC125" s="482"/>
      <c r="AD125" s="482"/>
    </row>
    <row r="126" spans="6:30">
      <c r="F126" s="91"/>
      <c r="G126" s="91"/>
      <c r="H126" s="91"/>
      <c r="I126" s="91"/>
      <c r="J126" s="91"/>
      <c r="AA126" s="482"/>
      <c r="AB126" s="482"/>
      <c r="AC126" s="482"/>
      <c r="AD126" s="482"/>
    </row>
    <row r="127" spans="6:30">
      <c r="F127" s="129"/>
      <c r="G127" s="129"/>
      <c r="H127" s="129"/>
      <c r="I127" s="129"/>
      <c r="J127" s="129"/>
      <c r="AA127" s="1250"/>
      <c r="AB127" s="1250"/>
      <c r="AC127" s="1250"/>
      <c r="AD127" s="1250"/>
    </row>
    <row r="128" spans="6:30">
      <c r="F128" s="129"/>
      <c r="G128" s="129"/>
      <c r="H128" s="129"/>
      <c r="I128" s="129"/>
      <c r="J128" s="129"/>
      <c r="AA128" s="1250"/>
      <c r="AB128" s="1250"/>
      <c r="AC128" s="1250"/>
      <c r="AD128" s="1250"/>
    </row>
    <row r="129" spans="6:30">
      <c r="F129" s="129"/>
      <c r="G129" s="129"/>
      <c r="H129" s="129"/>
      <c r="I129" s="129"/>
      <c r="J129" s="129"/>
      <c r="AA129" s="1250"/>
      <c r="AB129" s="1250"/>
      <c r="AC129" s="1250"/>
      <c r="AD129" s="1250"/>
    </row>
    <row r="130" spans="6:30">
      <c r="F130" s="129"/>
      <c r="G130" s="129"/>
      <c r="H130" s="129"/>
      <c r="I130" s="129"/>
      <c r="J130" s="129"/>
      <c r="AA130" s="1250"/>
      <c r="AB130" s="1250"/>
      <c r="AC130" s="1250"/>
      <c r="AD130" s="1250"/>
    </row>
    <row r="131" spans="6:30">
      <c r="F131" s="129"/>
      <c r="G131" s="129"/>
      <c r="H131" s="129"/>
      <c r="I131" s="129"/>
      <c r="J131" s="129"/>
      <c r="AA131" s="1250"/>
      <c r="AB131" s="1250"/>
      <c r="AC131" s="1250"/>
      <c r="AD131" s="1250"/>
    </row>
    <row r="132" spans="6:30">
      <c r="F132" s="129"/>
      <c r="G132" s="129"/>
      <c r="H132" s="129"/>
      <c r="I132" s="129"/>
      <c r="J132" s="129"/>
      <c r="AA132" s="1250"/>
      <c r="AB132" s="1250"/>
      <c r="AC132" s="1250"/>
      <c r="AD132" s="1250"/>
    </row>
    <row r="133" spans="6:30">
      <c r="F133" s="129"/>
      <c r="G133" s="129"/>
      <c r="H133" s="129"/>
      <c r="I133" s="129"/>
      <c r="J133" s="129"/>
      <c r="AA133" s="1250"/>
      <c r="AB133" s="1250"/>
      <c r="AC133" s="1250"/>
      <c r="AD133" s="1250"/>
    </row>
    <row r="134" spans="6:30">
      <c r="F134" s="129"/>
      <c r="G134" s="129"/>
      <c r="H134" s="129"/>
      <c r="I134" s="129"/>
      <c r="J134" s="129"/>
      <c r="AA134" s="1250"/>
      <c r="AB134" s="1250"/>
      <c r="AC134" s="1250"/>
      <c r="AD134" s="1250"/>
    </row>
    <row r="135" spans="6:30">
      <c r="F135" s="129"/>
      <c r="G135" s="129"/>
      <c r="H135" s="129"/>
      <c r="I135" s="129"/>
      <c r="J135" s="129"/>
      <c r="AA135" s="1250"/>
      <c r="AB135" s="1250"/>
      <c r="AC135" s="1250"/>
      <c r="AD135" s="1250"/>
    </row>
    <row r="136" spans="6:30">
      <c r="F136" s="129"/>
      <c r="G136" s="129"/>
      <c r="H136" s="129"/>
      <c r="I136" s="129"/>
      <c r="J136" s="129"/>
      <c r="AA136" s="1250"/>
      <c r="AB136" s="1250"/>
      <c r="AC136" s="1250"/>
      <c r="AD136" s="1250"/>
    </row>
    <row r="137" spans="6:30">
      <c r="F137" s="129"/>
      <c r="G137" s="129"/>
      <c r="H137" s="129"/>
      <c r="I137" s="129"/>
      <c r="J137" s="129"/>
      <c r="AA137" s="1250"/>
      <c r="AB137" s="1250"/>
      <c r="AC137" s="1250"/>
      <c r="AD137" s="1250"/>
    </row>
    <row r="138" spans="6:30">
      <c r="F138" s="129"/>
      <c r="G138" s="129"/>
      <c r="H138" s="129"/>
      <c r="I138" s="129"/>
      <c r="J138" s="129"/>
      <c r="AA138" s="1250"/>
      <c r="AB138" s="1250"/>
      <c r="AC138" s="1250"/>
      <c r="AD138" s="1250"/>
    </row>
    <row r="139" spans="6:30">
      <c r="F139" s="129"/>
      <c r="G139" s="129"/>
      <c r="H139" s="129"/>
      <c r="I139" s="129"/>
      <c r="J139" s="129"/>
      <c r="AA139" s="1250"/>
      <c r="AB139" s="1250"/>
      <c r="AC139" s="1250"/>
      <c r="AD139" s="1250"/>
    </row>
    <row r="140" spans="6:30">
      <c r="F140" s="129"/>
      <c r="G140" s="129"/>
      <c r="H140" s="129"/>
      <c r="I140" s="129"/>
      <c r="J140" s="129"/>
      <c r="AA140" s="1250"/>
      <c r="AB140" s="1250"/>
      <c r="AC140" s="1250"/>
      <c r="AD140" s="1250"/>
    </row>
    <row r="141" spans="6:30">
      <c r="F141" s="129"/>
      <c r="G141" s="129"/>
      <c r="H141" s="129"/>
      <c r="I141" s="129"/>
      <c r="J141" s="129"/>
      <c r="AA141" s="1250"/>
      <c r="AB141" s="1250"/>
      <c r="AC141" s="1250"/>
      <c r="AD141" s="1250"/>
    </row>
    <row r="142" spans="6:30">
      <c r="F142" s="129"/>
      <c r="G142" s="129"/>
      <c r="H142" s="129"/>
      <c r="I142" s="129"/>
      <c r="J142" s="129"/>
      <c r="AA142" s="1250"/>
      <c r="AB142" s="1250"/>
      <c r="AC142" s="1250"/>
      <c r="AD142" s="1250"/>
    </row>
    <row r="143" spans="6:30">
      <c r="F143" s="129"/>
      <c r="G143" s="129"/>
      <c r="H143" s="129"/>
      <c r="I143" s="129"/>
      <c r="J143" s="129"/>
      <c r="AA143" s="1250"/>
      <c r="AB143" s="1250"/>
      <c r="AC143" s="1250"/>
      <c r="AD143" s="1250"/>
    </row>
    <row r="144" spans="6:30">
      <c r="F144" s="129"/>
      <c r="G144" s="129"/>
      <c r="H144" s="129"/>
      <c r="I144" s="129"/>
      <c r="J144" s="129"/>
      <c r="AA144" s="1250"/>
      <c r="AB144" s="1250"/>
      <c r="AC144" s="1250"/>
      <c r="AD144" s="1250"/>
    </row>
    <row r="145" spans="6:30">
      <c r="F145" s="129"/>
      <c r="G145" s="129"/>
      <c r="H145" s="129"/>
      <c r="I145" s="129"/>
      <c r="J145" s="129"/>
      <c r="AA145" s="1250"/>
      <c r="AB145" s="1250"/>
      <c r="AC145" s="1250"/>
      <c r="AD145" s="1250"/>
    </row>
    <row r="146" spans="6:30">
      <c r="F146" s="129"/>
      <c r="G146" s="129"/>
      <c r="H146" s="129"/>
      <c r="I146" s="129"/>
      <c r="J146" s="129"/>
      <c r="AA146" s="1250"/>
      <c r="AB146" s="1250"/>
      <c r="AC146" s="1250"/>
      <c r="AD146" s="1250"/>
    </row>
    <row r="147" spans="6:30">
      <c r="F147" s="129"/>
      <c r="G147" s="129"/>
      <c r="H147" s="129"/>
      <c r="I147" s="129"/>
      <c r="J147" s="129"/>
      <c r="AA147" s="1250"/>
      <c r="AB147" s="1250"/>
      <c r="AC147" s="1250"/>
      <c r="AD147" s="1250"/>
    </row>
    <row r="148" spans="6:30">
      <c r="F148" s="129"/>
      <c r="G148" s="129"/>
      <c r="H148" s="129"/>
      <c r="I148" s="129"/>
      <c r="J148" s="129"/>
      <c r="AA148" s="1250"/>
      <c r="AB148" s="1250"/>
      <c r="AC148" s="1250"/>
      <c r="AD148" s="1250"/>
    </row>
    <row r="149" spans="6:30">
      <c r="F149" s="129"/>
      <c r="G149" s="129"/>
      <c r="H149" s="129"/>
      <c r="I149" s="129"/>
      <c r="J149" s="129"/>
      <c r="AA149" s="1250"/>
      <c r="AB149" s="1250"/>
      <c r="AC149" s="1250"/>
      <c r="AD149" s="1250"/>
    </row>
    <row r="150" spans="6:30">
      <c r="F150" s="129"/>
      <c r="G150" s="129"/>
      <c r="H150" s="129"/>
      <c r="I150" s="129"/>
      <c r="J150" s="129"/>
      <c r="AA150" s="1250"/>
      <c r="AB150" s="1250"/>
      <c r="AC150" s="1250"/>
      <c r="AD150" s="1250"/>
    </row>
    <row r="151" spans="6:30">
      <c r="F151" s="129"/>
      <c r="G151" s="129"/>
      <c r="H151" s="129"/>
      <c r="I151" s="129"/>
      <c r="J151" s="129"/>
      <c r="AA151" s="1250"/>
      <c r="AB151" s="1250"/>
      <c r="AC151" s="1250"/>
      <c r="AD151" s="1250"/>
    </row>
    <row r="152" spans="6:30">
      <c r="F152" s="129"/>
      <c r="G152" s="129"/>
      <c r="H152" s="129"/>
      <c r="I152" s="129"/>
      <c r="J152" s="129"/>
      <c r="AA152" s="1250"/>
      <c r="AB152" s="1250"/>
      <c r="AC152" s="1250"/>
      <c r="AD152" s="1250"/>
    </row>
    <row r="153" spans="6:30">
      <c r="F153" s="129"/>
      <c r="G153" s="129"/>
      <c r="H153" s="129"/>
      <c r="I153" s="129"/>
      <c r="J153" s="129"/>
      <c r="AA153" s="1250"/>
      <c r="AB153" s="1250"/>
      <c r="AC153" s="1250"/>
      <c r="AD153" s="1250"/>
    </row>
    <row r="154" spans="6:30">
      <c r="F154" s="129"/>
      <c r="G154" s="129"/>
      <c r="H154" s="129"/>
      <c r="I154" s="129"/>
      <c r="J154" s="129"/>
      <c r="AA154" s="1250"/>
      <c r="AB154" s="1250"/>
      <c r="AC154" s="1250"/>
      <c r="AD154" s="1250"/>
    </row>
    <row r="155" spans="6:30">
      <c r="F155" s="129"/>
      <c r="G155" s="129"/>
      <c r="H155" s="129"/>
      <c r="I155" s="129"/>
      <c r="J155" s="129"/>
      <c r="AA155" s="1250"/>
      <c r="AB155" s="1250"/>
      <c r="AC155" s="1250"/>
      <c r="AD155" s="1250"/>
    </row>
    <row r="156" spans="6:30">
      <c r="F156" s="129"/>
      <c r="G156" s="129"/>
      <c r="H156" s="129"/>
      <c r="I156" s="129"/>
      <c r="J156" s="129"/>
      <c r="AA156" s="1250"/>
      <c r="AB156" s="1250"/>
      <c r="AC156" s="1250"/>
      <c r="AD156" s="1250"/>
    </row>
    <row r="157" spans="6:30">
      <c r="F157" s="129"/>
      <c r="G157" s="129"/>
      <c r="H157" s="129"/>
      <c r="I157" s="129"/>
      <c r="J157" s="129"/>
      <c r="AA157" s="1250"/>
      <c r="AB157" s="1250"/>
      <c r="AC157" s="1250"/>
      <c r="AD157" s="1250"/>
    </row>
    <row r="158" spans="6:30">
      <c r="F158" s="129"/>
      <c r="G158" s="129"/>
      <c r="H158" s="129"/>
      <c r="I158" s="129"/>
      <c r="J158" s="129"/>
      <c r="AA158" s="1250"/>
      <c r="AB158" s="1250"/>
      <c r="AC158" s="1250"/>
      <c r="AD158" s="1250"/>
    </row>
    <row r="159" spans="6:30">
      <c r="F159" s="129"/>
      <c r="G159" s="129"/>
      <c r="H159" s="129"/>
      <c r="I159" s="129"/>
      <c r="J159" s="129"/>
      <c r="AA159" s="1250"/>
      <c r="AB159" s="1250"/>
      <c r="AC159" s="1250"/>
      <c r="AD159" s="1250"/>
    </row>
    <row r="160" spans="6:30">
      <c r="F160" s="129"/>
      <c r="G160" s="129"/>
      <c r="H160" s="129"/>
      <c r="I160" s="129"/>
      <c r="J160" s="129"/>
      <c r="AA160" s="1250"/>
      <c r="AB160" s="1250"/>
      <c r="AC160" s="1250"/>
      <c r="AD160" s="1250"/>
    </row>
    <row r="161" spans="6:30">
      <c r="F161" s="129"/>
      <c r="G161" s="129"/>
      <c r="H161" s="129"/>
      <c r="I161" s="129"/>
      <c r="J161" s="129"/>
      <c r="AA161" s="1250"/>
      <c r="AB161" s="1250"/>
      <c r="AC161" s="1250"/>
      <c r="AD161" s="1250"/>
    </row>
    <row r="162" spans="6:30">
      <c r="F162" s="129"/>
      <c r="G162" s="129"/>
      <c r="H162" s="129"/>
      <c r="I162" s="129"/>
      <c r="J162" s="129"/>
      <c r="AA162" s="1250"/>
      <c r="AB162" s="1250"/>
      <c r="AC162" s="1250"/>
      <c r="AD162" s="1250"/>
    </row>
    <row r="163" spans="6:30">
      <c r="F163" s="129"/>
      <c r="G163" s="129"/>
      <c r="H163" s="129"/>
      <c r="I163" s="129"/>
      <c r="J163" s="129"/>
      <c r="AA163" s="1250"/>
      <c r="AB163" s="1250"/>
      <c r="AC163" s="1250"/>
      <c r="AD163" s="1250"/>
    </row>
    <row r="164" spans="6:30">
      <c r="F164" s="129"/>
      <c r="G164" s="129"/>
      <c r="H164" s="129"/>
      <c r="I164" s="129"/>
      <c r="J164" s="129"/>
      <c r="AA164" s="1250"/>
      <c r="AB164" s="1250"/>
      <c r="AC164" s="1250"/>
      <c r="AD164" s="1250"/>
    </row>
    <row r="165" spans="6:30">
      <c r="F165" s="129"/>
      <c r="G165" s="129"/>
      <c r="H165" s="129"/>
      <c r="I165" s="129"/>
      <c r="J165" s="129"/>
      <c r="AA165" s="1250"/>
      <c r="AB165" s="1250"/>
      <c r="AC165" s="1250"/>
      <c r="AD165" s="1250"/>
    </row>
    <row r="166" spans="6:30">
      <c r="F166" s="129"/>
      <c r="G166" s="129"/>
      <c r="H166" s="129"/>
      <c r="I166" s="129"/>
      <c r="J166" s="129"/>
      <c r="AA166" s="1250"/>
      <c r="AB166" s="1250"/>
      <c r="AC166" s="1250"/>
      <c r="AD166" s="1250"/>
    </row>
    <row r="167" spans="6:30">
      <c r="F167" s="129"/>
      <c r="G167" s="129"/>
      <c r="H167" s="129"/>
      <c r="I167" s="129"/>
      <c r="J167" s="129"/>
      <c r="AA167" s="1250"/>
      <c r="AB167" s="1250"/>
      <c r="AC167" s="1250"/>
      <c r="AD167" s="1250"/>
    </row>
    <row r="168" spans="6:30">
      <c r="F168" s="129"/>
      <c r="G168" s="129"/>
      <c r="H168" s="129"/>
      <c r="I168" s="129"/>
      <c r="J168" s="129"/>
      <c r="AA168" s="1250"/>
      <c r="AB168" s="1250"/>
      <c r="AC168" s="1250"/>
      <c r="AD168" s="1250"/>
    </row>
    <row r="169" spans="6:30">
      <c r="F169" s="129"/>
      <c r="G169" s="129"/>
      <c r="H169" s="129"/>
      <c r="I169" s="129"/>
      <c r="J169" s="129"/>
      <c r="AA169" s="1250"/>
      <c r="AB169" s="1250"/>
      <c r="AC169" s="1250"/>
      <c r="AD169" s="1250"/>
    </row>
    <row r="170" spans="6:30">
      <c r="F170" s="129"/>
      <c r="G170" s="129"/>
      <c r="H170" s="129"/>
      <c r="I170" s="129"/>
      <c r="J170" s="129"/>
      <c r="AA170" s="1250"/>
      <c r="AB170" s="1250"/>
      <c r="AC170" s="1250"/>
      <c r="AD170" s="1250"/>
    </row>
    <row r="171" spans="6:30">
      <c r="F171" s="129"/>
      <c r="G171" s="129"/>
      <c r="H171" s="129"/>
      <c r="I171" s="129"/>
      <c r="J171" s="129"/>
      <c r="AA171" s="1250"/>
      <c r="AB171" s="1250"/>
      <c r="AC171" s="1250"/>
      <c r="AD171" s="1250"/>
    </row>
    <row r="172" spans="6:30">
      <c r="F172" s="129"/>
      <c r="G172" s="129"/>
      <c r="H172" s="129"/>
      <c r="I172" s="129"/>
      <c r="J172" s="129"/>
      <c r="AA172" s="1250"/>
      <c r="AB172" s="1250"/>
      <c r="AC172" s="1250"/>
      <c r="AD172" s="1250"/>
    </row>
    <row r="173" spans="6:30">
      <c r="F173" s="129"/>
      <c r="G173" s="129"/>
      <c r="H173" s="129"/>
      <c r="I173" s="129"/>
      <c r="J173" s="129"/>
      <c r="AA173" s="1250"/>
      <c r="AB173" s="1250"/>
      <c r="AC173" s="1250"/>
      <c r="AD173" s="1250"/>
    </row>
    <row r="174" spans="6:30">
      <c r="F174" s="129"/>
      <c r="G174" s="129"/>
      <c r="H174" s="129"/>
      <c r="I174" s="129"/>
      <c r="J174" s="129"/>
      <c r="AA174" s="1250"/>
      <c r="AB174" s="1250"/>
      <c r="AC174" s="1250"/>
      <c r="AD174" s="1250"/>
    </row>
    <row r="175" spans="6:30">
      <c r="F175" s="129"/>
      <c r="G175" s="129"/>
      <c r="H175" s="129"/>
      <c r="I175" s="129"/>
      <c r="J175" s="129"/>
      <c r="AA175" s="1250"/>
      <c r="AB175" s="1250"/>
      <c r="AC175" s="1250"/>
      <c r="AD175" s="1250"/>
    </row>
    <row r="176" spans="6:30">
      <c r="F176" s="129"/>
      <c r="G176" s="129"/>
      <c r="H176" s="129"/>
      <c r="I176" s="129"/>
      <c r="J176" s="129"/>
      <c r="AA176" s="1250"/>
      <c r="AB176" s="1250"/>
      <c r="AC176" s="1250"/>
      <c r="AD176" s="1250"/>
    </row>
    <row r="177" spans="6:30">
      <c r="F177" s="129"/>
      <c r="G177" s="129"/>
      <c r="H177" s="129"/>
      <c r="I177" s="129"/>
      <c r="J177" s="129"/>
      <c r="AA177" s="1250"/>
      <c r="AB177" s="1250"/>
      <c r="AC177" s="1250"/>
      <c r="AD177" s="1250"/>
    </row>
    <row r="178" spans="6:30">
      <c r="F178" s="129"/>
      <c r="G178" s="129"/>
      <c r="H178" s="129"/>
      <c r="I178" s="129"/>
      <c r="J178" s="129"/>
      <c r="AA178" s="1250"/>
      <c r="AB178" s="1250"/>
      <c r="AC178" s="1250"/>
      <c r="AD178" s="1250"/>
    </row>
    <row r="179" spans="6:30">
      <c r="F179" s="129"/>
      <c r="G179" s="129"/>
      <c r="H179" s="129"/>
      <c r="I179" s="129"/>
      <c r="J179" s="129"/>
      <c r="AA179" s="1250"/>
      <c r="AB179" s="1250"/>
      <c r="AC179" s="1250"/>
      <c r="AD179" s="1250"/>
    </row>
    <row r="180" spans="6:30">
      <c r="F180" s="129"/>
      <c r="G180" s="129"/>
      <c r="H180" s="129"/>
      <c r="I180" s="129"/>
      <c r="J180" s="129"/>
      <c r="AA180" s="1250"/>
      <c r="AB180" s="1250"/>
      <c r="AC180" s="1250"/>
      <c r="AD180" s="1250"/>
    </row>
    <row r="181" spans="6:30">
      <c r="F181" s="129"/>
      <c r="G181" s="129"/>
      <c r="H181" s="129"/>
      <c r="I181" s="129"/>
      <c r="J181" s="129"/>
      <c r="AA181" s="1250"/>
      <c r="AB181" s="1250"/>
      <c r="AC181" s="1250"/>
      <c r="AD181" s="1250"/>
    </row>
    <row r="182" spans="6:30">
      <c r="F182" s="129"/>
      <c r="G182" s="129"/>
      <c r="H182" s="129"/>
      <c r="I182" s="129"/>
      <c r="J182" s="129"/>
      <c r="AA182" s="1250"/>
      <c r="AB182" s="1250"/>
      <c r="AC182" s="1250"/>
      <c r="AD182" s="1250"/>
    </row>
    <row r="183" spans="6:30">
      <c r="F183" s="129"/>
      <c r="G183" s="129"/>
      <c r="H183" s="129"/>
      <c r="I183" s="129"/>
      <c r="J183" s="129"/>
      <c r="AA183" s="1250"/>
      <c r="AB183" s="1250"/>
      <c r="AC183" s="1250"/>
      <c r="AD183" s="1250"/>
    </row>
    <row r="184" spans="6:30">
      <c r="F184" s="129"/>
      <c r="G184" s="129"/>
      <c r="H184" s="129"/>
      <c r="I184" s="129"/>
      <c r="J184" s="129"/>
      <c r="AA184" s="1250"/>
      <c r="AB184" s="1250"/>
      <c r="AC184" s="1250"/>
      <c r="AD184" s="1250"/>
    </row>
    <row r="185" spans="6:30">
      <c r="F185" s="129"/>
      <c r="G185" s="129"/>
      <c r="H185" s="129"/>
      <c r="I185" s="129"/>
      <c r="J185" s="129"/>
      <c r="AA185" s="1250"/>
      <c r="AB185" s="1250"/>
      <c r="AC185" s="1250"/>
      <c r="AD185" s="1250"/>
    </row>
    <row r="186" spans="6:30">
      <c r="F186" s="129"/>
      <c r="G186" s="129"/>
      <c r="H186" s="129"/>
      <c r="I186" s="129"/>
      <c r="J186" s="129"/>
      <c r="AA186" s="1250"/>
      <c r="AB186" s="1250"/>
      <c r="AC186" s="1250"/>
      <c r="AD186" s="1250"/>
    </row>
    <row r="187" spans="6:30">
      <c r="F187" s="129"/>
      <c r="G187" s="129"/>
      <c r="H187" s="129"/>
      <c r="I187" s="129"/>
      <c r="J187" s="129"/>
      <c r="AA187" s="1250"/>
      <c r="AB187" s="1250"/>
      <c r="AC187" s="1250"/>
      <c r="AD187" s="1250"/>
    </row>
    <row r="188" spans="6:30">
      <c r="F188" s="129"/>
      <c r="G188" s="129"/>
      <c r="H188" s="129"/>
      <c r="I188" s="129"/>
      <c r="J188" s="129"/>
      <c r="AA188" s="1250"/>
      <c r="AB188" s="1250"/>
      <c r="AC188" s="1250"/>
      <c r="AD188" s="1250"/>
    </row>
  </sheetData>
  <mergeCells count="45">
    <mergeCell ref="AA66:AE66"/>
    <mergeCell ref="AF66:AH66"/>
    <mergeCell ref="AA67:AH67"/>
    <mergeCell ref="AA68:AH68"/>
    <mergeCell ref="AA16:AE16"/>
    <mergeCell ref="AF16:AH16"/>
    <mergeCell ref="AA17:AH17"/>
    <mergeCell ref="AA18:AH18"/>
    <mergeCell ref="E94:E99"/>
    <mergeCell ref="E100:F100"/>
    <mergeCell ref="E70:E75"/>
    <mergeCell ref="E82:E87"/>
    <mergeCell ref="E88:E93"/>
    <mergeCell ref="E76:E81"/>
    <mergeCell ref="O18:P18"/>
    <mergeCell ref="G18:N18"/>
    <mergeCell ref="G67:P67"/>
    <mergeCell ref="O17:P17"/>
    <mergeCell ref="G17:N17"/>
    <mergeCell ref="E7:G7"/>
    <mergeCell ref="E8:G8"/>
    <mergeCell ref="E9:G9"/>
    <mergeCell ref="E10:G10"/>
    <mergeCell ref="E11:G11"/>
    <mergeCell ref="A18:A19"/>
    <mergeCell ref="B18:B19"/>
    <mergeCell ref="C18:C19"/>
    <mergeCell ref="G66:K66"/>
    <mergeCell ref="L66:P66"/>
    <mergeCell ref="E20:E28"/>
    <mergeCell ref="E29:E37"/>
    <mergeCell ref="E38:E46"/>
    <mergeCell ref="E47:E55"/>
    <mergeCell ref="E57:E62"/>
    <mergeCell ref="E63:F63"/>
    <mergeCell ref="E16:F19"/>
    <mergeCell ref="E66:F69"/>
    <mergeCell ref="G68:P68"/>
    <mergeCell ref="G16:K16"/>
    <mergeCell ref="L16:P16"/>
    <mergeCell ref="R16:V16"/>
    <mergeCell ref="Q16:Q17"/>
    <mergeCell ref="R17:V17"/>
    <mergeCell ref="R18:V18"/>
    <mergeCell ref="W16:W19"/>
  </mergeCells>
  <pageMargins left="0.75" right="0.75" top="1" bottom="1" header="0.5" footer="0.5"/>
  <pageSetup paperSize="9" orientation="landscape" r:id="rId1"/>
  <headerFooter alignWithMargins="0"/>
  <customProperties>
    <customPr name="layoutContexts" r:id="rId2"/>
    <customPr name="SaveUndoMode" r:id="rId3"/>
  </customProperties>
  <drawing r:id="rId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42</vt:i4>
      </vt:variant>
      <vt:variant>
        <vt:lpstr>Named Ranges</vt:lpstr>
      </vt:variant>
      <vt:variant>
        <vt:i4>286</vt:i4>
      </vt:variant>
    </vt:vector>
  </HeadingPairs>
  <TitlesOfParts>
    <vt:vector size="328" baseType="lpstr">
      <vt:lpstr>Contents</vt:lpstr>
      <vt:lpstr>Instructions</vt:lpstr>
      <vt:lpstr>Business &amp; other details</vt:lpstr>
      <vt:lpstr>1. CPI</vt:lpstr>
      <vt:lpstr>2. Escalators</vt:lpstr>
      <vt:lpstr>3 - Capex summary</vt:lpstr>
      <vt:lpstr>4. Connections market expansion</vt:lpstr>
      <vt:lpstr>5. Mains augmentation</vt:lpstr>
      <vt:lpstr>6. Mains replacement</vt:lpstr>
      <vt:lpstr>7. Telemetry</vt:lpstr>
      <vt:lpstr>8. Meter replacement</vt:lpstr>
      <vt:lpstr>9. Other capex</vt:lpstr>
      <vt:lpstr>12. IT</vt:lpstr>
      <vt:lpstr>14. Overheads</vt:lpstr>
      <vt:lpstr>15. Related party transactions</vt:lpstr>
      <vt:lpstr>16. Capex allocation</vt:lpstr>
      <vt:lpstr>17. Gross Capex </vt:lpstr>
      <vt:lpstr>20. Changes in provisions</vt:lpstr>
      <vt:lpstr>21 - Indicative bill impacts</vt:lpstr>
      <vt:lpstr>22. WACC Inputs</vt:lpstr>
      <vt:lpstr>23.1 Opex incl. RPM</vt:lpstr>
      <vt:lpstr>23.2 Opex excl. RPM</vt:lpstr>
      <vt:lpstr>23.3 Opex base-step-trend</vt:lpstr>
      <vt:lpstr>23.4 Opex Incentive Mechanism</vt:lpstr>
      <vt:lpstr>24. Cost category matrix</vt:lpstr>
      <vt:lpstr>25. ARS</vt:lpstr>
      <vt:lpstr>26. Allocation of total revenue</vt:lpstr>
      <vt:lpstr>27. Customer numbers</vt:lpstr>
      <vt:lpstr>27.1 Customer numbers Total</vt:lpstr>
      <vt:lpstr>27.2 Customer numbers Metro</vt:lpstr>
      <vt:lpstr>27.3 Customer numbers YV</vt:lpstr>
      <vt:lpstr>27.4 Customer numbers SG</vt:lpstr>
      <vt:lpstr>28.1 Consumption &amp; demand TOTAL</vt:lpstr>
      <vt:lpstr>28.2 Consumption &amp; demand METRO</vt:lpstr>
      <vt:lpstr>28.3 Consumption &amp; demand YV</vt:lpstr>
      <vt:lpstr>28.4 Consumption &amp; demand SG</vt:lpstr>
      <vt:lpstr>29.1 Gas extenstions ($)</vt:lpstr>
      <vt:lpstr>29.2 Gas extenstions cust no</vt:lpstr>
      <vt:lpstr>29.3 Gas extensions - demand</vt:lpstr>
      <vt:lpstr>29.4 Gas extensions - tariffs</vt:lpstr>
      <vt:lpstr>30. Network characteristics</vt:lpstr>
      <vt:lpstr>31 - Pass throughs</vt:lpstr>
      <vt:lpstr>___INDEX_SHEET___ASAP_Utilities</vt:lpstr>
      <vt:lpstr>CRCP</vt:lpstr>
      <vt:lpstr>'AER only'!CRCP_y1</vt:lpstr>
      <vt:lpstr>CRCP_y1</vt:lpstr>
      <vt:lpstr>CRCP_y10</vt:lpstr>
      <vt:lpstr>'AER only'!CRCP_y2</vt:lpstr>
      <vt:lpstr>CRCP_y2</vt:lpstr>
      <vt:lpstr>'AER only'!CRCP_y3</vt:lpstr>
      <vt:lpstr>CRCP_y3</vt:lpstr>
      <vt:lpstr>'AER only'!CRCP_y4</vt:lpstr>
      <vt:lpstr>CRCP_y4</vt:lpstr>
      <vt:lpstr>'AER only'!CRCP_y5</vt:lpstr>
      <vt:lpstr>CRCP_y5</vt:lpstr>
      <vt:lpstr>'AER only'!CRCP_y6</vt:lpstr>
      <vt:lpstr>CRCP_y6</vt:lpstr>
      <vt:lpstr>'AER only'!CRCP_y7</vt:lpstr>
      <vt:lpstr>CRCP_y7</vt:lpstr>
      <vt:lpstr>'AER only'!CRCP_y8</vt:lpstr>
      <vt:lpstr>CRCP_y8</vt:lpstr>
      <vt:lpstr>'AER only'!CRCP_y9</vt:lpstr>
      <vt:lpstr>CRCP_y9</vt:lpstr>
      <vt:lpstr>dms_0203_ProjectType</vt:lpstr>
      <vt:lpstr>dms_020303_01_UOM</vt:lpstr>
      <vt:lpstr>dms_020501_01_UOM</vt:lpstr>
      <vt:lpstr>dms_020501_02_UOM</vt:lpstr>
      <vt:lpstr>dms_020501_03_UOM</vt:lpstr>
      <vt:lpstr>dms_020501_04_UOM</vt:lpstr>
      <vt:lpstr>dms_020603_01_UOM</vt:lpstr>
      <vt:lpstr>dms_030601_01_UOM</vt:lpstr>
      <vt:lpstr>dms_030601_02_UOM</vt:lpstr>
      <vt:lpstr>dms_030701_01_UOM</vt:lpstr>
      <vt:lpstr>dms_030702_01_UOM</vt:lpstr>
      <vt:lpstr>dms_030703_01_UOM</vt:lpstr>
      <vt:lpstr>dms_040102_01_UOM</vt:lpstr>
      <vt:lpstr>dms_040102_04_UOM</vt:lpstr>
      <vt:lpstr>dms_663</vt:lpstr>
      <vt:lpstr>dms_663_List</vt:lpstr>
      <vt:lpstr>dms_ABN</vt:lpstr>
      <vt:lpstr>dms_ABN_List</vt:lpstr>
      <vt:lpstr>dms_Addr1</vt:lpstr>
      <vt:lpstr>dms_Addr1_List</vt:lpstr>
      <vt:lpstr>dms_Addr2</vt:lpstr>
      <vt:lpstr>dms_Addr2_List</vt:lpstr>
      <vt:lpstr>dms_AmendmentReason</vt:lpstr>
      <vt:lpstr>dms_ARR</vt:lpstr>
      <vt:lpstr>dms_CA</vt:lpstr>
      <vt:lpstr>dms_CBD_flag</vt:lpstr>
      <vt:lpstr>dms_CFinalYear_List</vt:lpstr>
      <vt:lpstr>dms_Classification</vt:lpstr>
      <vt:lpstr>dms_ContactEmail</vt:lpstr>
      <vt:lpstr>dms_ContactEmail_List</vt:lpstr>
      <vt:lpstr>dms_ContactEmail2</vt:lpstr>
      <vt:lpstr>dms_ContactName1</vt:lpstr>
      <vt:lpstr>dms_ContactName1_List</vt:lpstr>
      <vt:lpstr>dms_ContactName2</vt:lpstr>
      <vt:lpstr>dms_ContactPh1</vt:lpstr>
      <vt:lpstr>dms_ContactPh1_List</vt:lpstr>
      <vt:lpstr>dms_ContactPh2</vt:lpstr>
      <vt:lpstr>dms_crcp_cy1</vt:lpstr>
      <vt:lpstr>dms_crcp_cy10</vt:lpstr>
      <vt:lpstr>dms_crcp_cy11</vt:lpstr>
      <vt:lpstr>dms_crcp_cy12</vt:lpstr>
      <vt:lpstr>dms_crcp_cy13</vt:lpstr>
      <vt:lpstr>dms_crcp_cy14</vt:lpstr>
      <vt:lpstr>dms_crcp_cy15</vt:lpstr>
      <vt:lpstr>dms_crcp_cy2</vt:lpstr>
      <vt:lpstr>dms_crcp_cy3</vt:lpstr>
      <vt:lpstr>dms_crcp_cy4</vt:lpstr>
      <vt:lpstr>dms_crcp_cy5</vt:lpstr>
      <vt:lpstr>dms_crcp_cy6</vt:lpstr>
      <vt:lpstr>dms_crcp_cy7</vt:lpstr>
      <vt:lpstr>dms_crcp_cy8</vt:lpstr>
      <vt:lpstr>dms_crcp_cy9</vt:lpstr>
      <vt:lpstr>dms_CRCP_FinalYear_Ref</vt:lpstr>
      <vt:lpstr>'AER only'!dms_CRCP_FinalYear_Result</vt:lpstr>
      <vt:lpstr>dms_CRCP_FinalYear_Result</vt:lpstr>
      <vt:lpstr>'AER only'!dms_CRCP_FirstYear_Result</vt:lpstr>
      <vt:lpstr>dms_CRCP_FirstYear_Result</vt:lpstr>
      <vt:lpstr>dms_CRCP_index</vt:lpstr>
      <vt:lpstr>dms_CRCP_years</vt:lpstr>
      <vt:lpstr>dms_CRCP_yM</vt:lpstr>
      <vt:lpstr>dms_CRCP_yN</vt:lpstr>
      <vt:lpstr>dms_CRCP_yO</vt:lpstr>
      <vt:lpstr>dms_CRCP_yP</vt:lpstr>
      <vt:lpstr>dms_CRCP_yQ</vt:lpstr>
      <vt:lpstr>dms_CRCP_yR</vt:lpstr>
      <vt:lpstr>dms_CRCP_yS</vt:lpstr>
      <vt:lpstr>dms_CRCP_yT</vt:lpstr>
      <vt:lpstr>dms_CRCP_yU</vt:lpstr>
      <vt:lpstr>dms_CRCP_yV</vt:lpstr>
      <vt:lpstr>dms_CRCP_yW</vt:lpstr>
      <vt:lpstr>dms_CRCP_yX</vt:lpstr>
      <vt:lpstr>dms_CRCP_yY</vt:lpstr>
      <vt:lpstr>dms_CRCP_yZ</vt:lpstr>
      <vt:lpstr>dms_CRCPlength_List</vt:lpstr>
      <vt:lpstr>'AER only'!dms_CRCPlength_Num</vt:lpstr>
      <vt:lpstr>dms_CRCPlength_Num</vt:lpstr>
      <vt:lpstr>dms_CRCPlength_Num_List</vt:lpstr>
      <vt:lpstr>dms_CRY_ListC</vt:lpstr>
      <vt:lpstr>dms_CRY_ListF</vt:lpstr>
      <vt:lpstr>dms_cy1</vt:lpstr>
      <vt:lpstr>dms_cy10</vt:lpstr>
      <vt:lpstr>dms_cy11</vt:lpstr>
      <vt:lpstr>dms_cy12</vt:lpstr>
      <vt:lpstr>dms_cy13</vt:lpstr>
      <vt:lpstr>dms_cy14</vt:lpstr>
      <vt:lpstr>dms_cy15</vt:lpstr>
      <vt:lpstr>dms_cy2</vt:lpstr>
      <vt:lpstr>dms_cy3</vt:lpstr>
      <vt:lpstr>dms_cy4</vt:lpstr>
      <vt:lpstr>dms_cy5</vt:lpstr>
      <vt:lpstr>dms_cy6</vt:lpstr>
      <vt:lpstr>dms_cy7</vt:lpstr>
      <vt:lpstr>dms_cy8</vt:lpstr>
      <vt:lpstr>dms_cy9</vt:lpstr>
      <vt:lpstr>'AER only'!dms_DataQuality</vt:lpstr>
      <vt:lpstr>dms_DataQuality</vt:lpstr>
      <vt:lpstr>dms_DataQuality_List</vt:lpstr>
      <vt:lpstr>dms_Defined_Names_Used</vt:lpstr>
      <vt:lpstr>dms_DeterminationRef_List</vt:lpstr>
      <vt:lpstr>dms_DollarReal</vt:lpstr>
      <vt:lpstr>dms_EB</vt:lpstr>
      <vt:lpstr>'Business &amp; other details'!dms_EBSS_status</vt:lpstr>
      <vt:lpstr>dms_ESCALATOR_rows</vt:lpstr>
      <vt:lpstr>dms_FeederName_1</vt:lpstr>
      <vt:lpstr>dms_FeederName_2</vt:lpstr>
      <vt:lpstr>dms_FeederName_3</vt:lpstr>
      <vt:lpstr>dms_FeederName_4</vt:lpstr>
      <vt:lpstr>dms_FeederName_5</vt:lpstr>
      <vt:lpstr>dms_FeederType_5_flag</vt:lpstr>
      <vt:lpstr>dms_FinalYear_List</vt:lpstr>
      <vt:lpstr>dms_FormControl</vt:lpstr>
      <vt:lpstr>dms_FormControl_Choices</vt:lpstr>
      <vt:lpstr>dms_FormControl_List</vt:lpstr>
      <vt:lpstr>dms_FRCP_cyear_list</vt:lpstr>
      <vt:lpstr>dms_frcp_fy1</vt:lpstr>
      <vt:lpstr>dms_frcp_fy10</vt:lpstr>
      <vt:lpstr>dms_frcp_fy11</vt:lpstr>
      <vt:lpstr>dms_frcp_fy12</vt:lpstr>
      <vt:lpstr>dms_frcp_fy13</vt:lpstr>
      <vt:lpstr>dms_frcp_fy14</vt:lpstr>
      <vt:lpstr>dms_frcp_fy15</vt:lpstr>
      <vt:lpstr>dms_frcp_fy2</vt:lpstr>
      <vt:lpstr>dms_frcp_fy3</vt:lpstr>
      <vt:lpstr>dms_frcp_fy4</vt:lpstr>
      <vt:lpstr>dms_frcp_fy5</vt:lpstr>
      <vt:lpstr>dms_frcp_fy6</vt:lpstr>
      <vt:lpstr>dms_frcp_fy7</vt:lpstr>
      <vt:lpstr>dms_frcp_fy8</vt:lpstr>
      <vt:lpstr>dms_frcp_fy9</vt:lpstr>
      <vt:lpstr>dms_FRCP_fyear_list</vt:lpstr>
      <vt:lpstr>dms_FRCP_ListC</vt:lpstr>
      <vt:lpstr>dms_FRCP_ListF</vt:lpstr>
      <vt:lpstr>dms_FRCP_y1</vt:lpstr>
      <vt:lpstr>dms_FRCP_y10</vt:lpstr>
      <vt:lpstr>dms_FRCP_y11</vt:lpstr>
      <vt:lpstr>dms_FRCP_y12</vt:lpstr>
      <vt:lpstr>dms_FRCP_y13</vt:lpstr>
      <vt:lpstr>dms_FRCP_y14</vt:lpstr>
      <vt:lpstr>dms_FRCP_y2</vt:lpstr>
      <vt:lpstr>dms_FRCP_y3</vt:lpstr>
      <vt:lpstr>dms_FRCP_y4</vt:lpstr>
      <vt:lpstr>dms_FRCP_y5</vt:lpstr>
      <vt:lpstr>dms_FRCP_y6</vt:lpstr>
      <vt:lpstr>dms_FRCP_y7</vt:lpstr>
      <vt:lpstr>dms_FRCP_y8</vt:lpstr>
      <vt:lpstr>dms_FRCP_y9</vt:lpstr>
      <vt:lpstr>dms_FRCP_years</vt:lpstr>
      <vt:lpstr>dms_FRCPlength_List</vt:lpstr>
      <vt:lpstr>'AER only'!dms_FRCPlength_Num</vt:lpstr>
      <vt:lpstr>dms_FRCPlength_Num</vt:lpstr>
      <vt:lpstr>dms_FRCPlength_Num_List</vt:lpstr>
      <vt:lpstr>dms_fy1</vt:lpstr>
      <vt:lpstr>dms_fy10</vt:lpstr>
      <vt:lpstr>dms_fy11</vt:lpstr>
      <vt:lpstr>dms_fy12</vt:lpstr>
      <vt:lpstr>dms_fy13</vt:lpstr>
      <vt:lpstr>dms_fy14</vt:lpstr>
      <vt:lpstr>dms_fy15</vt:lpstr>
      <vt:lpstr>dms_fy2</vt:lpstr>
      <vt:lpstr>dms_fy3</vt:lpstr>
      <vt:lpstr>dms_fy4</vt:lpstr>
      <vt:lpstr>dms_fy5</vt:lpstr>
      <vt:lpstr>dms_fy6</vt:lpstr>
      <vt:lpstr>dms_fy7</vt:lpstr>
      <vt:lpstr>dms_fy8</vt:lpstr>
      <vt:lpstr>dms_fy9</vt:lpstr>
      <vt:lpstr>dms_Jurisdiction</vt:lpstr>
      <vt:lpstr>dms_JurisdictionList</vt:lpstr>
      <vt:lpstr>dms_LongRural_flag</vt:lpstr>
      <vt:lpstr>dms_MAIFI_flag_List</vt:lpstr>
      <vt:lpstr>'AER only'!dms_Model</vt:lpstr>
      <vt:lpstr>dms_Model</vt:lpstr>
      <vt:lpstr>dms_Model_List</vt:lpstr>
      <vt:lpstr>'AER only'!dms_MultiYear_FinalYear_Ref</vt:lpstr>
      <vt:lpstr>dms_MultiYear_FinalYear_Ref</vt:lpstr>
      <vt:lpstr>'AER only'!dms_MultiYear_FinalYear_Result</vt:lpstr>
      <vt:lpstr>dms_MultiYear_FinalYear_Result</vt:lpstr>
      <vt:lpstr>'AER only'!dms_MultiYear_Flag</vt:lpstr>
      <vt:lpstr>dms_MultiYear_Flag</vt:lpstr>
      <vt:lpstr>dms_PAddr1</vt:lpstr>
      <vt:lpstr>dms_PAddr1_List</vt:lpstr>
      <vt:lpstr>dms_PAddr2</vt:lpstr>
      <vt:lpstr>dms_PAddr2_List</vt:lpstr>
      <vt:lpstr>dms_PostCode</vt:lpstr>
      <vt:lpstr>dms_PostCode_List</vt:lpstr>
      <vt:lpstr>dms_PPostCode</vt:lpstr>
      <vt:lpstr>dms_PPostCode_List</vt:lpstr>
      <vt:lpstr>dms_PState</vt:lpstr>
      <vt:lpstr>dms_PState_List</vt:lpstr>
      <vt:lpstr>dms_PSuburb</vt:lpstr>
      <vt:lpstr>dms_PSuburb_List</vt:lpstr>
      <vt:lpstr>dms_RCP_cyear_list</vt:lpstr>
      <vt:lpstr>dms_RCP_fyear_list</vt:lpstr>
      <vt:lpstr>dms_Reason_Interruption</vt:lpstr>
      <vt:lpstr>dms_Reason_Interruption_Detailed</vt:lpstr>
      <vt:lpstr>dms_Reg_Year_Span</vt:lpstr>
      <vt:lpstr>dms_RINversion</vt:lpstr>
      <vt:lpstr>'AER only'!dms_RPT</vt:lpstr>
      <vt:lpstr>dms_RPT</vt:lpstr>
      <vt:lpstr>dms_RPT_List</vt:lpstr>
      <vt:lpstr>'AER only'!dms_RPTMonth</vt:lpstr>
      <vt:lpstr>dms_RPTMonth</vt:lpstr>
      <vt:lpstr>dms_RPTMonth_List</vt:lpstr>
      <vt:lpstr>dms_RYE</vt:lpstr>
      <vt:lpstr>dms_RYE_Formula_Result</vt:lpstr>
      <vt:lpstr>dms_Sector</vt:lpstr>
      <vt:lpstr>dms_Sector_List</vt:lpstr>
      <vt:lpstr>'AER only'!dms_Segment</vt:lpstr>
      <vt:lpstr>dms_Segment</vt:lpstr>
      <vt:lpstr>dms_Segment_List</vt:lpstr>
      <vt:lpstr>dms_ShortRural_flag</vt:lpstr>
      <vt:lpstr>'AER only'!dms_SingleYear_FinalYear_Ref</vt:lpstr>
      <vt:lpstr>dms_SingleYear_FinalYear_Ref</vt:lpstr>
      <vt:lpstr>'AER only'!dms_SingleYear_FinalYear_Result</vt:lpstr>
      <vt:lpstr>dms_SingleYear_FinalYear_Result</vt:lpstr>
      <vt:lpstr>'AER only'!dms_SingleYear_Model</vt:lpstr>
      <vt:lpstr>dms_SingleYear_Model</vt:lpstr>
      <vt:lpstr>dms_Source</vt:lpstr>
      <vt:lpstr>dms_SourceList</vt:lpstr>
      <vt:lpstr>'AER only'!dms_Specified_FinalYear</vt:lpstr>
      <vt:lpstr>dms_Specified_FinalYear</vt:lpstr>
      <vt:lpstr>dms_State</vt:lpstr>
      <vt:lpstr>dms_State_List</vt:lpstr>
      <vt:lpstr>dms_STPIS_exclusions</vt:lpstr>
      <vt:lpstr>dms_SubmissionDate</vt:lpstr>
      <vt:lpstr>dms_Suburb</vt:lpstr>
      <vt:lpstr>dms_Suburb_List</vt:lpstr>
      <vt:lpstr>dms_TemplateNumber</vt:lpstr>
      <vt:lpstr>'AER only'!dms_TradingName</vt:lpstr>
      <vt:lpstr>dms_TradingName</vt:lpstr>
      <vt:lpstr>dms_TradingName_List</vt:lpstr>
      <vt:lpstr>dms_TradingNameFull</vt:lpstr>
      <vt:lpstr>dms_TradingNameFull_List</vt:lpstr>
      <vt:lpstr>dms_Urban_flag</vt:lpstr>
      <vt:lpstr>dms_Worksheet_List</vt:lpstr>
      <vt:lpstr>'23.4 Opex Incentive Mechanism'!EBSS</vt:lpstr>
      <vt:lpstr>FRCP</vt:lpstr>
      <vt:lpstr>'AER only'!FRCP_y1</vt:lpstr>
      <vt:lpstr>FRCP_y1</vt:lpstr>
      <vt:lpstr>FRCP_y10</vt:lpstr>
      <vt:lpstr>FRCP_y2</vt:lpstr>
      <vt:lpstr>FRCP_y3</vt:lpstr>
      <vt:lpstr>FRCP_y4</vt:lpstr>
      <vt:lpstr>'AER only'!FRCP_y5</vt:lpstr>
      <vt:lpstr>FRCP_y5</vt:lpstr>
      <vt:lpstr>FRCP_y6</vt:lpstr>
      <vt:lpstr>FRCP_y7</vt:lpstr>
      <vt:lpstr>FRCP_y8</vt:lpstr>
      <vt:lpstr>FRCP_y9</vt:lpstr>
      <vt:lpstr>MAIFI_flag</vt:lpstr>
      <vt:lpstr>PRCP</vt:lpstr>
      <vt:lpstr>PRCP_y1</vt:lpstr>
      <vt:lpstr>'AER only'!PRCP_y2</vt:lpstr>
      <vt:lpstr>PRCP_y2</vt:lpstr>
      <vt:lpstr>'AER only'!PRCP_y3</vt:lpstr>
      <vt:lpstr>PRCP_y3</vt:lpstr>
      <vt:lpstr>'AER only'!PRCP_y4</vt:lpstr>
      <vt:lpstr>PRCP_y4</vt:lpstr>
      <vt:lpstr>'AER only'!PRCP_y5</vt:lpstr>
      <vt:lpstr>PRCP_y5</vt:lpstr>
      <vt:lpstr>'17. Gross Capex '!Print_Area</vt:lpstr>
      <vt:lpstr>'23.4 Opex Incentive Mechanism'!Print_Area</vt:lpstr>
      <vt:lpstr>Contents!Print_Area</vt:lpstr>
      <vt:lpstr>SheetHeader</vt:lpstr>
      <vt:lpstr>Years</vt:lpstr>
    </vt:vector>
  </TitlesOfParts>
  <Company>Essential Services Commission</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Envestra Victoria Data templates</dc:title>
  <dc:subject>Data templates for GAAR 2008</dc:subject>
  <dc:creator>Essential Services Commission</dc:creator>
  <cp:lastModifiedBy>Schille, Andrew</cp:lastModifiedBy>
  <cp:lastPrinted>2016-12-14T23:28:06Z</cp:lastPrinted>
  <dcterms:created xsi:type="dcterms:W3CDTF">2006-05-08T03:46:56Z</dcterms:created>
  <dcterms:modified xsi:type="dcterms:W3CDTF">2017-08-30T23:31:15Z</dcterms:modified>
  <cp:category>Data templates</cp:category>
  <cp:contentStatus>CURRENT @ 20160905</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f">
    <vt:lpwstr>\\cdchnas-evs02\home$\smusk\vic gaar 2018-22 preliminary draft rin templates - multinet (D2016-00119082).xlsx</vt:lpwstr>
  </property>
  <property fmtid="{D5CDD505-2E9C-101B-9397-08002B2CF9AE}" pid="3" name="URI">
    <vt:lpwstr>8759656</vt:lpwstr>
  </property>
  <property fmtid="{D5CDD505-2E9C-101B-9397-08002B2CF9AE}" pid="4" name="currfile">
    <vt:lpwstr>\\cdchnas-evs02\home$\jseym\aer - final rin multinet gaar 2018-22 regulatory templates - 20161028 (D2016-00130817).xlsx</vt:lpwstr>
  </property>
  <property fmtid="{D5CDD505-2E9C-101B-9397-08002B2CF9AE}" pid="5" name="checksum">
    <vt:filetime>2016-11-16T01:35:50Z</vt:filetime>
  </property>
</Properties>
</file>