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195" windowHeight="10290"/>
  </bookViews>
  <sheets>
    <sheet name="Presentation Page" sheetId="9" r:id="rId1"/>
    <sheet name="Graphs" sheetId="16" r:id="rId2"/>
    <sheet name="Inputs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PASupervisorHours">'[1]Modelling Assumptions'!$B$43</definedName>
    <definedName name="APATechnicianHours">'[1]Modelling Assumptions'!$B$66</definedName>
    <definedName name="CRCP_y1" localSheetId="0">'[2]Business &amp; other details'!$C$38</definedName>
    <definedName name="CRCP_y2" localSheetId="0">'[2]Business &amp; other details'!$D$38</definedName>
    <definedName name="CRCP_y3" localSheetId="0">'[2]Business &amp; other details'!$E$38</definedName>
    <definedName name="CRCP_y4" localSheetId="0">'[3]Business &amp; other details'!$F$38</definedName>
    <definedName name="CRCP_y5" localSheetId="0">'[3]Business &amp; other details'!$G$38</definedName>
    <definedName name="dms_DollarReal" localSheetId="0">'[3]Business &amp; other details'!$C$63</definedName>
    <definedName name="dms_FRCPlength_Num" localSheetId="0">'[2]Business &amp; other details'!$C$74</definedName>
    <definedName name="FRCP_y1" localSheetId="0">'[3]Business &amp; other details'!$C$35</definedName>
    <definedName name="FRCP_y2" localSheetId="0">'[3]Business &amp; other details'!$D$35</definedName>
    <definedName name="FRCP_y3" localSheetId="0">'[3]Business &amp; other details'!$E$35</definedName>
    <definedName name="FRCP_y4" localSheetId="0">'[3]Business &amp; other details'!$F$35</definedName>
    <definedName name="FRCP_y5" localSheetId="0">'[3]Business &amp; other details'!$G$35</definedName>
    <definedName name="HourlyRateAPAMaintenanceStaff">'[1]Modelling Assumptions'!$B$14</definedName>
    <definedName name="HourlyRateAPAOMSupervisor">'[1]Modelling Assumptions'!$B$15</definedName>
    <definedName name="LabourAdjustmentFactor">'[1]Modelling Assumptions'!$E$89:$I$89</definedName>
    <definedName name="MaterialsAdjustmentFactor">'[1]Modelling Assumptions'!$E$90:$I$90</definedName>
    <definedName name="PRCP_y2" localSheetId="0">'[2]Business &amp; other details'!$D$41</definedName>
    <definedName name="PRCP_y3" localSheetId="0">'[2]Business &amp; other details'!$E$41</definedName>
    <definedName name="PRCP_y4" localSheetId="0">'[2]Business &amp; other details'!$F$41</definedName>
    <definedName name="PRCP_y5" localSheetId="0">'[2]Business &amp; other details'!$G$41</definedName>
  </definedNames>
  <calcPr calcId="145621"/>
</workbook>
</file>

<file path=xl/calcChain.xml><?xml version="1.0" encoding="utf-8"?>
<calcChain xmlns="http://schemas.openxmlformats.org/spreadsheetml/2006/main">
  <c r="B148" i="9" l="1"/>
  <c r="B112" i="9" l="1"/>
  <c r="C112" i="9" s="1"/>
  <c r="D112" i="9" s="1"/>
  <c r="E112" i="9" s="1"/>
  <c r="F112" i="9" s="1"/>
  <c r="G112" i="9" s="1"/>
  <c r="H112" i="9" s="1"/>
  <c r="I112" i="9" s="1"/>
  <c r="B111" i="9"/>
  <c r="C111" i="9" s="1"/>
  <c r="D111" i="9" s="1"/>
  <c r="E111" i="9" s="1"/>
  <c r="F111" i="9" s="1"/>
  <c r="G111" i="9" s="1"/>
  <c r="H111" i="9" s="1"/>
  <c r="I111" i="9" s="1"/>
  <c r="B75" i="9" l="1"/>
  <c r="B74" i="9"/>
  <c r="B50" i="9"/>
  <c r="B49" i="9"/>
  <c r="B48" i="9"/>
  <c r="B47" i="9"/>
  <c r="B46" i="9"/>
  <c r="B45" i="9"/>
  <c r="B44" i="9"/>
  <c r="B43" i="9"/>
  <c r="B18" i="9" l="1"/>
  <c r="B156" i="9"/>
  <c r="C156" i="9"/>
  <c r="E155" i="9" l="1"/>
  <c r="F155" i="9"/>
  <c r="G155" i="9"/>
  <c r="H155" i="9"/>
  <c r="I155" i="9"/>
  <c r="J155" i="9"/>
  <c r="K155" i="9"/>
  <c r="D155" i="9"/>
  <c r="C143" i="9" l="1"/>
  <c r="D143" i="9"/>
  <c r="E143" i="9"/>
  <c r="F143" i="9"/>
  <c r="B143" i="9"/>
  <c r="E41" i="9" l="1"/>
  <c r="E61" i="9" s="1"/>
  <c r="F41" i="9" l="1"/>
  <c r="G41" i="9" s="1"/>
  <c r="H41" i="9" s="1"/>
  <c r="I41" i="9" s="1"/>
  <c r="F61" i="9" l="1"/>
  <c r="G61" i="9" s="1"/>
  <c r="H61" i="9" s="1"/>
  <c r="I61" i="9" s="1"/>
  <c r="B165" i="9" l="1"/>
  <c r="B153" i="9"/>
  <c r="C41" i="9" l="1"/>
  <c r="C148" i="9" s="1"/>
  <c r="D148" i="9" l="1"/>
  <c r="C165" i="9"/>
  <c r="B71" i="9"/>
  <c r="E148" i="9" l="1"/>
  <c r="D165" i="9"/>
  <c r="B101" i="9"/>
  <c r="B62" i="9" s="1"/>
  <c r="F148" i="9" l="1"/>
  <c r="F165" i="9" s="1"/>
  <c r="E165" i="9"/>
  <c r="B77" i="9"/>
  <c r="F136" i="9"/>
  <c r="B131" i="9"/>
  <c r="C137" i="9"/>
  <c r="C173" i="9" s="1"/>
  <c r="D138" i="9"/>
  <c r="D174" i="9" s="1"/>
  <c r="E129" i="9"/>
  <c r="D101" i="9"/>
  <c r="D62" i="9" s="1"/>
  <c r="C101" i="9"/>
  <c r="C62" i="9" s="1"/>
  <c r="G165" i="9" l="1"/>
  <c r="G148" i="9"/>
  <c r="C47" i="9"/>
  <c r="D47" i="9" s="1"/>
  <c r="E47" i="9" s="1"/>
  <c r="F47" i="9" s="1"/>
  <c r="G47" i="9" s="1"/>
  <c r="H47" i="9" s="1"/>
  <c r="I47" i="9" s="1"/>
  <c r="B130" i="9"/>
  <c r="B170" i="9" s="1"/>
  <c r="C131" i="9"/>
  <c r="C133" i="9"/>
  <c r="E132" i="9"/>
  <c r="E171" i="9" s="1"/>
  <c r="B129" i="9"/>
  <c r="C138" i="9"/>
  <c r="C174" i="9" s="1"/>
  <c r="B137" i="9"/>
  <c r="B173" i="9" s="1"/>
  <c r="E136" i="9"/>
  <c r="C135" i="9"/>
  <c r="C172" i="9" s="1"/>
  <c r="E133" i="9"/>
  <c r="B132" i="9"/>
  <c r="B171" i="9" s="1"/>
  <c r="E137" i="9"/>
  <c r="E173" i="9" s="1"/>
  <c r="C132" i="9"/>
  <c r="C171" i="9" s="1"/>
  <c r="C130" i="9"/>
  <c r="C170" i="9" s="1"/>
  <c r="E130" i="9"/>
  <c r="E170" i="9" s="1"/>
  <c r="D136" i="9"/>
  <c r="D134" i="9"/>
  <c r="F132" i="9"/>
  <c r="F171" i="9" s="1"/>
  <c r="D129" i="9"/>
  <c r="D130" i="9"/>
  <c r="D170" i="9" s="1"/>
  <c r="F135" i="9"/>
  <c r="F172" i="9" s="1"/>
  <c r="E139" i="9"/>
  <c r="E175" i="9" s="1"/>
  <c r="E135" i="9"/>
  <c r="E172" i="9" s="1"/>
  <c r="E131" i="9"/>
  <c r="D133" i="9"/>
  <c r="C129" i="9"/>
  <c r="C128" i="9"/>
  <c r="C169" i="9" s="1"/>
  <c r="B134" i="9"/>
  <c r="C134" i="9"/>
  <c r="F138" i="9"/>
  <c r="F174" i="9" s="1"/>
  <c r="D131" i="9"/>
  <c r="F133" i="9"/>
  <c r="F131" i="9"/>
  <c r="D135" i="9"/>
  <c r="D172" i="9" s="1"/>
  <c r="F130" i="9"/>
  <c r="F170" i="9" s="1"/>
  <c r="F129" i="9"/>
  <c r="B136" i="9"/>
  <c r="C136" i="9"/>
  <c r="E138" i="9"/>
  <c r="E174" i="9" s="1"/>
  <c r="E134" i="9"/>
  <c r="B135" i="9"/>
  <c r="B172" i="9" s="1"/>
  <c r="D137" i="9"/>
  <c r="D173" i="9" s="1"/>
  <c r="D132" i="9"/>
  <c r="D171" i="9" s="1"/>
  <c r="B133" i="9"/>
  <c r="B138" i="9"/>
  <c r="B174" i="9" s="1"/>
  <c r="F134" i="9"/>
  <c r="F137" i="9"/>
  <c r="F173" i="9" s="1"/>
  <c r="C80" i="9"/>
  <c r="D80" i="9" s="1"/>
  <c r="E80" i="9" s="1"/>
  <c r="F80" i="9" s="1"/>
  <c r="G80" i="9" s="1"/>
  <c r="H80" i="9" s="1"/>
  <c r="I80" i="9" s="1"/>
  <c r="C76" i="9"/>
  <c r="D76" i="9" s="1"/>
  <c r="E76" i="9" s="1"/>
  <c r="F76" i="9" s="1"/>
  <c r="G76" i="9" s="1"/>
  <c r="H76" i="9" s="1"/>
  <c r="I76" i="9" s="1"/>
  <c r="C48" i="9"/>
  <c r="D48" i="9" s="1"/>
  <c r="E48" i="9" s="1"/>
  <c r="F48" i="9" s="1"/>
  <c r="G48" i="9" s="1"/>
  <c r="H48" i="9" s="1"/>
  <c r="I48" i="9" s="1"/>
  <c r="C75" i="9"/>
  <c r="D75" i="9" s="1"/>
  <c r="E75" i="9" s="1"/>
  <c r="F75" i="9" s="1"/>
  <c r="G75" i="9" s="1"/>
  <c r="H75" i="9" s="1"/>
  <c r="I75" i="9" s="1"/>
  <c r="C58" i="9"/>
  <c r="D58" i="9" s="1"/>
  <c r="E58" i="9" s="1"/>
  <c r="F58" i="9" s="1"/>
  <c r="G58" i="9" s="1"/>
  <c r="H58" i="9" s="1"/>
  <c r="I58" i="9" s="1"/>
  <c r="C79" i="9"/>
  <c r="D79" i="9" s="1"/>
  <c r="E79" i="9" s="1"/>
  <c r="F79" i="9" s="1"/>
  <c r="G79" i="9" s="1"/>
  <c r="H79" i="9" s="1"/>
  <c r="I79" i="9" s="1"/>
  <c r="C49" i="9"/>
  <c r="D49" i="9" s="1"/>
  <c r="E49" i="9" s="1"/>
  <c r="F49" i="9" s="1"/>
  <c r="G49" i="9" s="1"/>
  <c r="H49" i="9" s="1"/>
  <c r="I49" i="9" s="1"/>
  <c r="C74" i="9"/>
  <c r="D74" i="9" s="1"/>
  <c r="E74" i="9" s="1"/>
  <c r="F74" i="9" s="1"/>
  <c r="G74" i="9" s="1"/>
  <c r="H74" i="9" s="1"/>
  <c r="I74" i="9" s="1"/>
  <c r="C59" i="9"/>
  <c r="D59" i="9" s="1"/>
  <c r="E59" i="9" s="1"/>
  <c r="F59" i="9" s="1"/>
  <c r="G59" i="9" s="1"/>
  <c r="H59" i="9" s="1"/>
  <c r="I59" i="9" s="1"/>
  <c r="C46" i="9"/>
  <c r="C50" i="9"/>
  <c r="D50" i="9" s="1"/>
  <c r="E50" i="9" s="1"/>
  <c r="F50" i="9" s="1"/>
  <c r="G50" i="9" s="1"/>
  <c r="H50" i="9" s="1"/>
  <c r="I50" i="9" s="1"/>
  <c r="C77" i="9"/>
  <c r="D77" i="9" s="1"/>
  <c r="E77" i="9" s="1"/>
  <c r="F77" i="9" s="1"/>
  <c r="G77" i="9" s="1"/>
  <c r="H77" i="9" s="1"/>
  <c r="I77" i="9" s="1"/>
  <c r="C71" i="9"/>
  <c r="D71" i="9" s="1"/>
  <c r="E71" i="9" s="1"/>
  <c r="F71" i="9" s="1"/>
  <c r="G71" i="9" s="1"/>
  <c r="H71" i="9" s="1"/>
  <c r="I71" i="9" s="1"/>
  <c r="B73" i="9"/>
  <c r="E176" i="9" l="1"/>
  <c r="G174" i="9"/>
  <c r="G170" i="9"/>
  <c r="G172" i="9"/>
  <c r="G171" i="9"/>
  <c r="G173" i="9"/>
  <c r="B139" i="9"/>
  <c r="B175" i="9" s="1"/>
  <c r="D46" i="9"/>
  <c r="C139" i="9"/>
  <c r="C176" i="9" s="1"/>
  <c r="D139" i="9"/>
  <c r="D176" i="9" s="1"/>
  <c r="F139" i="9"/>
  <c r="F175" i="9" s="1"/>
  <c r="F128" i="9"/>
  <c r="F169" i="9" s="1"/>
  <c r="D128" i="9"/>
  <c r="D169" i="9" s="1"/>
  <c r="E128" i="9"/>
  <c r="B128" i="9"/>
  <c r="E101" i="9"/>
  <c r="C73" i="9"/>
  <c r="D73" i="9" s="1"/>
  <c r="E73" i="9" s="1"/>
  <c r="F73" i="9" s="1"/>
  <c r="G73" i="9" s="1"/>
  <c r="H73" i="9" s="1"/>
  <c r="I73" i="9" s="1"/>
  <c r="I101" i="9"/>
  <c r="F101" i="9"/>
  <c r="H101" i="9"/>
  <c r="G101" i="9"/>
  <c r="I62" i="9" l="1"/>
  <c r="F146" i="9" s="1"/>
  <c r="F163" i="9" s="1"/>
  <c r="G62" i="9"/>
  <c r="D146" i="9" s="1"/>
  <c r="D163" i="9" s="1"/>
  <c r="H62" i="9"/>
  <c r="E146" i="9" s="1"/>
  <c r="E163" i="9" s="1"/>
  <c r="E62" i="9"/>
  <c r="B146" i="9" s="1"/>
  <c r="G146" i="9" s="1"/>
  <c r="F62" i="9"/>
  <c r="C146" i="9" s="1"/>
  <c r="C163" i="9" s="1"/>
  <c r="B176" i="9"/>
  <c r="F176" i="9"/>
  <c r="F177" i="9" s="1"/>
  <c r="B140" i="9"/>
  <c r="B169" i="9"/>
  <c r="E140" i="9"/>
  <c r="E169" i="9"/>
  <c r="E177" i="9" s="1"/>
  <c r="D140" i="9"/>
  <c r="D175" i="9"/>
  <c r="D177" i="9" s="1"/>
  <c r="C140" i="9"/>
  <c r="C175" i="9"/>
  <c r="C177" i="9" s="1"/>
  <c r="E46" i="9"/>
  <c r="B147" i="9" s="1"/>
  <c r="F140" i="9"/>
  <c r="C60" i="9"/>
  <c r="D60" i="9" s="1"/>
  <c r="E60" i="9" s="1"/>
  <c r="F60" i="9" s="1"/>
  <c r="G60" i="9" s="1"/>
  <c r="H60" i="9" s="1"/>
  <c r="I60" i="9" s="1"/>
  <c r="B163" i="9" l="1"/>
  <c r="G163" i="9" s="1"/>
  <c r="G176" i="9"/>
  <c r="B177" i="9"/>
  <c r="G169" i="9"/>
  <c r="G175" i="9"/>
  <c r="B164" i="9"/>
  <c r="F46" i="9"/>
  <c r="C147" i="9" s="1"/>
  <c r="C164" i="9" s="1"/>
  <c r="G177" i="9" l="1"/>
  <c r="G46" i="9"/>
  <c r="D147" i="9" s="1"/>
  <c r="D164" i="9" s="1"/>
  <c r="H46" i="9" l="1"/>
  <c r="E147" i="9" s="1"/>
  <c r="E164" i="9" s="1"/>
  <c r="I46" i="9" l="1"/>
  <c r="F147" i="9" s="1"/>
  <c r="F164" i="9" s="1"/>
  <c r="G164" i="9" s="1"/>
  <c r="G147" i="9" l="1"/>
  <c r="C44" i="9" l="1"/>
  <c r="D44" i="9" s="1"/>
  <c r="E44" i="9" s="1"/>
  <c r="F44" i="9" s="1"/>
  <c r="G44" i="9" s="1"/>
  <c r="H44" i="9" s="1"/>
  <c r="I44" i="9" s="1"/>
  <c r="C45" i="9"/>
  <c r="D45" i="9" s="1"/>
  <c r="E45" i="9" s="1"/>
  <c r="F45" i="9" s="1"/>
  <c r="G45" i="9" s="1"/>
  <c r="H45" i="9" s="1"/>
  <c r="I45" i="9" s="1"/>
  <c r="B51" i="9" l="1"/>
  <c r="B70" i="9"/>
  <c r="B78" i="9" s="1"/>
  <c r="C78" i="9" s="1"/>
  <c r="C43" i="9"/>
  <c r="B81" i="9" l="1"/>
  <c r="C70" i="9"/>
  <c r="D70" i="9" s="1"/>
  <c r="E70" i="9" s="1"/>
  <c r="F70" i="9" s="1"/>
  <c r="G70" i="9" s="1"/>
  <c r="H70" i="9" s="1"/>
  <c r="I70" i="9" s="1"/>
  <c r="D43" i="9"/>
  <c r="C51" i="9"/>
  <c r="C81" i="9" s="1"/>
  <c r="D51" i="9" l="1"/>
  <c r="E43" i="9"/>
  <c r="B57" i="9"/>
  <c r="B144" i="9" l="1"/>
  <c r="B145" i="9"/>
  <c r="D78" i="9"/>
  <c r="C57" i="9"/>
  <c r="B63" i="9"/>
  <c r="F43" i="9"/>
  <c r="E51" i="9"/>
  <c r="C145" i="9" l="1"/>
  <c r="C162" i="9" s="1"/>
  <c r="C144" i="9"/>
  <c r="C161" i="9" s="1"/>
  <c r="B162" i="9"/>
  <c r="B64" i="9"/>
  <c r="D156" i="9"/>
  <c r="B161" i="9"/>
  <c r="B149" i="9"/>
  <c r="F51" i="9"/>
  <c r="G43" i="9"/>
  <c r="D57" i="9"/>
  <c r="D63" i="9" s="1"/>
  <c r="C63" i="9"/>
  <c r="E78" i="9"/>
  <c r="D81" i="9"/>
  <c r="C166" i="9" l="1"/>
  <c r="B166" i="9"/>
  <c r="D64" i="9"/>
  <c r="F157" i="9"/>
  <c r="D144" i="9"/>
  <c r="D161" i="9" s="1"/>
  <c r="D145" i="9"/>
  <c r="C64" i="9"/>
  <c r="E157" i="9"/>
  <c r="C149" i="9"/>
  <c r="G51" i="9"/>
  <c r="H43" i="9"/>
  <c r="E57" i="9"/>
  <c r="E63" i="9" s="1"/>
  <c r="F78" i="9"/>
  <c r="E81" i="9"/>
  <c r="E64" i="9" l="1"/>
  <c r="G158" i="9"/>
  <c r="E145" i="9"/>
  <c r="E162" i="9" s="1"/>
  <c r="E144" i="9"/>
  <c r="E161" i="9" s="1"/>
  <c r="B150" i="9"/>
  <c r="D162" i="9"/>
  <c r="D149" i="9"/>
  <c r="E121" i="9"/>
  <c r="F57" i="9"/>
  <c r="H51" i="9"/>
  <c r="I43" i="9"/>
  <c r="G78" i="9"/>
  <c r="F81" i="9"/>
  <c r="I51" i="9" l="1"/>
  <c r="F145" i="9"/>
  <c r="F162" i="9" s="1"/>
  <c r="G162" i="9" s="1"/>
  <c r="F144" i="9"/>
  <c r="F161" i="9" s="1"/>
  <c r="E166" i="9"/>
  <c r="D166" i="9"/>
  <c r="E149" i="9"/>
  <c r="G57" i="9"/>
  <c r="F63" i="9"/>
  <c r="H78" i="9"/>
  <c r="G81" i="9"/>
  <c r="H158" i="9" l="1"/>
  <c r="F166" i="9"/>
  <c r="G166" i="9" s="1"/>
  <c r="G145" i="9"/>
  <c r="G144" i="9"/>
  <c r="G161" i="9"/>
  <c r="F64" i="9"/>
  <c r="C150" i="9"/>
  <c r="F149" i="9"/>
  <c r="F121" i="9"/>
  <c r="H57" i="9"/>
  <c r="G63" i="9"/>
  <c r="I78" i="9"/>
  <c r="I81" i="9" s="1"/>
  <c r="H81" i="9"/>
  <c r="I158" i="9" l="1"/>
  <c r="G149" i="9"/>
  <c r="G64" i="9"/>
  <c r="D150" i="9"/>
  <c r="G121" i="9"/>
  <c r="I57" i="9"/>
  <c r="I63" i="9" s="1"/>
  <c r="H63" i="9"/>
  <c r="J158" i="9" l="1"/>
  <c r="K158" i="9"/>
  <c r="H64" i="9"/>
  <c r="E150" i="9"/>
  <c r="I64" i="9"/>
  <c r="F150" i="9"/>
  <c r="I121" i="9"/>
  <c r="H121" i="9"/>
</calcChain>
</file>

<file path=xl/comments1.xml><?xml version="1.0" encoding="utf-8"?>
<comments xmlns="http://schemas.openxmlformats.org/spreadsheetml/2006/main">
  <authors>
    <author>Mclagan, Shaun</author>
  </authors>
  <commentList>
    <comment ref="A122" authorId="0">
      <text>
        <r>
          <rPr>
            <sz val="9"/>
            <color indexed="81"/>
            <rFont val="Tahoma"/>
            <family val="2"/>
          </rPr>
          <t>Murray Link does not have corporate costs as it is a joint venture.</t>
        </r>
      </text>
    </comment>
  </commentList>
</comments>
</file>

<file path=xl/sharedStrings.xml><?xml version="1.0" encoding="utf-8"?>
<sst xmlns="http://schemas.openxmlformats.org/spreadsheetml/2006/main" count="190" uniqueCount="130">
  <si>
    <t>Total</t>
  </si>
  <si>
    <t>Reference Year</t>
  </si>
  <si>
    <t>2018/19</t>
  </si>
  <si>
    <t>2019/20</t>
  </si>
  <si>
    <t>2020/21</t>
  </si>
  <si>
    <t>2021/22</t>
  </si>
  <si>
    <t>2022/23</t>
  </si>
  <si>
    <t>2015-16</t>
  </si>
  <si>
    <t>2016-17</t>
  </si>
  <si>
    <t>2018-19</t>
  </si>
  <si>
    <t>Inflation Rate</t>
  </si>
  <si>
    <t>2017-18</t>
  </si>
  <si>
    <t>Base</t>
  </si>
  <si>
    <t>Target</t>
  </si>
  <si>
    <t>Insurance</t>
  </si>
  <si>
    <t>Efficient historic opex</t>
  </si>
  <si>
    <t>Real price changes</t>
  </si>
  <si>
    <t>Output growth</t>
  </si>
  <si>
    <t>Productivity growth</t>
  </si>
  <si>
    <t>Step changes</t>
  </si>
  <si>
    <t>Category specific forecasts</t>
  </si>
  <si>
    <t>NETWORK OPERATIONS AND MAINTENANCE</t>
  </si>
  <si>
    <t>Operating and maintenance expenses</t>
  </si>
  <si>
    <t>Management fees and expenses</t>
  </si>
  <si>
    <t>OTHER COSTS</t>
  </si>
  <si>
    <t>Tax on property and capital</t>
  </si>
  <si>
    <t>Accounting/audit fees</t>
  </si>
  <si>
    <t>Other</t>
  </si>
  <si>
    <t>Debt raising costs</t>
  </si>
  <si>
    <t>Labour</t>
  </si>
  <si>
    <t>Contractors</t>
  </si>
  <si>
    <t xml:space="preserve">Insurance, Licences and fees </t>
  </si>
  <si>
    <t xml:space="preserve">Overheads/corporate costs </t>
  </si>
  <si>
    <t xml:space="preserve">General </t>
  </si>
  <si>
    <t xml:space="preserve">Management services fees </t>
  </si>
  <si>
    <t xml:space="preserve">Treasury/financing costs </t>
  </si>
  <si>
    <t>2.16.1 - PRESCRIBED TRANSMISSION SERVICES - OPEX BY DRIVER</t>
  </si>
  <si>
    <t>2.16.2 - PRESCRIBED TRANSMISSION SERVICES - OPEX BY CATEGORY</t>
  </si>
  <si>
    <t>Year</t>
  </si>
  <si>
    <t>Forecast Operating Expenditure ($m Real 2012-13)</t>
  </si>
  <si>
    <t>PTRM</t>
  </si>
  <si>
    <t>Other operating costs (Materials)</t>
  </si>
  <si>
    <t>AIR BLAST COOLER MAINTENANCE  10 yrs</t>
  </si>
  <si>
    <t>AIR BLAST COOLER MAINTENANCE  2 yrs</t>
  </si>
  <si>
    <t>CAPACITIVE VOLTAGE TRANSFORMER MAINTENANCE 5 yrs</t>
  </si>
  <si>
    <t>CIRCUIT BREAKER MAINTENANCE 6 yrs</t>
  </si>
  <si>
    <t>DIRECT VOLTAGE DIVIDER MAINTENANCE 2 yrs</t>
  </si>
  <si>
    <t>DISCONNECTOR &amp; EARTH SWITCH MAINTENANCE 2 yrs</t>
  </si>
  <si>
    <t>MOTORISED OPERATING MECHANISM MAINTENANCE 6 yrs</t>
  </si>
  <si>
    <t>NITROGEN DISCHARGE UNIT MAINTENANCE 3 yrs</t>
  </si>
  <si>
    <t>OIL FILLED CAPACITOR MAINTENANCE 3 yrs</t>
  </si>
  <si>
    <t>OUTDOOR POST TYPE CURRENT TRANSFORMER 5 yrs</t>
  </si>
  <si>
    <t>PLC FILTER TUNING UNIT MAINTENANCE 5 yrs</t>
  </si>
  <si>
    <t>UNINTERRUPTIBLE POWER SUPPLY 5 yrs</t>
  </si>
  <si>
    <t>VALVE COOLING SYSTEM MAINTENANCE 2 yrs</t>
  </si>
  <si>
    <t>VALVE COOLING SYSTEM MAINTENANCE 5 yrs</t>
  </si>
  <si>
    <t>CPI Escalator</t>
  </si>
  <si>
    <t>Efficient Historic Opex- Categories</t>
  </si>
  <si>
    <t>Forecast ($0's, real June 2018)</t>
  </si>
  <si>
    <t>2019-20</t>
  </si>
  <si>
    <t>2020-21</t>
  </si>
  <si>
    <t>2021-22</t>
  </si>
  <si>
    <t>2022-23</t>
  </si>
  <si>
    <t>Corporate Costs</t>
  </si>
  <si>
    <t>Controllable Opex</t>
  </si>
  <si>
    <t>Maintenance</t>
  </si>
  <si>
    <t>Airblast cooler</t>
  </si>
  <si>
    <t>Capacitive Voltage Transformer</t>
  </si>
  <si>
    <t>Circuit Breaker</t>
  </si>
  <si>
    <t>Direct Voltage Divider</t>
  </si>
  <si>
    <t>Disconnectors and earth switch</t>
  </si>
  <si>
    <t>Motoerised operating mechanism</t>
  </si>
  <si>
    <t>Nitrogen Discharge unit</t>
  </si>
  <si>
    <t>Oil filled capacitor</t>
  </si>
  <si>
    <t>Outdoor post type current transformers</t>
  </si>
  <si>
    <t>PLC filter tuning unit</t>
  </si>
  <si>
    <t>Uninterruptible power supply</t>
  </si>
  <si>
    <t>Valve cooling system</t>
  </si>
  <si>
    <t>Routine</t>
  </si>
  <si>
    <t>Fault and Condition</t>
  </si>
  <si>
    <t>Non System</t>
  </si>
  <si>
    <t>Connection Charges</t>
  </si>
  <si>
    <t>Regulatory Split</t>
  </si>
  <si>
    <t>Murraylink</t>
  </si>
  <si>
    <t>Corrective</t>
  </si>
  <si>
    <t>Condition Based</t>
  </si>
  <si>
    <t>Written Submission Categories (in $1,000's)</t>
  </si>
  <si>
    <t>Non Recurring</t>
  </si>
  <si>
    <t>Connection Charge</t>
  </si>
  <si>
    <t>Operating Expenditure</t>
  </si>
  <si>
    <t>2014-15</t>
  </si>
  <si>
    <t>2013-14</t>
  </si>
  <si>
    <t>Actual</t>
  </si>
  <si>
    <t>Estimate (Current period)</t>
  </si>
  <si>
    <t>Forecast (future period)</t>
  </si>
  <si>
    <t>Written Submission Categories (in $m real 2018)</t>
  </si>
  <si>
    <t>Other non recurring operating expenditure</t>
  </si>
  <si>
    <t>Outputs</t>
  </si>
  <si>
    <t>Calculations</t>
  </si>
  <si>
    <t>Presentation Tables</t>
  </si>
  <si>
    <t>Inputs Tables</t>
  </si>
  <si>
    <t>Expenditures</t>
  </si>
  <si>
    <t>Expenditure</t>
  </si>
  <si>
    <t>Operating Expenditure Forecasting</t>
  </si>
  <si>
    <t xml:space="preserve">2.17.5 - CATEGORY SPECIFIC OPEX </t>
  </si>
  <si>
    <t>Description</t>
  </si>
  <si>
    <t>This is an every 10 year comprehensive maintenance of parts in the air blast cooler system. The maintainence all the various components is expected to cost $119,668 per decade.</t>
  </si>
  <si>
    <t>Every two years a comprehensive cleaning is undertaken on the airblast cooler. This is generally undertaken by the contractor Charlies Engineering and tends to cost an additional $3.3K to effect.</t>
  </si>
  <si>
    <t>5 year maintenance on the voltage transformer performed by Graylings and Lex Logic.</t>
  </si>
  <si>
    <t xml:space="preserve">Maintenance on the Redcliffe Circuit Breaker is performed every 6 years. These are outside and require a comprehensive inspection, cleaning and repair. The work needs to be performed by technical specialists and is currently undertaken by ABB. </t>
  </si>
  <si>
    <t>Maintenance specific to the Direct Voltage Divider spark testing is performed by ABB once every 2 years.</t>
  </si>
  <si>
    <t>Specific Disconnector and Earth switch maintenance is performed every 2 years by Coates Hire.</t>
  </si>
  <si>
    <t>Maintenance is performed every 6 years by Graylings and Lex Logic contracting.</t>
  </si>
  <si>
    <t>Replacement of hoses on the nitrogen discharge unit.</t>
  </si>
  <si>
    <t>The capacitor banks capacitance should be measured every 3 years.</t>
  </si>
  <si>
    <t>The transformers resin surface needs to be cleaned and re-coated with a silicone resin.</t>
  </si>
  <si>
    <t>A detailed inspection of the PLC filter tuning unit is required every 5 years and is performed by ABB.</t>
  </si>
  <si>
    <t>Repairing and maintaining the cooling fans.</t>
  </si>
  <si>
    <t>Standard two year maintenance.</t>
  </si>
  <si>
    <t>The ion exchange vessels need to be dismantled and cleaned every 5 years.</t>
  </si>
  <si>
    <t>2.6.1 - NON-NETWORK EXPENDITURE</t>
  </si>
  <si>
    <t xml:space="preserve">EXPENDITURE </t>
  </si>
  <si>
    <t>OPEX</t>
  </si>
  <si>
    <t>IT &amp; COMMUNICATIONS</t>
  </si>
  <si>
    <t>MOTOR VEHICLES</t>
  </si>
  <si>
    <t>BUILDINGS AND PROPERTY</t>
  </si>
  <si>
    <t>Total buildings and property expenditure</t>
  </si>
  <si>
    <t>OTHER</t>
  </si>
  <si>
    <t>Total other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</si>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</sst>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[Red]\-&quot;$&quot;* #,##0_-;_-&quot;$&quot;* &quot;-&quot;??_-;_-@_-"/>
    <numFmt numFmtId="165" formatCode="_-* #,##0.0_-;[Red]\(#,##0.0\)_-;_-* &quot;-&quot;??_-;_-@_-"/>
    <numFmt numFmtId="166" formatCode="0.000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&quot;$&quot;* #,##0.000_-;\-&quot;$&quot;* #,##0.000_-;_-&quot;$&quot;* &quot;-&quot;???_-;_-@_-"/>
    <numFmt numFmtId="170" formatCode="_-* #,##0.0_-;\-* #,##0.0_-;_-* &quot;-&quot;??_-;_-@_-"/>
    <numFmt numFmtId="171" formatCode="_-* #,##0.0_-;\-* #,##0.0_-;_-* &quot;-&quot;_-;_-@_-"/>
  </numFmts>
  <fonts count="26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nsolas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Arial"/>
      <family val="2"/>
    </font>
    <font>
      <b/>
      <sz val="24"/>
      <color theme="1"/>
      <name val="Century"/>
      <family val="1"/>
    </font>
    <font>
      <b/>
      <sz val="14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medium">
        <color auto="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 applyFill="0"/>
    <xf numFmtId="0" fontId="2" fillId="0" borderId="0"/>
    <xf numFmtId="165" fontId="5" fillId="11" borderId="23" applyBorder="0">
      <alignment horizontal="right"/>
    </xf>
    <xf numFmtId="0" fontId="16" fillId="3" borderId="0">
      <alignment vertical="center"/>
      <protection locked="0"/>
    </xf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164" fontId="0" fillId="0" borderId="0" xfId="0" applyNumberFormat="1"/>
    <xf numFmtId="43" fontId="0" fillId="0" borderId="0" xfId="0" applyNumberFormat="1"/>
    <xf numFmtId="0" fontId="8" fillId="0" borderId="4" xfId="5" applyFont="1" applyFill="1" applyBorder="1" applyAlignment="1">
      <alignment horizontal="right" vertical="center" indent="1"/>
    </xf>
    <xf numFmtId="0" fontId="8" fillId="0" borderId="5" xfId="5" applyFont="1" applyFill="1" applyBorder="1" applyAlignment="1">
      <alignment horizontal="right" vertical="center" indent="1"/>
    </xf>
    <xf numFmtId="0" fontId="8" fillId="0" borderId="6" xfId="5" applyFont="1" applyFill="1" applyBorder="1" applyAlignment="1">
      <alignment horizontal="right" vertical="center" indent="1"/>
    </xf>
    <xf numFmtId="0" fontId="10" fillId="0" borderId="7" xfId="0" applyFont="1" applyFill="1" applyBorder="1" applyAlignment="1">
      <alignment horizontal="right" vertical="center" wrapText="1" indent="1"/>
    </xf>
    <xf numFmtId="0" fontId="11" fillId="2" borderId="8" xfId="0" applyFont="1" applyFill="1" applyBorder="1" applyProtection="1"/>
    <xf numFmtId="0" fontId="12" fillId="0" borderId="4" xfId="5" applyFont="1" applyFill="1" applyBorder="1" applyAlignment="1">
      <alignment horizontal="right" vertical="center" indent="1"/>
    </xf>
    <xf numFmtId="0" fontId="12" fillId="0" borderId="5" xfId="5" applyFont="1" applyFill="1" applyBorder="1" applyAlignment="1">
      <alignment horizontal="right" vertical="center" indent="1"/>
    </xf>
    <xf numFmtId="44" fontId="0" fillId="0" borderId="0" xfId="0" applyNumberFormat="1"/>
    <xf numFmtId="0" fontId="13" fillId="3" borderId="0" xfId="6" applyFont="1" applyFill="1" applyBorder="1" applyAlignment="1" applyProtection="1">
      <alignment vertical="center"/>
    </xf>
    <xf numFmtId="0" fontId="9" fillId="8" borderId="11" xfId="5" applyFont="1" applyFill="1" applyBorder="1" applyAlignment="1">
      <alignment horizontal="left" vertical="center" wrapText="1"/>
    </xf>
    <xf numFmtId="4" fontId="2" fillId="10" borderId="12" xfId="5" applyNumberFormat="1" applyFont="1" applyFill="1" applyBorder="1" applyAlignment="1" applyProtection="1">
      <alignment horizontal="left" vertical="center"/>
      <protection locked="0"/>
    </xf>
    <xf numFmtId="4" fontId="2" fillId="10" borderId="16" xfId="5" applyNumberFormat="1" applyFont="1" applyFill="1" applyBorder="1" applyAlignment="1" applyProtection="1">
      <alignment horizontal="left" vertical="center"/>
      <protection locked="0"/>
    </xf>
    <xf numFmtId="4" fontId="2" fillId="10" borderId="20" xfId="5" applyNumberFormat="1" applyFont="1" applyFill="1" applyBorder="1" applyAlignment="1" applyProtection="1">
      <alignment horizontal="right" vertical="center"/>
      <protection locked="0"/>
    </xf>
    <xf numFmtId="4" fontId="2" fillId="10" borderId="21" xfId="5" applyNumberFormat="1" applyFont="1" applyFill="1" applyBorder="1" applyAlignment="1" applyProtection="1">
      <alignment horizontal="right" vertical="center"/>
      <protection locked="0"/>
    </xf>
    <xf numFmtId="0" fontId="11" fillId="2" borderId="8" xfId="0" applyFont="1" applyFill="1" applyBorder="1" applyAlignment="1" applyProtection="1">
      <alignment horizontal="right"/>
    </xf>
    <xf numFmtId="0" fontId="14" fillId="6" borderId="27" xfId="5" applyFont="1" applyFill="1" applyBorder="1" applyAlignment="1" applyProtection="1">
      <alignment horizontal="center" vertical="center" wrapText="1"/>
    </xf>
    <xf numFmtId="0" fontId="14" fillId="6" borderId="28" xfId="5" applyFont="1" applyFill="1" applyBorder="1" applyAlignment="1" applyProtection="1">
      <alignment horizontal="center" vertical="center" wrapText="1"/>
    </xf>
    <xf numFmtId="0" fontId="14" fillId="6" borderId="29" xfId="5" applyFont="1" applyFill="1" applyBorder="1" applyAlignment="1" applyProtection="1">
      <alignment horizontal="center" vertical="center" wrapText="1"/>
    </xf>
    <xf numFmtId="0" fontId="14" fillId="9" borderId="24" xfId="5" applyFont="1" applyFill="1" applyBorder="1" applyAlignment="1" applyProtection="1">
      <alignment horizontal="center" vertical="center" wrapText="1"/>
    </xf>
    <xf numFmtId="0" fontId="14" fillId="9" borderId="31" xfId="5" applyFont="1" applyFill="1" applyBorder="1" applyAlignment="1" applyProtection="1">
      <alignment horizontal="center" vertical="center" wrapText="1"/>
    </xf>
    <xf numFmtId="44" fontId="5" fillId="2" borderId="9" xfId="3" applyFont="1" applyFill="1" applyBorder="1" applyAlignment="1" applyProtection="1">
      <alignment horizontal="right"/>
    </xf>
    <xf numFmtId="44" fontId="5" fillId="2" borderId="10" xfId="3" applyFont="1" applyFill="1" applyBorder="1" applyAlignment="1" applyProtection="1">
      <alignment horizontal="right"/>
    </xf>
    <xf numFmtId="0" fontId="9" fillId="5" borderId="24" xfId="0" applyFont="1" applyFill="1" applyBorder="1" applyAlignment="1">
      <alignment vertical="center"/>
    </xf>
    <xf numFmtId="0" fontId="0" fillId="0" borderId="24" xfId="0" applyBorder="1"/>
    <xf numFmtId="9" fontId="0" fillId="0" borderId="24" xfId="1" applyFont="1" applyBorder="1"/>
    <xf numFmtId="43" fontId="1" fillId="5" borderId="24" xfId="0" applyNumberFormat="1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/>
    </xf>
    <xf numFmtId="0" fontId="0" fillId="12" borderId="0" xfId="0" applyFill="1" applyProtection="1"/>
    <xf numFmtId="44" fontId="5" fillId="2" borderId="33" xfId="3" applyFont="1" applyFill="1" applyBorder="1" applyAlignment="1" applyProtection="1">
      <alignment horizontal="right"/>
    </xf>
    <xf numFmtId="164" fontId="0" fillId="0" borderId="32" xfId="0" applyNumberFormat="1" applyBorder="1"/>
    <xf numFmtId="44" fontId="0" fillId="0" borderId="34" xfId="0" applyNumberFormat="1" applyBorder="1"/>
    <xf numFmtId="44" fontId="0" fillId="0" borderId="19" xfId="0" applyNumberFormat="1" applyBorder="1"/>
    <xf numFmtId="0" fontId="0" fillId="0" borderId="32" xfId="0" applyBorder="1"/>
    <xf numFmtId="7" fontId="0" fillId="0" borderId="32" xfId="0" applyNumberFormat="1" applyBorder="1"/>
    <xf numFmtId="164" fontId="0" fillId="0" borderId="34" xfId="0" applyNumberFormat="1" applyBorder="1"/>
    <xf numFmtId="164" fontId="0" fillId="0" borderId="19" xfId="0" applyNumberFormat="1" applyBorder="1"/>
    <xf numFmtId="168" fontId="2" fillId="10" borderId="15" xfId="3" applyNumberFormat="1" applyFont="1" applyFill="1" applyBorder="1" applyAlignment="1" applyProtection="1">
      <alignment horizontal="right" vertical="center"/>
      <protection locked="0"/>
    </xf>
    <xf numFmtId="168" fontId="2" fillId="10" borderId="14" xfId="3" applyNumberFormat="1" applyFont="1" applyFill="1" applyBorder="1" applyAlignment="1" applyProtection="1">
      <alignment horizontal="right" vertical="center"/>
      <protection locked="0"/>
    </xf>
    <xf numFmtId="168" fontId="2" fillId="10" borderId="13" xfId="3" applyNumberFormat="1" applyFont="1" applyFill="1" applyBorder="1" applyAlignment="1" applyProtection="1">
      <alignment horizontal="right" vertical="center"/>
      <protection locked="0"/>
    </xf>
    <xf numFmtId="168" fontId="2" fillId="10" borderId="19" xfId="3" applyNumberFormat="1" applyFont="1" applyFill="1" applyBorder="1" applyAlignment="1" applyProtection="1">
      <alignment horizontal="right" vertical="center"/>
      <protection locked="0"/>
    </xf>
    <xf numFmtId="168" fontId="2" fillId="10" borderId="18" xfId="3" applyNumberFormat="1" applyFont="1" applyFill="1" applyBorder="1" applyAlignment="1" applyProtection="1">
      <alignment horizontal="right" vertical="center"/>
      <protection locked="0"/>
    </xf>
    <xf numFmtId="168" fontId="2" fillId="10" borderId="17" xfId="3" applyNumberFormat="1" applyFont="1" applyFill="1" applyBorder="1" applyAlignment="1" applyProtection="1">
      <alignment horizontal="right" vertical="center"/>
      <protection locked="0"/>
    </xf>
    <xf numFmtId="168" fontId="2" fillId="10" borderId="22" xfId="3" applyNumberFormat="1" applyFont="1" applyFill="1" applyBorder="1" applyAlignment="1" applyProtection="1">
      <alignment horizontal="right" vertical="center"/>
      <protection locked="0"/>
    </xf>
    <xf numFmtId="168" fontId="2" fillId="10" borderId="20" xfId="3" applyNumberFormat="1" applyFont="1" applyFill="1" applyBorder="1" applyAlignment="1" applyProtection="1">
      <alignment horizontal="right" vertical="center"/>
      <protection locked="0"/>
    </xf>
    <xf numFmtId="168" fontId="2" fillId="10" borderId="21" xfId="3" applyNumberFormat="1" applyFont="1" applyFill="1" applyBorder="1" applyAlignment="1" applyProtection="1">
      <alignment horizontal="right" vertical="center"/>
      <protection locked="0"/>
    </xf>
    <xf numFmtId="0" fontId="3" fillId="0" borderId="3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9" fillId="0" borderId="37" xfId="0" applyFont="1" applyBorder="1" applyAlignment="1">
      <alignment horizontal="justify" vertical="center" wrapText="1"/>
    </xf>
    <xf numFmtId="0" fontId="17" fillId="3" borderId="0" xfId="0" applyFont="1" applyFill="1" applyProtection="1"/>
    <xf numFmtId="41" fontId="18" fillId="0" borderId="36" xfId="0" applyNumberFormat="1" applyFont="1" applyBorder="1" applyAlignment="1">
      <alignment horizontal="justify" vertical="center"/>
    </xf>
    <xf numFmtId="41" fontId="18" fillId="0" borderId="38" xfId="0" applyNumberFormat="1" applyFont="1" applyBorder="1" applyAlignment="1">
      <alignment horizontal="justify" vertical="center"/>
    </xf>
    <xf numFmtId="44" fontId="0" fillId="0" borderId="34" xfId="0" applyNumberFormat="1" applyFont="1" applyBorder="1"/>
    <xf numFmtId="44" fontId="0" fillId="0" borderId="19" xfId="0" applyNumberFormat="1" applyFont="1" applyBorder="1"/>
    <xf numFmtId="169" fontId="0" fillId="0" borderId="0" xfId="0" applyNumberFormat="1"/>
    <xf numFmtId="0" fontId="0" fillId="0" borderId="37" xfId="0" applyFont="1" applyBorder="1" applyAlignment="1">
      <alignment vertical="center"/>
    </xf>
    <xf numFmtId="0" fontId="0" fillId="12" borderId="0" xfId="0" applyFill="1"/>
    <xf numFmtId="170" fontId="18" fillId="0" borderId="36" xfId="0" applyNumberFormat="1" applyFont="1" applyBorder="1" applyAlignment="1">
      <alignment horizontal="justify" vertical="center"/>
    </xf>
    <xf numFmtId="171" fontId="18" fillId="0" borderId="36" xfId="0" applyNumberFormat="1" applyFont="1" applyBorder="1" applyAlignment="1">
      <alignment horizontal="justify" vertical="center"/>
    </xf>
    <xf numFmtId="171" fontId="18" fillId="0" borderId="38" xfId="0" applyNumberFormat="1" applyFont="1" applyBorder="1" applyAlignment="1">
      <alignment horizontal="justify" vertical="center"/>
    </xf>
    <xf numFmtId="164" fontId="0" fillId="0" borderId="0" xfId="0" applyNumberFormat="1" applyFill="1"/>
    <xf numFmtId="44" fontId="0" fillId="0" borderId="32" xfId="0" applyNumberFormat="1" applyBorder="1"/>
    <xf numFmtId="0" fontId="20" fillId="9" borderId="24" xfId="0" applyFont="1" applyFill="1" applyBorder="1"/>
    <xf numFmtId="166" fontId="0" fillId="9" borderId="2" xfId="0" applyNumberFormat="1" applyFill="1" applyBorder="1"/>
    <xf numFmtId="166" fontId="0" fillId="9" borderId="3" xfId="0" applyNumberFormat="1" applyFill="1" applyBorder="1"/>
    <xf numFmtId="166" fontId="0" fillId="9" borderId="39" xfId="0" applyNumberFormat="1" applyFill="1" applyBorder="1"/>
    <xf numFmtId="166" fontId="0" fillId="6" borderId="2" xfId="0" applyNumberFormat="1" applyFill="1" applyBorder="1"/>
    <xf numFmtId="166" fontId="0" fillId="6" borderId="3" xfId="0" applyNumberFormat="1" applyFill="1" applyBorder="1"/>
    <xf numFmtId="166" fontId="0" fillId="6" borderId="39" xfId="0" applyNumberFormat="1" applyFill="1" applyBorder="1"/>
    <xf numFmtId="0" fontId="21" fillId="0" borderId="0" xfId="0" applyFont="1"/>
    <xf numFmtId="0" fontId="0" fillId="0" borderId="40" xfId="0" applyBorder="1"/>
    <xf numFmtId="0" fontId="0" fillId="0" borderId="1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4" xfId="0" applyBorder="1"/>
    <xf numFmtId="0" fontId="0" fillId="0" borderId="19" xfId="0" applyBorder="1"/>
    <xf numFmtId="164" fontId="0" fillId="0" borderId="18" xfId="0" applyNumberFormat="1" applyBorder="1"/>
    <xf numFmtId="0" fontId="12" fillId="0" borderId="0" xfId="5" applyFont="1" applyFill="1" applyBorder="1" applyAlignment="1">
      <alignment horizontal="right" vertical="center" indent="1"/>
    </xf>
    <xf numFmtId="0" fontId="20" fillId="9" borderId="2" xfId="0" applyFont="1" applyFill="1" applyBorder="1" applyAlignment="1"/>
    <xf numFmtId="0" fontId="20" fillId="9" borderId="39" xfId="0" applyFont="1" applyFill="1" applyBorder="1" applyAlignment="1"/>
    <xf numFmtId="0" fontId="8" fillId="0" borderId="45" xfId="5" applyFont="1" applyFill="1" applyBorder="1" applyAlignment="1">
      <alignment horizontal="right" vertical="center" indent="1"/>
    </xf>
    <xf numFmtId="164" fontId="0" fillId="0" borderId="46" xfId="0" applyNumberFormat="1" applyBorder="1"/>
    <xf numFmtId="164" fontId="0" fillId="0" borderId="47" xfId="0" applyNumberFormat="1" applyBorder="1"/>
    <xf numFmtId="164" fontId="0" fillId="0" borderId="48" xfId="0" applyNumberFormat="1" applyBorder="1"/>
    <xf numFmtId="0" fontId="10" fillId="0" borderId="49" xfId="0" applyFont="1" applyFill="1" applyBorder="1" applyAlignment="1">
      <alignment horizontal="right" vertical="center" wrapText="1" indent="1"/>
    </xf>
    <xf numFmtId="164" fontId="4" fillId="0" borderId="50" xfId="0" applyNumberFormat="1" applyFont="1" applyBorder="1"/>
    <xf numFmtId="164" fontId="0" fillId="0" borderId="51" xfId="0" applyNumberFormat="1" applyBorder="1"/>
    <xf numFmtId="164" fontId="0" fillId="0" borderId="22" xfId="0" applyNumberFormat="1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22" fillId="9" borderId="0" xfId="0" applyFont="1" applyFill="1"/>
    <xf numFmtId="0" fontId="0" fillId="9" borderId="0" xfId="0" applyFill="1"/>
    <xf numFmtId="0" fontId="21" fillId="9" borderId="0" xfId="0" applyFont="1" applyFill="1"/>
    <xf numFmtId="0" fontId="10" fillId="0" borderId="5" xfId="5" applyFont="1" applyFill="1" applyBorder="1" applyAlignment="1">
      <alignment horizontal="right" vertical="center" indent="1"/>
    </xf>
    <xf numFmtId="164" fontId="4" fillId="0" borderId="18" xfId="0" applyNumberFormat="1" applyFont="1" applyBorder="1"/>
    <xf numFmtId="4" fontId="2" fillId="10" borderId="54" xfId="5" applyNumberFormat="1" applyFont="1" applyFill="1" applyBorder="1" applyAlignment="1" applyProtection="1">
      <alignment horizontal="left" vertical="center"/>
      <protection locked="0"/>
    </xf>
    <xf numFmtId="0" fontId="9" fillId="8" borderId="35" xfId="5" applyFont="1" applyFill="1" applyBorder="1" applyAlignment="1">
      <alignment horizontal="left" vertical="center" wrapText="1"/>
    </xf>
    <xf numFmtId="4" fontId="1" fillId="10" borderId="52" xfId="5" applyNumberFormat="1" applyFont="1" applyFill="1" applyBorder="1" applyAlignment="1" applyProtection="1">
      <alignment horizontal="left" vertical="center"/>
      <protection locked="0"/>
    </xf>
    <xf numFmtId="4" fontId="1" fillId="10" borderId="53" xfId="5" applyNumberFormat="1" applyFont="1" applyFill="1" applyBorder="1" applyAlignment="1" applyProtection="1">
      <alignment horizontal="left" vertical="center"/>
      <protection locked="0"/>
    </xf>
    <xf numFmtId="0" fontId="13" fillId="3" borderId="0" xfId="9" applyFont="1" applyBorder="1" applyProtection="1">
      <alignment vertical="center"/>
    </xf>
    <xf numFmtId="0" fontId="23" fillId="3" borderId="0" xfId="6" applyFont="1" applyFill="1" applyBorder="1" applyAlignment="1" applyProtection="1">
      <alignment vertical="center"/>
    </xf>
    <xf numFmtId="0" fontId="24" fillId="13" borderId="8" xfId="9" applyFont="1" applyFill="1" applyBorder="1" applyProtection="1">
      <alignment vertical="center"/>
    </xf>
    <xf numFmtId="0" fontId="18" fillId="12" borderId="58" xfId="0" applyFont="1" applyFill="1" applyBorder="1" applyProtection="1"/>
    <xf numFmtId="0" fontId="18" fillId="12" borderId="59" xfId="0" applyFont="1" applyFill="1" applyBorder="1" applyProtection="1"/>
    <xf numFmtId="0" fontId="2" fillId="0" borderId="62" xfId="7" applyBorder="1"/>
    <xf numFmtId="0" fontId="9" fillId="9" borderId="8" xfId="5" applyFont="1" applyFill="1" applyBorder="1" applyAlignment="1">
      <alignment vertical="center"/>
    </xf>
    <xf numFmtId="0" fontId="9" fillId="9" borderId="33" xfId="5" applyFont="1" applyFill="1" applyBorder="1" applyAlignment="1" applyProtection="1">
      <alignment horizontal="center" vertical="center" wrapText="1"/>
    </xf>
    <xf numFmtId="0" fontId="9" fillId="6" borderId="55" xfId="5" applyFont="1" applyFill="1" applyBorder="1" applyAlignment="1" applyProtection="1">
      <alignment horizontal="center" vertical="center" wrapText="1"/>
    </xf>
    <xf numFmtId="0" fontId="9" fillId="6" borderId="56" xfId="5" applyFont="1" applyFill="1" applyBorder="1" applyAlignment="1" applyProtection="1">
      <alignment horizontal="center" vertical="center" wrapText="1"/>
    </xf>
    <xf numFmtId="0" fontId="17" fillId="13" borderId="57" xfId="0" applyFont="1" applyFill="1" applyBorder="1" applyProtection="1"/>
    <xf numFmtId="0" fontId="17" fillId="13" borderId="36" xfId="0" applyFont="1" applyFill="1" applyBorder="1" applyProtection="1"/>
    <xf numFmtId="168" fontId="1" fillId="14" borderId="14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13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15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60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61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48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18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17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19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20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21" xfId="3" applyNumberFormat="1" applyFont="1" applyFill="1" applyBorder="1" applyAlignment="1" applyProtection="1">
      <alignment horizontal="center" vertical="center" wrapText="1"/>
      <protection locked="0"/>
    </xf>
    <xf numFmtId="168" fontId="1" fillId="14" borderId="22" xfId="3" applyNumberFormat="1" applyFont="1" applyFill="1" applyBorder="1" applyAlignment="1" applyProtection="1">
      <alignment horizontal="center" vertical="center" wrapText="1"/>
      <protection locked="0"/>
    </xf>
    <xf numFmtId="165" fontId="25" fillId="2" borderId="10" xfId="8" applyFont="1" applyFill="1" applyBorder="1" applyProtection="1">
      <alignment horizontal="right"/>
    </xf>
    <xf numFmtId="42" fontId="25" fillId="2" borderId="9" xfId="3" applyNumberFormat="1" applyFont="1" applyFill="1" applyBorder="1" applyAlignment="1" applyProtection="1">
      <alignment horizontal="right"/>
    </xf>
    <xf numFmtId="42" fontId="25" fillId="2" borderId="10" xfId="3" applyNumberFormat="1" applyFont="1" applyFill="1" applyBorder="1" applyAlignment="1" applyProtection="1">
      <alignment horizontal="right"/>
    </xf>
    <xf numFmtId="0" fontId="3" fillId="0" borderId="0" xfId="0" applyFont="1"/>
    <xf numFmtId="0" fontId="3" fillId="12" borderId="0" xfId="0" applyFont="1" applyFill="1" applyProtection="1"/>
    <xf numFmtId="44" fontId="3" fillId="0" borderId="0" xfId="0" applyNumberFormat="1" applyFont="1" applyFill="1"/>
    <xf numFmtId="164" fontId="3" fillId="0" borderId="0" xfId="0" applyNumberFormat="1" applyFont="1" applyFill="1"/>
    <xf numFmtId="168" fontId="5" fillId="2" borderId="10" xfId="3" applyNumberFormat="1" applyFont="1" applyFill="1" applyBorder="1" applyAlignment="1" applyProtection="1">
      <alignment horizontal="right"/>
    </xf>
    <xf numFmtId="0" fontId="9" fillId="7" borderId="30" xfId="5" applyFont="1" applyFill="1" applyBorder="1" applyAlignment="1">
      <alignment horizontal="center" vertical="center"/>
    </xf>
    <xf numFmtId="0" fontId="9" fillId="7" borderId="25" xfId="5" applyFont="1" applyFill="1" applyBorder="1" applyAlignment="1">
      <alignment horizontal="center" vertical="center"/>
    </xf>
    <xf numFmtId="0" fontId="9" fillId="7" borderId="26" xfId="5" applyFont="1" applyFill="1" applyBorder="1" applyAlignment="1">
      <alignment horizontal="center" vertical="center"/>
    </xf>
    <xf numFmtId="0" fontId="9" fillId="7" borderId="8" xfId="5" applyFont="1" applyFill="1" applyBorder="1" applyAlignment="1">
      <alignment horizontal="center" vertical="center"/>
    </xf>
    <xf numFmtId="0" fontId="9" fillId="7" borderId="57" xfId="5" applyFont="1" applyFill="1" applyBorder="1" applyAlignment="1">
      <alignment horizontal="center" vertical="center"/>
    </xf>
    <xf numFmtId="0" fontId="9" fillId="7" borderId="36" xfId="5" applyFont="1" applyFill="1" applyBorder="1" applyAlignment="1">
      <alignment horizontal="center" vertical="center"/>
    </xf>
    <xf numFmtId="0" fontId="9" fillId="6" borderId="8" xfId="0" applyFont="1" applyFill="1" applyBorder="1" applyAlignment="1" applyProtection="1">
      <alignment horizontal="center" vertical="center" wrapText="1"/>
    </xf>
    <xf numFmtId="0" fontId="9" fillId="6" borderId="57" xfId="0" applyFont="1" applyFill="1" applyBorder="1" applyAlignment="1" applyProtection="1">
      <alignment horizontal="center" vertical="center" wrapText="1"/>
    </xf>
    <xf numFmtId="0" fontId="9" fillId="6" borderId="6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2">
    <cellStyle name="Comma 12" xfId="11"/>
    <cellStyle name="Comma 2 3 3" xfId="10"/>
    <cellStyle name="Currency" xfId="3" builtinId="4"/>
    <cellStyle name="dms_NUM_grey_dp1" xfId="8"/>
    <cellStyle name="Normal" xfId="0" builtinId="0"/>
    <cellStyle name="Normal 10" xfId="7"/>
    <cellStyle name="Normal 114" xfId="6"/>
    <cellStyle name="Normal 2" xfId="4"/>
    <cellStyle name="Normal 40" xfId="2"/>
    <cellStyle name="Normal_20090617 - RIN - justifications 2" xfId="5"/>
    <cellStyle name="Percent" xfId="1" builtinId="5"/>
    <cellStyle name="TableLvl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'Presentation Page'!$A$156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cat>
            <c:strRef>
              <c:f>'Presentation Page'!$B$155:$K$155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'Presentation Page'!$B$156:$K$156</c:f>
              <c:numCache>
                <c:formatCode>_-* #,##0.0_-;\-* #,##0.0_-;_-* "-"??_-;_-@_-</c:formatCode>
                <c:ptCount val="10"/>
                <c:pt idx="0">
                  <c:v>3.7860015052084615</c:v>
                </c:pt>
                <c:pt idx="1">
                  <c:v>4.5098386685864646</c:v>
                </c:pt>
                <c:pt idx="2">
                  <c:v>4.1598962018977783</c:v>
                </c:pt>
              </c:numCache>
            </c:numRef>
          </c:val>
        </c:ser>
        <c:ser>
          <c:idx val="1"/>
          <c:order val="1"/>
          <c:tx>
            <c:strRef>
              <c:f>'Presentation Page'!$A$157</c:f>
              <c:strCache>
                <c:ptCount val="1"/>
                <c:pt idx="0">
                  <c:v>Estimate (Current period)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'Presentation Page'!$B$155:$K$155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'Presentation Page'!$B$157:$K$157</c:f>
              <c:numCache>
                <c:formatCode>_-* #,##0.0_-;\-* #,##0.0_-;_-* "-"??_-;_-@_-</c:formatCode>
                <c:ptCount val="10"/>
                <c:pt idx="3">
                  <c:v>4.2116477126795999</c:v>
                </c:pt>
                <c:pt idx="4">
                  <c:v>4.2265270460346667</c:v>
                </c:pt>
              </c:numCache>
            </c:numRef>
          </c:val>
        </c:ser>
        <c:ser>
          <c:idx val="2"/>
          <c:order val="2"/>
          <c:tx>
            <c:strRef>
              <c:f>'Presentation Page'!$A$158</c:f>
              <c:strCache>
                <c:ptCount val="1"/>
                <c:pt idx="0">
                  <c:v>Forecast (future period)</c:v>
                </c:pt>
              </c:strCache>
            </c:strRef>
          </c:tx>
          <c:invertIfNegative val="0"/>
          <c:cat>
            <c:strRef>
              <c:f>'Presentation Page'!$B$155:$K$155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'Presentation Page'!$B$158:$K$158</c:f>
              <c:numCache>
                <c:formatCode>_-* #,##0.0_-;\-* #,##0.0_-;_-* "-"??_-;_-@_-</c:formatCode>
                <c:ptCount val="10"/>
                <c:pt idx="5">
                  <c:v>4.3829950064928003</c:v>
                </c:pt>
                <c:pt idx="6">
                  <c:v>4.3610296274928002</c:v>
                </c:pt>
                <c:pt idx="7">
                  <c:v>4.4081974761594678</c:v>
                </c:pt>
                <c:pt idx="8">
                  <c:v>4.3610296274928002</c:v>
                </c:pt>
                <c:pt idx="9">
                  <c:v>4.5317644024928008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95"/>
        <c:axId val="41966592"/>
        <c:axId val="91804800"/>
      </c:barChart>
      <c:catAx>
        <c:axId val="4196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1804800"/>
        <c:crosses val="autoZero"/>
        <c:auto val="1"/>
        <c:lblAlgn val="ctr"/>
        <c:lblOffset val="100"/>
        <c:noMultiLvlLbl val="0"/>
      </c:catAx>
      <c:valAx>
        <c:axId val="9180480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$m real 2018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4196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138111</xdr:rowOff>
    </xdr:from>
    <xdr:to>
      <xdr:col>9</xdr:col>
      <xdr:colOff>104775</xdr:colOff>
      <xdr:row>24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mcl/Desktop/Work%20Folders/AER/O&amp;M/Murray%20Link%20O&amp;M/161117%20Phacelift%20O&amp;M%20Model-Murray%20Lin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mcl\AppData\Local\Microsoft\Windows\Temporary%20Internet%20Files\Content.Outlook\TA71Q3HI\Murraylink%202019-23%20-%20Final%20Regulatory%20Information%20Notice%20Templates%20(Work...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mcl\AppData\Local\Microsoft\Windows\Temporary%20Internet%20Files\Content.Outlook\TA71Q3HI\Murraylink%202019-23%20-%20Reset%20RIN%20-%20templates%20-%20locked%20-%2020161103%20(3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urraylink%20Actual%20Regulatory%20Opex%20from%201%20July%202013%20to%2030%20June%202018%20(includes%20forecas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%20Model%2020170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ad Me"/>
      <sheetName val="Summary"/>
      <sheetName val="Modelling Assumptions"/>
      <sheetName val="Analysis of Maintenance"/>
      <sheetName val="Chart Summary"/>
      <sheetName val="0000 (1)"/>
      <sheetName val="0000 (2)"/>
      <sheetName val="0001"/>
      <sheetName val="0003"/>
      <sheetName val="0004"/>
      <sheetName val="0005"/>
      <sheetName val="0006"/>
      <sheetName val="0010 (1)"/>
      <sheetName val="0010 (2)"/>
      <sheetName val="0011"/>
      <sheetName val="0013"/>
      <sheetName val="0014"/>
      <sheetName val="0016"/>
      <sheetName val="0017"/>
      <sheetName val="0019"/>
      <sheetName val="0022"/>
      <sheetName val="0024"/>
      <sheetName val="0026"/>
      <sheetName val="0028"/>
      <sheetName val="0038 (1)"/>
      <sheetName val="0038 (2)"/>
      <sheetName val="0042"/>
      <sheetName val="0050 (1)"/>
      <sheetName val="0050 (3)"/>
      <sheetName val="0050 (2)"/>
      <sheetName val="0052 (2)"/>
      <sheetName val="0052"/>
      <sheetName val="0054"/>
      <sheetName val="0056"/>
      <sheetName val="0060"/>
      <sheetName val="0062"/>
      <sheetName val="0104 (1)"/>
      <sheetName val="0104 (2)"/>
      <sheetName val="0104 (3)"/>
      <sheetName val="0104 (4)"/>
      <sheetName val="0110"/>
      <sheetName val="0120"/>
      <sheetName val="0124"/>
      <sheetName val="0126"/>
      <sheetName val="0128"/>
      <sheetName val="0140"/>
      <sheetName val="0142"/>
      <sheetName val="0150"/>
      <sheetName val="0160 (1)"/>
      <sheetName val="0160 (2)"/>
      <sheetName val="0180"/>
      <sheetName val="Incidental Investigations"/>
      <sheetName val="Outages Switching"/>
      <sheetName val="Cable Repairs"/>
      <sheetName val="IGBT Repairs"/>
      <sheetName val="Control System Repairs"/>
      <sheetName val="Building ac"/>
      <sheetName val="Electricity Costs"/>
      <sheetName val="Control Room Costs"/>
      <sheetName val="Support Services"/>
      <sheetName val="Remote Comms"/>
      <sheetName val="Site Security"/>
      <sheetName val="DBYD"/>
      <sheetName val="Training Courses"/>
      <sheetName val="Calibration Test Equipment"/>
      <sheetName val="Travel"/>
      <sheetName val="Site Cars"/>
      <sheetName val="Other Items"/>
      <sheetName val="Additional Staff"/>
      <sheetName val="Operations Manager"/>
      <sheetName val="Senior Reliability Engineer"/>
      <sheetName val="Reliability Engineer"/>
      <sheetName val="Works Planner"/>
      <sheetName val="Work Practices Specialist"/>
      <sheetName val="Blank"/>
      <sheetName val="Murray Link Single Line"/>
      <sheetName val="ABB Maintenance"/>
      <sheetName val="Equipment List"/>
      <sheetName val="Grouped Components"/>
      <sheetName val="Maintenance Plan"/>
      <sheetName val="Murraylink OPEX"/>
      <sheetName val="ML Capacitor Count"/>
    </sheetNames>
    <sheetDataSet>
      <sheetData sheetId="0" refreshError="1"/>
      <sheetData sheetId="1" refreshError="1"/>
      <sheetData sheetId="2" refreshError="1"/>
      <sheetData sheetId="3" refreshError="1">
        <row r="14">
          <cell r="B14">
            <v>100.251</v>
          </cell>
        </row>
        <row r="15">
          <cell r="B15">
            <v>126.9</v>
          </cell>
        </row>
        <row r="43">
          <cell r="B43">
            <v>7.916666666666667</v>
          </cell>
        </row>
        <row r="66">
          <cell r="B66">
            <v>1</v>
          </cell>
        </row>
        <row r="89"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</row>
        <row r="90"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Business &amp; other details"/>
      <sheetName val="Contents"/>
      <sheetName val="2.1 Expenditure Summary"/>
      <sheetName val="2.3c Material Projects"/>
      <sheetName val="2.6 Non-network"/>
      <sheetName val="2.14 Forecast price changes"/>
      <sheetName val="2.16 Opex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7.5 EBSS "/>
      <sheetName val="7.9 STPIS"/>
    </sheetNames>
    <sheetDataSet>
      <sheetData sheetId="0"/>
      <sheetData sheetId="1"/>
      <sheetData sheetId="2">
        <row r="38">
          <cell r="C38" t="str">
            <v>2013-14</v>
          </cell>
          <cell r="D38" t="str">
            <v>2014-15</v>
          </cell>
          <cell r="E38" t="str">
            <v>2015-16</v>
          </cell>
        </row>
        <row r="41">
          <cell r="D41" t="str">
            <v>2009-10</v>
          </cell>
          <cell r="E41" t="str">
            <v>2010-11</v>
          </cell>
          <cell r="F41" t="str">
            <v>2011-12</v>
          </cell>
          <cell r="G41" t="str">
            <v>2012-13</v>
          </cell>
        </row>
        <row r="74">
          <cell r="C74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Business &amp; other details"/>
      <sheetName val="Contents"/>
      <sheetName val="2.1 Expenditure Summary"/>
      <sheetName val="2.3c Material Projects"/>
      <sheetName val="2.6 Non-network"/>
      <sheetName val="2.14 Forecast price changes"/>
      <sheetName val="2.16 Opex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7.5 EBSS "/>
      <sheetName val="7.9 STPIS"/>
    </sheetNames>
    <sheetDataSet>
      <sheetData sheetId="0" refreshError="1"/>
      <sheetData sheetId="1" refreshError="1"/>
      <sheetData sheetId="2" refreshError="1">
        <row r="35">
          <cell r="C35" t="str">
            <v>2018-19</v>
          </cell>
          <cell r="D35" t="str">
            <v>2019-20</v>
          </cell>
          <cell r="E35" t="str">
            <v>2020-21</v>
          </cell>
          <cell r="F35" t="str">
            <v>2021-22</v>
          </cell>
          <cell r="G35" t="str">
            <v>2022-23</v>
          </cell>
        </row>
        <row r="38">
          <cell r="F38" t="str">
            <v>2016-17</v>
          </cell>
          <cell r="G38" t="str">
            <v>2017-18</v>
          </cell>
        </row>
        <row r="63">
          <cell r="C63" t="str">
            <v>June 2018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ised Opex "/>
      <sheetName val="RIN disclosure "/>
      <sheetName val="RIN Opex Support "/>
      <sheetName val="Detail Act Reg Opex INCL MARGIN"/>
      <sheetName val="Detail Act Reg Opex EXCL MARGIN"/>
      <sheetName val="Budgets Jan 17 to 30 Jun 17-&gt; "/>
      <sheetName val="Email Correspondence "/>
      <sheetName val="Operator Costs Budgets FY17"/>
      <sheetName val="Budgets FY17 Additional Exps"/>
      <sheetName val="Sheet2"/>
      <sheetName val="Sheet1"/>
      <sheetName val="Qutstanding issues "/>
    </sheetNames>
    <sheetDataSet>
      <sheetData sheetId="0">
        <row r="13">
          <cell r="C13">
            <v>2535.2910000000002</v>
          </cell>
        </row>
        <row r="16">
          <cell r="C16">
            <v>3528552.86</v>
          </cell>
          <cell r="D16">
            <v>4300165.1999999993</v>
          </cell>
        </row>
      </sheetData>
      <sheetData sheetId="1"/>
      <sheetData sheetId="2"/>
      <sheetData sheetId="3">
        <row r="31">
          <cell r="O31">
            <v>11914.507000000005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flation"/>
      <sheetName val="Capex Real Dollars"/>
      <sheetName val="Capex Nominal Dollars"/>
      <sheetName val="Outputs"/>
    </sheetNames>
    <sheetDataSet>
      <sheetData sheetId="0" refreshError="1"/>
      <sheetData sheetId="1">
        <row r="12">
          <cell r="E12">
            <v>1.0729615384615385</v>
          </cell>
          <cell r="F12">
            <v>1.0487593984962404</v>
          </cell>
          <cell r="G12">
            <v>1.0332222222222223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07"/>
  <sheetViews>
    <sheetView showGridLines="0" tabSelected="1" zoomScale="75" zoomScaleNormal="75" workbookViewId="0">
      <selection activeCell="C4" sqref="C4"/>
    </sheetView>
  </sheetViews>
  <sheetFormatPr defaultRowHeight="12.75" outlineLevelCol="1" x14ac:dyDescent="0.2"/>
  <cols>
    <col min="1" max="1" width="78.28515625" customWidth="1"/>
    <col min="2" max="2" width="22" customWidth="1" outlineLevel="1"/>
    <col min="3" max="9" width="16.5703125" customWidth="1" outlineLevel="1"/>
    <col min="10" max="10" width="44.7109375" bestFit="1" customWidth="1"/>
    <col min="11" max="11" width="35.5703125" bestFit="1" customWidth="1"/>
    <col min="12" max="12" width="30" bestFit="1" customWidth="1"/>
    <col min="13" max="13" width="18" bestFit="1" customWidth="1"/>
    <col min="14" max="14" width="14.85546875" bestFit="1" customWidth="1"/>
  </cols>
  <sheetData>
    <row r="2" spans="1:9" ht="30" x14ac:dyDescent="0.4">
      <c r="A2" s="96" t="s">
        <v>103</v>
      </c>
      <c r="B2" s="97"/>
      <c r="C2" s="97"/>
      <c r="D2" s="97"/>
      <c r="E2" s="97"/>
      <c r="F2" s="97"/>
      <c r="G2" s="97"/>
      <c r="H2" s="97"/>
      <c r="I2" s="97"/>
    </row>
    <row r="6" spans="1:9" ht="18" x14ac:dyDescent="0.25">
      <c r="A6" s="98" t="s">
        <v>100</v>
      </c>
    </row>
    <row r="8" spans="1:9" ht="15" x14ac:dyDescent="0.2">
      <c r="B8" s="22" t="s">
        <v>7</v>
      </c>
      <c r="C8" s="23" t="s">
        <v>8</v>
      </c>
      <c r="D8" s="23" t="s">
        <v>11</v>
      </c>
      <c r="E8" s="19" t="s">
        <v>9</v>
      </c>
      <c r="F8" s="20" t="s">
        <v>59</v>
      </c>
      <c r="G8" s="20" t="s">
        <v>60</v>
      </c>
      <c r="H8" s="20" t="s">
        <v>61</v>
      </c>
      <c r="I8" s="21" t="s">
        <v>62</v>
      </c>
    </row>
    <row r="9" spans="1:9" ht="18.75" x14ac:dyDescent="0.2">
      <c r="A9" s="12" t="s">
        <v>101</v>
      </c>
      <c r="B9" s="73"/>
      <c r="C9" s="74"/>
      <c r="D9" s="75"/>
      <c r="E9" s="76"/>
      <c r="F9" s="77"/>
      <c r="G9" s="77"/>
      <c r="H9" s="77"/>
      <c r="I9" s="78"/>
    </row>
    <row r="10" spans="1:9" x14ac:dyDescent="0.2">
      <c r="A10" s="10" t="s">
        <v>29</v>
      </c>
      <c r="B10" s="33">
        <v>842960.77598034288</v>
      </c>
      <c r="C10" s="38"/>
      <c r="D10" s="39"/>
      <c r="E10" s="36"/>
      <c r="F10" s="79"/>
      <c r="G10" s="79"/>
      <c r="H10" s="79"/>
      <c r="I10" s="80"/>
    </row>
    <row r="11" spans="1:9" x14ac:dyDescent="0.2">
      <c r="A11" s="10" t="s">
        <v>30</v>
      </c>
      <c r="B11" s="33">
        <v>752340.84339256177</v>
      </c>
      <c r="C11" s="38"/>
      <c r="D11" s="39"/>
      <c r="E11" s="36"/>
      <c r="F11" s="79"/>
      <c r="G11" s="79"/>
      <c r="H11" s="79"/>
      <c r="I11" s="80"/>
    </row>
    <row r="12" spans="1:9" x14ac:dyDescent="0.2">
      <c r="A12" s="10" t="s">
        <v>41</v>
      </c>
      <c r="B12" s="33">
        <v>1333762.0016270953</v>
      </c>
      <c r="C12" s="38"/>
      <c r="D12" s="39"/>
      <c r="E12" s="36"/>
      <c r="F12" s="79"/>
      <c r="G12" s="79"/>
      <c r="H12" s="79"/>
      <c r="I12" s="80"/>
    </row>
    <row r="13" spans="1:9" x14ac:dyDescent="0.2">
      <c r="A13" s="10" t="s">
        <v>31</v>
      </c>
      <c r="B13" s="33">
        <v>720409.24</v>
      </c>
      <c r="C13" s="38"/>
      <c r="D13" s="39"/>
      <c r="E13" s="36"/>
      <c r="F13" s="79"/>
      <c r="G13" s="79"/>
      <c r="H13" s="79"/>
      <c r="I13" s="80"/>
    </row>
    <row r="14" spans="1:9" x14ac:dyDescent="0.2">
      <c r="A14" s="10" t="s">
        <v>32</v>
      </c>
      <c r="B14" s="33"/>
      <c r="C14" s="38"/>
      <c r="D14" s="39"/>
      <c r="E14" s="36"/>
      <c r="F14" s="79"/>
      <c r="G14" s="79"/>
      <c r="H14" s="79"/>
      <c r="I14" s="80"/>
    </row>
    <row r="15" spans="1:9" x14ac:dyDescent="0.2">
      <c r="A15" s="10" t="s">
        <v>33</v>
      </c>
      <c r="B15" s="33"/>
      <c r="C15" s="38"/>
      <c r="D15" s="39"/>
      <c r="E15" s="36"/>
      <c r="F15" s="79"/>
      <c r="G15" s="79"/>
      <c r="H15" s="79"/>
      <c r="I15" s="80"/>
    </row>
    <row r="16" spans="1:9" x14ac:dyDescent="0.2">
      <c r="A16" s="10" t="s">
        <v>34</v>
      </c>
      <c r="B16" s="33">
        <v>376666.05900000001</v>
      </c>
      <c r="C16" s="38"/>
      <c r="D16" s="39"/>
      <c r="E16" s="36"/>
      <c r="F16" s="79"/>
      <c r="G16" s="79"/>
      <c r="H16" s="79"/>
      <c r="I16" s="80"/>
    </row>
    <row r="17" spans="1:9" x14ac:dyDescent="0.2">
      <c r="A17" s="10" t="s">
        <v>35</v>
      </c>
      <c r="B17" s="33">
        <v>0</v>
      </c>
      <c r="C17" s="38"/>
      <c r="D17" s="39"/>
      <c r="E17" s="36"/>
      <c r="F17" s="79"/>
      <c r="G17" s="79"/>
      <c r="H17" s="79"/>
      <c r="I17" s="80"/>
    </row>
    <row r="18" spans="1:9" ht="13.5" thickBot="1" x14ac:dyDescent="0.25">
      <c r="A18" s="89" t="s">
        <v>15</v>
      </c>
      <c r="B18" s="90">
        <f>SUM(B10:B17)</f>
        <v>4026138.9200000004</v>
      </c>
      <c r="C18" s="91"/>
      <c r="D18" s="92"/>
      <c r="E18" s="93"/>
      <c r="F18" s="94"/>
      <c r="G18" s="94"/>
      <c r="H18" s="94"/>
      <c r="I18" s="95"/>
    </row>
    <row r="19" spans="1:9" x14ac:dyDescent="0.2">
      <c r="A19" s="85" t="s">
        <v>19</v>
      </c>
      <c r="B19" s="86"/>
      <c r="C19" s="87"/>
      <c r="D19" s="88"/>
      <c r="E19" s="86">
        <v>172234.6951248</v>
      </c>
      <c r="F19" s="87"/>
      <c r="G19" s="87"/>
      <c r="H19" s="87"/>
      <c r="I19" s="88"/>
    </row>
    <row r="20" spans="1:9" x14ac:dyDescent="0.2">
      <c r="A20" s="10" t="s">
        <v>20</v>
      </c>
      <c r="B20" s="33"/>
      <c r="C20" s="38"/>
      <c r="D20" s="39"/>
      <c r="E20" s="33">
        <v>21965.379000000001</v>
      </c>
      <c r="F20" s="38">
        <v>0</v>
      </c>
      <c r="G20" s="38">
        <v>47167.848666666665</v>
      </c>
      <c r="H20" s="38">
        <v>0</v>
      </c>
      <c r="I20" s="39">
        <v>170734.77499999999</v>
      </c>
    </row>
    <row r="21" spans="1:9" x14ac:dyDescent="0.2">
      <c r="A21" s="10" t="s">
        <v>25</v>
      </c>
      <c r="B21" s="33">
        <v>132923.41899999999</v>
      </c>
      <c r="C21" s="38"/>
      <c r="D21" s="39"/>
      <c r="E21" s="33"/>
      <c r="F21" s="38"/>
      <c r="G21" s="38"/>
      <c r="H21" s="38"/>
      <c r="I21" s="39"/>
    </row>
    <row r="22" spans="1:9" x14ac:dyDescent="0.2">
      <c r="A22" s="10" t="s">
        <v>26</v>
      </c>
      <c r="B22" s="33">
        <v>10667.283000000001</v>
      </c>
      <c r="C22" s="38"/>
      <c r="D22" s="39"/>
      <c r="E22" s="33"/>
      <c r="F22" s="38"/>
      <c r="G22" s="38"/>
      <c r="H22" s="38"/>
      <c r="I22" s="39"/>
    </row>
    <row r="23" spans="1:9" x14ac:dyDescent="0.2">
      <c r="A23" s="10" t="s">
        <v>81</v>
      </c>
      <c r="B23" s="38">
        <v>971216.02599999995</v>
      </c>
      <c r="C23" s="38"/>
      <c r="D23" s="39"/>
      <c r="E23" s="33"/>
      <c r="F23" s="38"/>
      <c r="G23" s="38"/>
      <c r="H23" s="38"/>
      <c r="I23" s="39"/>
    </row>
    <row r="24" spans="1:9" x14ac:dyDescent="0.2">
      <c r="A24" s="10" t="s">
        <v>126</v>
      </c>
      <c r="B24" s="38">
        <v>101368.77299999999</v>
      </c>
      <c r="C24" s="38"/>
      <c r="D24" s="39"/>
      <c r="E24" s="33"/>
      <c r="F24" s="38"/>
      <c r="G24" s="38"/>
      <c r="H24" s="38"/>
      <c r="I24" s="39"/>
    </row>
    <row r="25" spans="1:9" x14ac:dyDescent="0.2">
      <c r="A25" s="10" t="s">
        <v>128</v>
      </c>
      <c r="B25" s="38">
        <v>120431.996</v>
      </c>
      <c r="C25" s="38"/>
      <c r="D25" s="39"/>
      <c r="E25" s="33"/>
      <c r="F25" s="38"/>
      <c r="G25" s="38"/>
      <c r="H25" s="38"/>
      <c r="I25" s="39"/>
    </row>
    <row r="26" spans="1:9" x14ac:dyDescent="0.2">
      <c r="A26" s="82"/>
      <c r="B26" s="3"/>
    </row>
    <row r="27" spans="1:9" x14ac:dyDescent="0.2">
      <c r="A27" s="82"/>
      <c r="B27" s="3"/>
    </row>
    <row r="28" spans="1:9" x14ac:dyDescent="0.2">
      <c r="A28" s="83" t="s">
        <v>82</v>
      </c>
      <c r="B28" s="84"/>
    </row>
    <row r="29" spans="1:9" ht="15" x14ac:dyDescent="0.2">
      <c r="A29" s="23" t="s">
        <v>102</v>
      </c>
      <c r="B29" s="23" t="s">
        <v>83</v>
      </c>
    </row>
    <row r="30" spans="1:9" x14ac:dyDescent="0.2">
      <c r="A30" s="10" t="s">
        <v>78</v>
      </c>
      <c r="B30" s="81">
        <v>1528319.2916357443</v>
      </c>
    </row>
    <row r="31" spans="1:9" x14ac:dyDescent="0.2">
      <c r="A31" s="10" t="s">
        <v>84</v>
      </c>
      <c r="B31" s="81">
        <v>296057.6238764709</v>
      </c>
    </row>
    <row r="32" spans="1:9" x14ac:dyDescent="0.2">
      <c r="A32" s="10" t="s">
        <v>85</v>
      </c>
      <c r="B32" s="81">
        <v>71916.67948778515</v>
      </c>
    </row>
    <row r="33" spans="1:9" x14ac:dyDescent="0.2">
      <c r="A33" s="10"/>
      <c r="B33" s="81"/>
    </row>
    <row r="34" spans="1:9" x14ac:dyDescent="0.2">
      <c r="A34" s="99" t="s">
        <v>0</v>
      </c>
      <c r="B34" s="100">
        <v>1896293.5950000002</v>
      </c>
    </row>
    <row r="37" spans="1:9" ht="18" x14ac:dyDescent="0.25">
      <c r="A37" s="98" t="s">
        <v>98</v>
      </c>
      <c r="B37" s="3"/>
    </row>
    <row r="38" spans="1:9" ht="13.5" thickBot="1" x14ac:dyDescent="0.25"/>
    <row r="39" spans="1:9" x14ac:dyDescent="0.2">
      <c r="C39" s="137" t="s">
        <v>58</v>
      </c>
      <c r="D39" s="138"/>
      <c r="E39" s="138"/>
      <c r="F39" s="138"/>
      <c r="G39" s="138"/>
      <c r="H39" s="138"/>
      <c r="I39" s="139"/>
    </row>
    <row r="40" spans="1:9" ht="15.75" thickBot="1" x14ac:dyDescent="0.25">
      <c r="B40" s="22" t="s">
        <v>7</v>
      </c>
      <c r="C40" s="23" t="s">
        <v>8</v>
      </c>
      <c r="D40" s="23" t="s">
        <v>11</v>
      </c>
      <c r="E40" s="19" t="s">
        <v>9</v>
      </c>
      <c r="F40" s="20" t="s">
        <v>59</v>
      </c>
      <c r="G40" s="20" t="s">
        <v>60</v>
      </c>
      <c r="H40" s="20" t="s">
        <v>61</v>
      </c>
      <c r="I40" s="21" t="s">
        <v>62</v>
      </c>
    </row>
    <row r="41" spans="1:9" ht="16.5" thickBot="1" x14ac:dyDescent="0.3">
      <c r="A41" s="18" t="s">
        <v>56</v>
      </c>
      <c r="B41" s="66">
        <v>1</v>
      </c>
      <c r="C41" s="67">
        <f>(1+Inputs!C3)^2</f>
        <v>1.0404</v>
      </c>
      <c r="D41" s="68">
        <v>1</v>
      </c>
      <c r="E41" s="69">
        <f t="shared" ref="E41:I41" si="0">D41</f>
        <v>1</v>
      </c>
      <c r="F41" s="70">
        <f t="shared" si="0"/>
        <v>1</v>
      </c>
      <c r="G41" s="70">
        <f t="shared" si="0"/>
        <v>1</v>
      </c>
      <c r="H41" s="70">
        <f t="shared" si="0"/>
        <v>1</v>
      </c>
      <c r="I41" s="71">
        <f t="shared" si="0"/>
        <v>1</v>
      </c>
    </row>
    <row r="42" spans="1:9" ht="18.75" x14ac:dyDescent="0.2">
      <c r="A42" s="12" t="s">
        <v>57</v>
      </c>
    </row>
    <row r="43" spans="1:9" x14ac:dyDescent="0.2">
      <c r="A43" s="10" t="s">
        <v>29</v>
      </c>
      <c r="B43" s="33">
        <f t="shared" ref="B43:B50" si="1">B10*B$41</f>
        <v>842960.77598034288</v>
      </c>
      <c r="C43" s="34">
        <f>B43*C$41</f>
        <v>877016.39132994867</v>
      </c>
      <c r="D43" s="35">
        <f t="shared" ref="D43:I44" si="2">C43*D$41</f>
        <v>877016.39132994867</v>
      </c>
      <c r="E43" s="34">
        <f t="shared" si="2"/>
        <v>877016.39132994867</v>
      </c>
      <c r="F43" s="34">
        <f t="shared" si="2"/>
        <v>877016.39132994867</v>
      </c>
      <c r="G43" s="34">
        <f t="shared" si="2"/>
        <v>877016.39132994867</v>
      </c>
      <c r="H43" s="34">
        <f t="shared" si="2"/>
        <v>877016.39132994867</v>
      </c>
      <c r="I43" s="35">
        <f t="shared" si="2"/>
        <v>877016.39132994867</v>
      </c>
    </row>
    <row r="44" spans="1:9" x14ac:dyDescent="0.2">
      <c r="A44" s="10" t="s">
        <v>30</v>
      </c>
      <c r="B44" s="33">
        <f t="shared" si="1"/>
        <v>752340.84339256177</v>
      </c>
      <c r="C44" s="55">
        <f t="shared" ref="C44:I49" si="3">B44*C$41</f>
        <v>782735.4134656213</v>
      </c>
      <c r="D44" s="56">
        <f t="shared" si="2"/>
        <v>782735.4134656213</v>
      </c>
      <c r="E44" s="55">
        <f t="shared" si="2"/>
        <v>782735.4134656213</v>
      </c>
      <c r="F44" s="55">
        <f t="shared" si="2"/>
        <v>782735.4134656213</v>
      </c>
      <c r="G44" s="55">
        <f t="shared" si="2"/>
        <v>782735.4134656213</v>
      </c>
      <c r="H44" s="55">
        <f t="shared" si="2"/>
        <v>782735.4134656213</v>
      </c>
      <c r="I44" s="56">
        <f t="shared" si="2"/>
        <v>782735.4134656213</v>
      </c>
    </row>
    <row r="45" spans="1:9" x14ac:dyDescent="0.2">
      <c r="A45" s="10" t="s">
        <v>41</v>
      </c>
      <c r="B45" s="33">
        <f t="shared" si="1"/>
        <v>1333762.0016270953</v>
      </c>
      <c r="C45" s="34">
        <f t="shared" si="3"/>
        <v>1387645.9864928299</v>
      </c>
      <c r="D45" s="35">
        <f t="shared" si="3"/>
        <v>1387645.9864928299</v>
      </c>
      <c r="E45" s="34">
        <f t="shared" si="3"/>
        <v>1387645.9864928299</v>
      </c>
      <c r="F45" s="34">
        <f t="shared" si="3"/>
        <v>1387645.9864928299</v>
      </c>
      <c r="G45" s="34">
        <f t="shared" si="3"/>
        <v>1387645.9864928299</v>
      </c>
      <c r="H45" s="34">
        <f t="shared" si="3"/>
        <v>1387645.9864928299</v>
      </c>
      <c r="I45" s="35">
        <f t="shared" si="3"/>
        <v>1387645.9864928299</v>
      </c>
    </row>
    <row r="46" spans="1:9" x14ac:dyDescent="0.2">
      <c r="A46" s="10" t="s">
        <v>31</v>
      </c>
      <c r="B46" s="33">
        <f t="shared" si="1"/>
        <v>720409.24</v>
      </c>
      <c r="C46" s="34">
        <f t="shared" si="3"/>
        <v>749513.77329599997</v>
      </c>
      <c r="D46" s="35">
        <f t="shared" si="3"/>
        <v>749513.77329599997</v>
      </c>
      <c r="E46" s="34">
        <f t="shared" si="3"/>
        <v>749513.77329599997</v>
      </c>
      <c r="F46" s="34">
        <f t="shared" si="3"/>
        <v>749513.77329599997</v>
      </c>
      <c r="G46" s="34">
        <f t="shared" si="3"/>
        <v>749513.77329599997</v>
      </c>
      <c r="H46" s="34">
        <f t="shared" si="3"/>
        <v>749513.77329599997</v>
      </c>
      <c r="I46" s="35">
        <f t="shared" si="3"/>
        <v>749513.77329599997</v>
      </c>
    </row>
    <row r="47" spans="1:9" x14ac:dyDescent="0.2">
      <c r="A47" s="10" t="s">
        <v>32</v>
      </c>
      <c r="B47" s="33">
        <f t="shared" si="1"/>
        <v>0</v>
      </c>
      <c r="C47" s="34">
        <f>B47*C$41</f>
        <v>0</v>
      </c>
      <c r="D47" s="35">
        <f t="shared" si="3"/>
        <v>0</v>
      </c>
      <c r="E47" s="34">
        <f t="shared" si="3"/>
        <v>0</v>
      </c>
      <c r="F47" s="34">
        <f t="shared" si="3"/>
        <v>0</v>
      </c>
      <c r="G47" s="34">
        <f t="shared" si="3"/>
        <v>0</v>
      </c>
      <c r="H47" s="34">
        <f t="shared" si="3"/>
        <v>0</v>
      </c>
      <c r="I47" s="35">
        <f t="shared" si="3"/>
        <v>0</v>
      </c>
    </row>
    <row r="48" spans="1:9" x14ac:dyDescent="0.2">
      <c r="A48" s="10" t="s">
        <v>33</v>
      </c>
      <c r="B48" s="33">
        <f t="shared" si="1"/>
        <v>0</v>
      </c>
      <c r="C48" s="34">
        <f t="shared" si="3"/>
        <v>0</v>
      </c>
      <c r="D48" s="35">
        <f t="shared" si="3"/>
        <v>0</v>
      </c>
      <c r="E48" s="34">
        <f t="shared" si="3"/>
        <v>0</v>
      </c>
      <c r="F48" s="34">
        <f t="shared" si="3"/>
        <v>0</v>
      </c>
      <c r="G48" s="34">
        <f t="shared" si="3"/>
        <v>0</v>
      </c>
      <c r="H48" s="34">
        <f t="shared" si="3"/>
        <v>0</v>
      </c>
      <c r="I48" s="35">
        <f t="shared" si="3"/>
        <v>0</v>
      </c>
    </row>
    <row r="49" spans="1:10" x14ac:dyDescent="0.2">
      <c r="A49" s="10" t="s">
        <v>34</v>
      </c>
      <c r="B49" s="33">
        <f t="shared" si="1"/>
        <v>376666.05900000001</v>
      </c>
      <c r="C49" s="34">
        <f t="shared" si="3"/>
        <v>391883.3677836</v>
      </c>
      <c r="D49" s="35">
        <f t="shared" si="3"/>
        <v>391883.3677836</v>
      </c>
      <c r="E49" s="34">
        <f t="shared" si="3"/>
        <v>391883.3677836</v>
      </c>
      <c r="F49" s="34">
        <f t="shared" si="3"/>
        <v>391883.3677836</v>
      </c>
      <c r="G49" s="34">
        <f t="shared" si="3"/>
        <v>391883.3677836</v>
      </c>
      <c r="H49" s="34">
        <f t="shared" si="3"/>
        <v>391883.3677836</v>
      </c>
      <c r="I49" s="35">
        <f t="shared" si="3"/>
        <v>391883.3677836</v>
      </c>
    </row>
    <row r="50" spans="1:10" x14ac:dyDescent="0.2">
      <c r="A50" s="10" t="s">
        <v>35</v>
      </c>
      <c r="B50" s="33">
        <f t="shared" si="1"/>
        <v>0</v>
      </c>
      <c r="C50" s="34">
        <f>B50*C$41</f>
        <v>0</v>
      </c>
      <c r="D50" s="35">
        <f t="shared" ref="D50:I50" si="4">C50*D$41</f>
        <v>0</v>
      </c>
      <c r="E50" s="34">
        <f t="shared" si="4"/>
        <v>0</v>
      </c>
      <c r="F50" s="34">
        <f t="shared" si="4"/>
        <v>0</v>
      </c>
      <c r="G50" s="34">
        <f t="shared" si="4"/>
        <v>0</v>
      </c>
      <c r="H50" s="34">
        <f t="shared" si="4"/>
        <v>0</v>
      </c>
      <c r="I50" s="35">
        <f t="shared" si="4"/>
        <v>0</v>
      </c>
    </row>
    <row r="51" spans="1:10" ht="13.5" thickBot="1" x14ac:dyDescent="0.25">
      <c r="A51" s="7" t="s">
        <v>0</v>
      </c>
      <c r="B51" s="33">
        <f>SUM(B43:B50)</f>
        <v>4026138.9200000004</v>
      </c>
      <c r="C51" s="34">
        <f>SUM(C43:C50)</f>
        <v>4188794.932368</v>
      </c>
      <c r="D51" s="35">
        <f t="shared" ref="D51:H51" si="5">SUM(D43:D50)</f>
        <v>4188794.932368</v>
      </c>
      <c r="E51" s="34">
        <f t="shared" si="5"/>
        <v>4188794.932368</v>
      </c>
      <c r="F51" s="34">
        <f t="shared" si="5"/>
        <v>4188794.932368</v>
      </c>
      <c r="G51" s="34">
        <f t="shared" si="5"/>
        <v>4188794.932368</v>
      </c>
      <c r="H51" s="34">
        <f t="shared" si="5"/>
        <v>4188794.932368</v>
      </c>
      <c r="I51" s="35">
        <f>SUM(I43:I50)</f>
        <v>4188794.932368</v>
      </c>
    </row>
    <row r="54" spans="1:10" ht="18.75" x14ac:dyDescent="0.2">
      <c r="A54" s="12" t="s">
        <v>36</v>
      </c>
    </row>
    <row r="56" spans="1:10" ht="13.5" thickBot="1" x14ac:dyDescent="0.25"/>
    <row r="57" spans="1:10" x14ac:dyDescent="0.2">
      <c r="A57" s="4" t="s">
        <v>15</v>
      </c>
      <c r="B57" s="33">
        <f>B51</f>
        <v>4026138.9200000004</v>
      </c>
      <c r="C57" s="34">
        <f t="shared" ref="C57:I57" si="6">B57*C$41</f>
        <v>4188794.9323680005</v>
      </c>
      <c r="D57" s="35">
        <f t="shared" si="6"/>
        <v>4188794.9323680005</v>
      </c>
      <c r="E57" s="34">
        <f t="shared" si="6"/>
        <v>4188794.9323680005</v>
      </c>
      <c r="F57" s="34">
        <f t="shared" si="6"/>
        <v>4188794.9323680005</v>
      </c>
      <c r="G57" s="34">
        <f t="shared" si="6"/>
        <v>4188794.9323680005</v>
      </c>
      <c r="H57" s="34">
        <f t="shared" si="6"/>
        <v>4188794.9323680005</v>
      </c>
      <c r="I57" s="35">
        <f t="shared" si="6"/>
        <v>4188794.9323680005</v>
      </c>
    </row>
    <row r="58" spans="1:10" x14ac:dyDescent="0.2">
      <c r="A58" s="5" t="s">
        <v>16</v>
      </c>
      <c r="B58" s="36">
        <v>0</v>
      </c>
      <c r="C58" s="34">
        <f t="shared" ref="C58:I58" si="7">B58*C$41</f>
        <v>0</v>
      </c>
      <c r="D58" s="35">
        <f t="shared" si="7"/>
        <v>0</v>
      </c>
      <c r="E58" s="34">
        <f t="shared" si="7"/>
        <v>0</v>
      </c>
      <c r="F58" s="34">
        <f t="shared" si="7"/>
        <v>0</v>
      </c>
      <c r="G58" s="34">
        <f t="shared" si="7"/>
        <v>0</v>
      </c>
      <c r="H58" s="34">
        <f t="shared" si="7"/>
        <v>0</v>
      </c>
      <c r="I58" s="35">
        <f t="shared" si="7"/>
        <v>0</v>
      </c>
    </row>
    <row r="59" spans="1:10" x14ac:dyDescent="0.2">
      <c r="A59" s="5" t="s">
        <v>17</v>
      </c>
      <c r="B59" s="36">
        <v>0</v>
      </c>
      <c r="C59" s="34">
        <f t="shared" ref="C59:I59" si="8">B59*C$41</f>
        <v>0</v>
      </c>
      <c r="D59" s="35">
        <f t="shared" si="8"/>
        <v>0</v>
      </c>
      <c r="E59" s="34">
        <f t="shared" si="8"/>
        <v>0</v>
      </c>
      <c r="F59" s="34">
        <f t="shared" si="8"/>
        <v>0</v>
      </c>
      <c r="G59" s="34">
        <f t="shared" si="8"/>
        <v>0</v>
      </c>
      <c r="H59" s="34">
        <f t="shared" si="8"/>
        <v>0</v>
      </c>
      <c r="I59" s="35">
        <f t="shared" si="8"/>
        <v>0</v>
      </c>
    </row>
    <row r="60" spans="1:10" x14ac:dyDescent="0.2">
      <c r="A60" s="5" t="s">
        <v>18</v>
      </c>
      <c r="B60" s="37">
        <v>0</v>
      </c>
      <c r="C60" s="34">
        <f t="shared" ref="C60:I61" si="9">B60*C$41</f>
        <v>0</v>
      </c>
      <c r="D60" s="35">
        <f t="shared" si="9"/>
        <v>0</v>
      </c>
      <c r="E60" s="34">
        <f t="shared" si="9"/>
        <v>0</v>
      </c>
      <c r="F60" s="34">
        <f t="shared" si="9"/>
        <v>0</v>
      </c>
      <c r="G60" s="34">
        <f t="shared" si="9"/>
        <v>0</v>
      </c>
      <c r="H60" s="34">
        <f t="shared" si="9"/>
        <v>0</v>
      </c>
      <c r="I60" s="35">
        <f t="shared" si="9"/>
        <v>0</v>
      </c>
    </row>
    <row r="61" spans="1:10" x14ac:dyDescent="0.2">
      <c r="A61" s="6" t="s">
        <v>19</v>
      </c>
      <c r="B61" s="64"/>
      <c r="C61" s="34"/>
      <c r="D61" s="35"/>
      <c r="E61" s="34">
        <f>E19*E$41</f>
        <v>172234.6951248</v>
      </c>
      <c r="F61" s="34">
        <f>E61*F$41</f>
        <v>172234.6951248</v>
      </c>
      <c r="G61" s="34">
        <f t="shared" si="9"/>
        <v>172234.6951248</v>
      </c>
      <c r="H61" s="34">
        <f t="shared" si="9"/>
        <v>172234.6951248</v>
      </c>
      <c r="I61" s="35">
        <f t="shared" si="9"/>
        <v>172234.6951248</v>
      </c>
      <c r="J61" s="57"/>
    </row>
    <row r="62" spans="1:10" x14ac:dyDescent="0.2">
      <c r="A62" s="10" t="s">
        <v>20</v>
      </c>
      <c r="B62" s="33">
        <f t="shared" ref="B62:H62" si="10">B101</f>
        <v>0</v>
      </c>
      <c r="C62" s="34">
        <f t="shared" si="10"/>
        <v>22852.7803116</v>
      </c>
      <c r="D62" s="35">
        <f t="shared" si="10"/>
        <v>37732.113666666664</v>
      </c>
      <c r="E62" s="34">
        <f>E101</f>
        <v>21965.379000000001</v>
      </c>
      <c r="F62" s="34">
        <f t="shared" si="10"/>
        <v>0</v>
      </c>
      <c r="G62" s="34">
        <f t="shared" si="10"/>
        <v>47167.848666666665</v>
      </c>
      <c r="H62" s="34">
        <f t="shared" si="10"/>
        <v>0</v>
      </c>
      <c r="I62" s="35">
        <f>I101</f>
        <v>170734.77499999999</v>
      </c>
    </row>
    <row r="63" spans="1:10" ht="13.5" thickBot="1" x14ac:dyDescent="0.25">
      <c r="A63" s="7" t="s">
        <v>0</v>
      </c>
      <c r="B63" s="33">
        <f>SUM(B57:B62)</f>
        <v>4026138.9200000004</v>
      </c>
      <c r="C63" s="38">
        <f t="shared" ref="C63:I63" si="11">SUM(C57:C62)</f>
        <v>4211647.7126796003</v>
      </c>
      <c r="D63" s="39">
        <f>SUM(D57:D62)</f>
        <v>4226527.0460346667</v>
      </c>
      <c r="E63" s="38">
        <f>SUM(E57:E62)</f>
        <v>4382995.0064928001</v>
      </c>
      <c r="F63" s="38">
        <f t="shared" si="11"/>
        <v>4361029.6274928004</v>
      </c>
      <c r="G63" s="38">
        <f t="shared" si="11"/>
        <v>4408197.4761594674</v>
      </c>
      <c r="H63" s="38">
        <f t="shared" si="11"/>
        <v>4361029.6274928004</v>
      </c>
      <c r="I63" s="39">
        <f t="shared" si="11"/>
        <v>4531764.4024928007</v>
      </c>
    </row>
    <row r="64" spans="1:10" x14ac:dyDescent="0.2">
      <c r="B64" s="63">
        <f>B63-B51-B61-B62</f>
        <v>0</v>
      </c>
      <c r="C64" s="63">
        <f t="shared" ref="C64:I64" si="12">C63-C51-C61-C62</f>
        <v>3.0559021979570389E-10</v>
      </c>
      <c r="D64" s="63">
        <f t="shared" si="12"/>
        <v>0</v>
      </c>
      <c r="E64" s="63">
        <f>E63-E51-E61-E62</f>
        <v>4.3655745685100555E-11</v>
      </c>
      <c r="F64" s="63">
        <f t="shared" si="12"/>
        <v>3.2014213502407074E-10</v>
      </c>
      <c r="G64" s="63">
        <f t="shared" si="12"/>
        <v>6.6211214289069176E-10</v>
      </c>
      <c r="H64" s="63">
        <f t="shared" si="12"/>
        <v>3.2014213502407074E-10</v>
      </c>
      <c r="I64" s="63">
        <f t="shared" si="12"/>
        <v>6.9849193096160889E-10</v>
      </c>
    </row>
    <row r="65" spans="1:9" x14ac:dyDescent="0.2">
      <c r="C65" s="63"/>
      <c r="D65" s="63"/>
      <c r="E65" s="63"/>
      <c r="F65" s="63"/>
      <c r="G65" s="63"/>
      <c r="H65" s="63"/>
      <c r="I65" s="63"/>
    </row>
    <row r="66" spans="1:9" ht="18.75" x14ac:dyDescent="0.2">
      <c r="A66" s="12" t="s">
        <v>37</v>
      </c>
    </row>
    <row r="67" spans="1:9" x14ac:dyDescent="0.2">
      <c r="C67" s="11"/>
      <c r="D67" s="11"/>
      <c r="E67" s="11"/>
      <c r="F67" s="11"/>
      <c r="G67" s="11"/>
      <c r="H67" s="11"/>
      <c r="I67" s="11"/>
    </row>
    <row r="68" spans="1:9" ht="13.5" thickBot="1" x14ac:dyDescent="0.25">
      <c r="C68" s="11"/>
      <c r="D68" s="11"/>
      <c r="E68" s="11"/>
      <c r="F68" s="11"/>
      <c r="G68" s="11"/>
      <c r="H68" s="11"/>
      <c r="I68" s="11"/>
    </row>
    <row r="69" spans="1:9" ht="16.5" thickBot="1" x14ac:dyDescent="0.3">
      <c r="A69" s="8" t="s">
        <v>21</v>
      </c>
      <c r="C69" s="11"/>
      <c r="D69" s="11"/>
      <c r="E69" s="11"/>
      <c r="F69" s="11"/>
      <c r="G69" s="11"/>
      <c r="H69" s="11"/>
      <c r="I69" s="11"/>
    </row>
    <row r="70" spans="1:9" x14ac:dyDescent="0.2">
      <c r="A70" s="9" t="s">
        <v>22</v>
      </c>
      <c r="B70" s="33">
        <f>SUM(B43:B45)</f>
        <v>2929063.6210000003</v>
      </c>
      <c r="C70" s="38">
        <f t="shared" ref="C70:I70" si="13">B70*C$41</f>
        <v>3047397.7912884001</v>
      </c>
      <c r="D70" s="39">
        <f t="shared" si="13"/>
        <v>3047397.7912884001</v>
      </c>
      <c r="E70" s="38">
        <f t="shared" si="13"/>
        <v>3047397.7912884001</v>
      </c>
      <c r="F70" s="38">
        <f t="shared" si="13"/>
        <v>3047397.7912884001</v>
      </c>
      <c r="G70" s="38">
        <f t="shared" si="13"/>
        <v>3047397.7912884001</v>
      </c>
      <c r="H70" s="38">
        <f t="shared" si="13"/>
        <v>3047397.7912884001</v>
      </c>
      <c r="I70" s="39">
        <f t="shared" si="13"/>
        <v>3047397.7912884001</v>
      </c>
    </row>
    <row r="71" spans="1:9" ht="13.5" thickBot="1" x14ac:dyDescent="0.25">
      <c r="A71" s="10" t="s">
        <v>23</v>
      </c>
      <c r="B71" s="33">
        <f>B49-B74-B75</f>
        <v>233075.35700000002</v>
      </c>
      <c r="C71" s="38">
        <f t="shared" ref="C71:I71" si="14">B71*C$41</f>
        <v>242491.60142280001</v>
      </c>
      <c r="D71" s="39">
        <f t="shared" si="14"/>
        <v>242491.60142280001</v>
      </c>
      <c r="E71" s="38">
        <f t="shared" si="14"/>
        <v>242491.60142280001</v>
      </c>
      <c r="F71" s="38">
        <f t="shared" si="14"/>
        <v>242491.60142280001</v>
      </c>
      <c r="G71" s="38">
        <f t="shared" si="14"/>
        <v>242491.60142280001</v>
      </c>
      <c r="H71" s="38">
        <f t="shared" si="14"/>
        <v>242491.60142280001</v>
      </c>
      <c r="I71" s="39">
        <f t="shared" si="14"/>
        <v>242491.60142280001</v>
      </c>
    </row>
    <row r="72" spans="1:9" ht="16.5" thickBot="1" x14ac:dyDescent="0.3">
      <c r="A72" s="8" t="s">
        <v>24</v>
      </c>
      <c r="C72" s="11"/>
      <c r="D72" s="11"/>
      <c r="E72" s="11"/>
      <c r="F72" s="11"/>
      <c r="G72" s="11"/>
      <c r="H72" s="11"/>
      <c r="I72" s="11"/>
    </row>
    <row r="73" spans="1:9" x14ac:dyDescent="0.2">
      <c r="A73" s="9" t="s">
        <v>14</v>
      </c>
      <c r="B73" s="33">
        <f>B46</f>
        <v>720409.24</v>
      </c>
      <c r="C73" s="38">
        <f t="shared" ref="C73:I73" si="15">B73*C$41</f>
        <v>749513.77329599997</v>
      </c>
      <c r="D73" s="39">
        <f t="shared" si="15"/>
        <v>749513.77329599997</v>
      </c>
      <c r="E73" s="38">
        <f t="shared" si="15"/>
        <v>749513.77329599997</v>
      </c>
      <c r="F73" s="38">
        <f t="shared" si="15"/>
        <v>749513.77329599997</v>
      </c>
      <c r="G73" s="38">
        <f t="shared" si="15"/>
        <v>749513.77329599997</v>
      </c>
      <c r="H73" s="38">
        <f t="shared" si="15"/>
        <v>749513.77329599997</v>
      </c>
      <c r="I73" s="39">
        <f t="shared" si="15"/>
        <v>749513.77329599997</v>
      </c>
    </row>
    <row r="74" spans="1:9" x14ac:dyDescent="0.2">
      <c r="A74" s="10" t="s">
        <v>25</v>
      </c>
      <c r="B74" s="33">
        <f>B21*B$41</f>
        <v>132923.41899999999</v>
      </c>
      <c r="C74" s="38">
        <f t="shared" ref="C74:I74" si="16">B74*C$41</f>
        <v>138293.52512760001</v>
      </c>
      <c r="D74" s="39">
        <f t="shared" si="16"/>
        <v>138293.52512760001</v>
      </c>
      <c r="E74" s="38">
        <f t="shared" si="16"/>
        <v>138293.52512760001</v>
      </c>
      <c r="F74" s="38">
        <f t="shared" si="16"/>
        <v>138293.52512760001</v>
      </c>
      <c r="G74" s="38">
        <f t="shared" si="16"/>
        <v>138293.52512760001</v>
      </c>
      <c r="H74" s="38">
        <f t="shared" si="16"/>
        <v>138293.52512760001</v>
      </c>
      <c r="I74" s="39">
        <f t="shared" si="16"/>
        <v>138293.52512760001</v>
      </c>
    </row>
    <row r="75" spans="1:9" x14ac:dyDescent="0.2">
      <c r="A75" s="10" t="s">
        <v>26</v>
      </c>
      <c r="B75" s="33">
        <f>B22*B$41</f>
        <v>10667.283000000001</v>
      </c>
      <c r="C75" s="38">
        <f t="shared" ref="C75:I75" si="17">B75*C$41</f>
        <v>11098.2412332</v>
      </c>
      <c r="D75" s="39">
        <f t="shared" si="17"/>
        <v>11098.2412332</v>
      </c>
      <c r="E75" s="38">
        <f t="shared" si="17"/>
        <v>11098.2412332</v>
      </c>
      <c r="F75" s="38">
        <f t="shared" si="17"/>
        <v>11098.2412332</v>
      </c>
      <c r="G75" s="38">
        <f t="shared" si="17"/>
        <v>11098.2412332</v>
      </c>
      <c r="H75" s="38">
        <f t="shared" si="17"/>
        <v>11098.2412332</v>
      </c>
      <c r="I75" s="39">
        <f t="shared" si="17"/>
        <v>11098.2412332</v>
      </c>
    </row>
    <row r="76" spans="1:9" x14ac:dyDescent="0.2">
      <c r="A76" s="10" t="s">
        <v>27</v>
      </c>
      <c r="B76" s="33"/>
      <c r="C76" s="38">
        <f t="shared" ref="C76:I76" si="18">B76*C$41</f>
        <v>0</v>
      </c>
      <c r="D76" s="39">
        <f t="shared" si="18"/>
        <v>0</v>
      </c>
      <c r="E76" s="38">
        <f t="shared" si="18"/>
        <v>0</v>
      </c>
      <c r="F76" s="38">
        <f t="shared" si="18"/>
        <v>0</v>
      </c>
      <c r="G76" s="38">
        <f t="shared" si="18"/>
        <v>0</v>
      </c>
      <c r="H76" s="38">
        <f t="shared" si="18"/>
        <v>0</v>
      </c>
      <c r="I76" s="39">
        <f t="shared" si="18"/>
        <v>0</v>
      </c>
    </row>
    <row r="77" spans="1:9" x14ac:dyDescent="0.2">
      <c r="A77" s="10" t="s">
        <v>28</v>
      </c>
      <c r="B77" s="33">
        <f>B50</f>
        <v>0</v>
      </c>
      <c r="C77" s="38">
        <f t="shared" ref="C77:I77" si="19">B77*C$41</f>
        <v>0</v>
      </c>
      <c r="D77" s="39">
        <f t="shared" si="19"/>
        <v>0</v>
      </c>
      <c r="E77" s="38">
        <f t="shared" si="19"/>
        <v>0</v>
      </c>
      <c r="F77" s="38">
        <f t="shared" si="19"/>
        <v>0</v>
      </c>
      <c r="G77" s="38">
        <f t="shared" si="19"/>
        <v>0</v>
      </c>
      <c r="H77" s="38">
        <f t="shared" si="19"/>
        <v>0</v>
      </c>
      <c r="I77" s="39">
        <f t="shared" si="19"/>
        <v>0</v>
      </c>
    </row>
    <row r="78" spans="1:9" ht="13.5" thickBot="1" x14ac:dyDescent="0.25">
      <c r="A78" s="7" t="s">
        <v>0</v>
      </c>
      <c r="B78" s="33">
        <f>SUM(B70:B77)</f>
        <v>4026138.92</v>
      </c>
      <c r="C78" s="38">
        <f>B78*C$41</f>
        <v>4188794.932368</v>
      </c>
      <c r="D78" s="39">
        <f t="shared" ref="D78:I78" si="20">C78*D$41</f>
        <v>4188794.932368</v>
      </c>
      <c r="E78" s="38">
        <f t="shared" si="20"/>
        <v>4188794.932368</v>
      </c>
      <c r="F78" s="38">
        <f t="shared" si="20"/>
        <v>4188794.932368</v>
      </c>
      <c r="G78" s="38">
        <f t="shared" si="20"/>
        <v>4188794.932368</v>
      </c>
      <c r="H78" s="38">
        <f t="shared" si="20"/>
        <v>4188794.932368</v>
      </c>
      <c r="I78" s="39">
        <f t="shared" si="20"/>
        <v>4188794.932368</v>
      </c>
    </row>
    <row r="79" spans="1:9" x14ac:dyDescent="0.2">
      <c r="C79" s="11">
        <f t="shared" ref="C79:I79" si="21">B79*C$41</f>
        <v>0</v>
      </c>
      <c r="D79" s="11">
        <f t="shared" si="21"/>
        <v>0</v>
      </c>
      <c r="E79" s="11">
        <f t="shared" si="21"/>
        <v>0</v>
      </c>
      <c r="F79" s="11">
        <f t="shared" si="21"/>
        <v>0</v>
      </c>
      <c r="G79" s="11">
        <f t="shared" si="21"/>
        <v>0</v>
      </c>
      <c r="H79" s="11">
        <f t="shared" si="21"/>
        <v>0</v>
      </c>
      <c r="I79" s="11">
        <f t="shared" si="21"/>
        <v>0</v>
      </c>
    </row>
    <row r="80" spans="1:9" x14ac:dyDescent="0.2">
      <c r="C80" s="11">
        <f t="shared" ref="C80:I80" si="22">B80*C$41</f>
        <v>0</v>
      </c>
      <c r="D80" s="11">
        <f t="shared" si="22"/>
        <v>0</v>
      </c>
      <c r="E80" s="11">
        <f t="shared" si="22"/>
        <v>0</v>
      </c>
      <c r="F80" s="11">
        <f t="shared" si="22"/>
        <v>0</v>
      </c>
      <c r="G80" s="11">
        <f t="shared" si="22"/>
        <v>0</v>
      </c>
      <c r="H80" s="11">
        <f t="shared" si="22"/>
        <v>0</v>
      </c>
      <c r="I80" s="11">
        <f t="shared" si="22"/>
        <v>0</v>
      </c>
    </row>
    <row r="81" spans="1:10" x14ac:dyDescent="0.2">
      <c r="B81" s="2">
        <f t="shared" ref="B81:I81" si="23">B51-B78</f>
        <v>0</v>
      </c>
      <c r="C81" s="2">
        <f t="shared" si="23"/>
        <v>0</v>
      </c>
      <c r="D81" s="2">
        <f t="shared" si="23"/>
        <v>0</v>
      </c>
      <c r="E81" s="2">
        <f t="shared" si="23"/>
        <v>0</v>
      </c>
      <c r="F81" s="2">
        <f t="shared" si="23"/>
        <v>0</v>
      </c>
      <c r="G81" s="2">
        <f t="shared" si="23"/>
        <v>0</v>
      </c>
      <c r="H81" s="2">
        <f t="shared" si="23"/>
        <v>0</v>
      </c>
      <c r="I81" s="2">
        <f t="shared" si="23"/>
        <v>0</v>
      </c>
    </row>
    <row r="82" spans="1:10" x14ac:dyDescent="0.2">
      <c r="C82" s="3"/>
      <c r="D82" s="2"/>
    </row>
    <row r="83" spans="1:10" x14ac:dyDescent="0.2">
      <c r="C83" s="3"/>
      <c r="D83" s="2"/>
    </row>
    <row r="84" spans="1:10" ht="19.5" thickBot="1" x14ac:dyDescent="0.25">
      <c r="A84" s="12" t="s">
        <v>104</v>
      </c>
    </row>
    <row r="85" spans="1:10" ht="13.5" thickBot="1" x14ac:dyDescent="0.25">
      <c r="A85" s="13" t="s">
        <v>20</v>
      </c>
      <c r="J85" s="102" t="s">
        <v>105</v>
      </c>
    </row>
    <row r="86" spans="1:10" x14ac:dyDescent="0.2">
      <c r="A86" s="14" t="s">
        <v>42</v>
      </c>
      <c r="B86" s="41">
        <v>0</v>
      </c>
      <c r="C86" s="41">
        <v>0</v>
      </c>
      <c r="D86" s="42">
        <v>0</v>
      </c>
      <c r="E86" s="40">
        <v>0</v>
      </c>
      <c r="F86" s="41">
        <v>0</v>
      </c>
      <c r="G86" s="41">
        <v>0</v>
      </c>
      <c r="H86" s="41">
        <v>0</v>
      </c>
      <c r="I86" s="42">
        <v>119668</v>
      </c>
      <c r="J86" s="103" t="s">
        <v>106</v>
      </c>
    </row>
    <row r="87" spans="1:10" x14ac:dyDescent="0.2">
      <c r="A87" s="15" t="s">
        <v>43</v>
      </c>
      <c r="B87" s="44">
        <v>0</v>
      </c>
      <c r="C87" s="44">
        <v>3493.0139904000002</v>
      </c>
      <c r="D87" s="45">
        <v>0</v>
      </c>
      <c r="E87" s="43">
        <v>3357.3760000000002</v>
      </c>
      <c r="F87" s="44">
        <v>0</v>
      </c>
      <c r="G87" s="44">
        <v>3357.3760000000002</v>
      </c>
      <c r="H87" s="44">
        <v>0</v>
      </c>
      <c r="I87" s="45">
        <v>3357.3760000000002</v>
      </c>
      <c r="J87" s="104" t="s">
        <v>107</v>
      </c>
    </row>
    <row r="88" spans="1:10" x14ac:dyDescent="0.2">
      <c r="A88" s="15" t="s">
        <v>44</v>
      </c>
      <c r="B88" s="44">
        <v>0</v>
      </c>
      <c r="C88" s="44">
        <v>0</v>
      </c>
      <c r="D88" s="45">
        <v>2124.8760000000002</v>
      </c>
      <c r="E88" s="43">
        <v>0</v>
      </c>
      <c r="F88" s="44">
        <v>0</v>
      </c>
      <c r="G88" s="44">
        <v>0</v>
      </c>
      <c r="H88" s="44">
        <v>0</v>
      </c>
      <c r="I88" s="45">
        <v>2124.8760000000002</v>
      </c>
      <c r="J88" s="104" t="s">
        <v>108</v>
      </c>
    </row>
    <row r="89" spans="1:10" x14ac:dyDescent="0.2">
      <c r="A89" s="15" t="s">
        <v>45</v>
      </c>
      <c r="B89" s="44">
        <v>0</v>
      </c>
      <c r="C89" s="44">
        <v>0</v>
      </c>
      <c r="D89" s="45">
        <v>0</v>
      </c>
      <c r="E89" s="43">
        <v>0</v>
      </c>
      <c r="F89" s="44">
        <v>0</v>
      </c>
      <c r="G89" s="44">
        <v>12756.876</v>
      </c>
      <c r="H89" s="44">
        <v>0</v>
      </c>
      <c r="I89" s="45">
        <v>0</v>
      </c>
      <c r="J89" s="104" t="s">
        <v>109</v>
      </c>
    </row>
    <row r="90" spans="1:10" x14ac:dyDescent="0.2">
      <c r="A90" s="15" t="s">
        <v>46</v>
      </c>
      <c r="B90" s="44">
        <v>0</v>
      </c>
      <c r="C90" s="44">
        <v>1503.2489904000001</v>
      </c>
      <c r="D90" s="45">
        <v>0</v>
      </c>
      <c r="E90" s="43">
        <v>1444.8760000000002</v>
      </c>
      <c r="F90" s="44">
        <v>0</v>
      </c>
      <c r="G90" s="44">
        <v>1444.8760000000002</v>
      </c>
      <c r="H90" s="44">
        <v>0</v>
      </c>
      <c r="I90" s="45">
        <v>1444.8760000000002</v>
      </c>
      <c r="J90" s="104" t="s">
        <v>110</v>
      </c>
    </row>
    <row r="91" spans="1:10" x14ac:dyDescent="0.2">
      <c r="A91" s="15" t="s">
        <v>47</v>
      </c>
      <c r="B91" s="44">
        <v>0</v>
      </c>
      <c r="C91" s="44">
        <v>17752.216190399999</v>
      </c>
      <c r="D91" s="45">
        <v>0</v>
      </c>
      <c r="E91" s="43">
        <v>17062.876</v>
      </c>
      <c r="F91" s="44">
        <v>0</v>
      </c>
      <c r="G91" s="44">
        <v>17062.876</v>
      </c>
      <c r="H91" s="44">
        <v>0</v>
      </c>
      <c r="I91" s="45">
        <v>17062.876</v>
      </c>
      <c r="J91" s="104" t="s">
        <v>111</v>
      </c>
    </row>
    <row r="92" spans="1:10" x14ac:dyDescent="0.2">
      <c r="A92" s="15" t="s">
        <v>48</v>
      </c>
      <c r="B92" s="44">
        <v>0</v>
      </c>
      <c r="C92" s="44">
        <v>0</v>
      </c>
      <c r="D92" s="45">
        <v>0</v>
      </c>
      <c r="E92" s="43">
        <v>0</v>
      </c>
      <c r="F92" s="44">
        <v>0</v>
      </c>
      <c r="G92" s="44">
        <v>3814.8760000000002</v>
      </c>
      <c r="H92" s="44">
        <v>0</v>
      </c>
      <c r="I92" s="45">
        <v>0</v>
      </c>
      <c r="J92" s="104" t="s">
        <v>112</v>
      </c>
    </row>
    <row r="93" spans="1:10" x14ac:dyDescent="0.2">
      <c r="A93" s="15" t="s">
        <v>49</v>
      </c>
      <c r="B93" s="44">
        <v>0</v>
      </c>
      <c r="C93" s="44">
        <v>0</v>
      </c>
      <c r="D93" s="45">
        <v>1307.1509999999998</v>
      </c>
      <c r="E93" s="43">
        <v>0</v>
      </c>
      <c r="F93" s="44">
        <v>0</v>
      </c>
      <c r="G93" s="44">
        <v>1307.1509999999998</v>
      </c>
      <c r="H93" s="44">
        <v>0</v>
      </c>
      <c r="I93" s="45">
        <v>0</v>
      </c>
      <c r="J93" s="104" t="s">
        <v>113</v>
      </c>
    </row>
    <row r="94" spans="1:10" x14ac:dyDescent="0.2">
      <c r="A94" s="15" t="s">
        <v>50</v>
      </c>
      <c r="B94" s="44">
        <v>0</v>
      </c>
      <c r="C94" s="44">
        <v>0</v>
      </c>
      <c r="D94" s="45">
        <v>7323.5666666666657</v>
      </c>
      <c r="E94" s="43">
        <v>0</v>
      </c>
      <c r="F94" s="44">
        <v>0</v>
      </c>
      <c r="G94" s="44">
        <v>7323.5666666666657</v>
      </c>
      <c r="H94" s="44">
        <v>0</v>
      </c>
      <c r="I94" s="45">
        <v>0</v>
      </c>
      <c r="J94" s="104" t="s">
        <v>114</v>
      </c>
    </row>
    <row r="95" spans="1:10" x14ac:dyDescent="0.2">
      <c r="A95" s="15" t="s">
        <v>51</v>
      </c>
      <c r="B95" s="44">
        <v>0</v>
      </c>
      <c r="C95" s="44">
        <v>0</v>
      </c>
      <c r="D95" s="45">
        <v>4714.8760000000002</v>
      </c>
      <c r="E95" s="43">
        <v>0</v>
      </c>
      <c r="F95" s="44">
        <v>0</v>
      </c>
      <c r="G95" s="44">
        <v>0</v>
      </c>
      <c r="H95" s="44">
        <v>0</v>
      </c>
      <c r="I95" s="45">
        <v>4714.8760000000002</v>
      </c>
      <c r="J95" s="104" t="s">
        <v>115</v>
      </c>
    </row>
    <row r="96" spans="1:10" x14ac:dyDescent="0.2">
      <c r="A96" s="15" t="s">
        <v>52</v>
      </c>
      <c r="B96" s="44">
        <v>0</v>
      </c>
      <c r="C96" s="44">
        <v>0</v>
      </c>
      <c r="D96" s="45">
        <v>8070.3779999999997</v>
      </c>
      <c r="E96" s="43">
        <v>0</v>
      </c>
      <c r="F96" s="44">
        <v>0</v>
      </c>
      <c r="G96" s="44">
        <v>0</v>
      </c>
      <c r="H96" s="44">
        <v>0</v>
      </c>
      <c r="I96" s="45">
        <v>8070.3779999999997</v>
      </c>
      <c r="J96" s="104" t="s">
        <v>116</v>
      </c>
    </row>
    <row r="97" spans="1:10" x14ac:dyDescent="0.2">
      <c r="A97" s="15" t="s">
        <v>53</v>
      </c>
      <c r="B97" s="44">
        <v>0</v>
      </c>
      <c r="C97" s="44">
        <v>0</v>
      </c>
      <c r="D97" s="45">
        <v>14021.266</v>
      </c>
      <c r="E97" s="43">
        <v>0</v>
      </c>
      <c r="F97" s="44">
        <v>0</v>
      </c>
      <c r="G97" s="44">
        <v>0</v>
      </c>
      <c r="H97" s="44">
        <v>0</v>
      </c>
      <c r="I97" s="45">
        <v>14021.266</v>
      </c>
      <c r="J97" s="104" t="s">
        <v>117</v>
      </c>
    </row>
    <row r="98" spans="1:10" x14ac:dyDescent="0.2">
      <c r="A98" s="15" t="s">
        <v>54</v>
      </c>
      <c r="B98" s="44">
        <v>0</v>
      </c>
      <c r="C98" s="44">
        <v>104.30114040000001</v>
      </c>
      <c r="D98" s="45">
        <v>0</v>
      </c>
      <c r="E98" s="43">
        <v>100.251</v>
      </c>
      <c r="F98" s="44">
        <v>0</v>
      </c>
      <c r="G98" s="44">
        <v>100.251</v>
      </c>
      <c r="H98" s="44">
        <v>0</v>
      </c>
      <c r="I98" s="45">
        <v>100.251</v>
      </c>
      <c r="J98" s="104" t="s">
        <v>118</v>
      </c>
    </row>
    <row r="99" spans="1:10" x14ac:dyDescent="0.2">
      <c r="A99" s="15" t="s">
        <v>55</v>
      </c>
      <c r="B99" s="44">
        <v>0</v>
      </c>
      <c r="C99" s="44">
        <v>0</v>
      </c>
      <c r="D99" s="45">
        <v>170</v>
      </c>
      <c r="E99" s="43">
        <v>0</v>
      </c>
      <c r="F99" s="44">
        <v>0</v>
      </c>
      <c r="G99" s="44">
        <v>0</v>
      </c>
      <c r="H99" s="44">
        <v>0</v>
      </c>
      <c r="I99" s="45">
        <v>170</v>
      </c>
      <c r="J99" s="104" t="s">
        <v>119</v>
      </c>
    </row>
    <row r="100" spans="1:10" ht="13.5" thickBot="1" x14ac:dyDescent="0.25">
      <c r="A100" s="15"/>
      <c r="B100" s="16"/>
      <c r="C100" s="16"/>
      <c r="D100" s="17"/>
      <c r="E100" s="46"/>
      <c r="F100" s="47"/>
      <c r="G100" s="47"/>
      <c r="H100" s="47"/>
      <c r="I100" s="48"/>
      <c r="J100" s="101"/>
    </row>
    <row r="101" spans="1:10" ht="15.75" thickBot="1" x14ac:dyDescent="0.3">
      <c r="A101" s="7" t="s">
        <v>0</v>
      </c>
      <c r="B101" s="136">
        <f>SUM(J86:J100)</f>
        <v>0</v>
      </c>
      <c r="C101" s="136">
        <f t="shared" ref="C101:I101" si="24">SUM(C86:C100)</f>
        <v>22852.7803116</v>
      </c>
      <c r="D101" s="136">
        <f t="shared" si="24"/>
        <v>37732.113666666664</v>
      </c>
      <c r="E101" s="24">
        <f>SUM(E86:E100)</f>
        <v>21965.379000000001</v>
      </c>
      <c r="F101" s="25">
        <f t="shared" si="24"/>
        <v>0</v>
      </c>
      <c r="G101" s="25">
        <f t="shared" si="24"/>
        <v>47167.848666666665</v>
      </c>
      <c r="H101" s="25">
        <f t="shared" si="24"/>
        <v>0</v>
      </c>
      <c r="I101" s="32">
        <f t="shared" si="24"/>
        <v>170734.77499999999</v>
      </c>
    </row>
    <row r="104" spans="1:10" ht="19.5" thickBot="1" x14ac:dyDescent="0.25">
      <c r="A104" s="105" t="s">
        <v>120</v>
      </c>
      <c r="B104" s="106"/>
      <c r="C104" s="106"/>
      <c r="D104" s="106"/>
      <c r="E104" s="106"/>
      <c r="F104" s="106"/>
      <c r="G104" s="106"/>
      <c r="H104" s="106"/>
      <c r="I104" s="106"/>
    </row>
    <row r="105" spans="1:10" ht="15.75" customHeight="1" thickBot="1" x14ac:dyDescent="0.25">
      <c r="B105" s="143" t="s">
        <v>121</v>
      </c>
      <c r="C105" s="144"/>
      <c r="D105" s="144"/>
      <c r="E105" s="144"/>
      <c r="F105" s="144"/>
      <c r="G105" s="144"/>
      <c r="H105" s="144"/>
      <c r="I105" s="145"/>
    </row>
    <row r="106" spans="1:10" ht="13.5" customHeight="1" thickBot="1" x14ac:dyDescent="0.25">
      <c r="B106" s="111" t="s">
        <v>92</v>
      </c>
      <c r="C106" s="140" t="s">
        <v>58</v>
      </c>
      <c r="D106" s="141"/>
      <c r="E106" s="141"/>
      <c r="F106" s="141"/>
      <c r="G106" s="141"/>
      <c r="H106" s="141"/>
      <c r="I106" s="142"/>
    </row>
    <row r="107" spans="1:10" ht="13.5" thickBot="1" x14ac:dyDescent="0.25">
      <c r="B107" s="112" t="s">
        <v>7</v>
      </c>
      <c r="C107" s="113" t="s">
        <v>8</v>
      </c>
      <c r="D107" s="113" t="s">
        <v>11</v>
      </c>
      <c r="E107" s="113" t="s">
        <v>9</v>
      </c>
      <c r="F107" s="113" t="s">
        <v>59</v>
      </c>
      <c r="G107" s="113" t="s">
        <v>60</v>
      </c>
      <c r="H107" s="113" t="s">
        <v>61</v>
      </c>
      <c r="I107" s="114" t="s">
        <v>62</v>
      </c>
    </row>
    <row r="108" spans="1:10" ht="19.5" thickBot="1" x14ac:dyDescent="0.25">
      <c r="A108" s="107" t="s">
        <v>122</v>
      </c>
      <c r="B108" s="115"/>
      <c r="C108" s="115"/>
      <c r="D108" s="116"/>
      <c r="E108" s="115"/>
      <c r="F108" s="115"/>
      <c r="G108" s="115"/>
      <c r="H108" s="115"/>
      <c r="I108" s="116"/>
    </row>
    <row r="109" spans="1:10" ht="14.25" x14ac:dyDescent="0.2">
      <c r="A109" s="108" t="s">
        <v>123</v>
      </c>
      <c r="B109" s="117"/>
      <c r="C109" s="117"/>
      <c r="D109" s="118"/>
      <c r="E109" s="119"/>
      <c r="F109" s="117"/>
      <c r="G109" s="117"/>
      <c r="H109" s="117"/>
      <c r="I109" s="118"/>
    </row>
    <row r="110" spans="1:10" ht="14.25" x14ac:dyDescent="0.2">
      <c r="A110" s="109" t="s">
        <v>124</v>
      </c>
      <c r="B110" s="120"/>
      <c r="C110" s="120"/>
      <c r="D110" s="121"/>
      <c r="E110" s="122"/>
      <c r="F110" s="120"/>
      <c r="G110" s="120"/>
      <c r="H110" s="120"/>
      <c r="I110" s="121"/>
    </row>
    <row r="111" spans="1:10" ht="14.25" x14ac:dyDescent="0.2">
      <c r="A111" s="109" t="s">
        <v>125</v>
      </c>
      <c r="B111" s="123">
        <f>B24</f>
        <v>101368.77299999999</v>
      </c>
      <c r="C111" s="123">
        <f t="shared" ref="C111:I112" si="25">B111*C$41</f>
        <v>105464.07142919999</v>
      </c>
      <c r="D111" s="124">
        <f t="shared" si="25"/>
        <v>105464.07142919999</v>
      </c>
      <c r="E111" s="125">
        <f t="shared" si="25"/>
        <v>105464.07142919999</v>
      </c>
      <c r="F111" s="123">
        <f t="shared" si="25"/>
        <v>105464.07142919999</v>
      </c>
      <c r="G111" s="123">
        <f t="shared" si="25"/>
        <v>105464.07142919999</v>
      </c>
      <c r="H111" s="123">
        <f t="shared" si="25"/>
        <v>105464.07142919999</v>
      </c>
      <c r="I111" s="124">
        <f t="shared" si="25"/>
        <v>105464.07142919999</v>
      </c>
    </row>
    <row r="112" spans="1:10" ht="13.5" thickBot="1" x14ac:dyDescent="0.25">
      <c r="A112" s="110" t="s">
        <v>127</v>
      </c>
      <c r="B112" s="126">
        <f>B25</f>
        <v>120431.996</v>
      </c>
      <c r="C112" s="126">
        <f t="shared" si="25"/>
        <v>125297.4486384</v>
      </c>
      <c r="D112" s="127">
        <f t="shared" si="25"/>
        <v>125297.4486384</v>
      </c>
      <c r="E112" s="128">
        <f t="shared" si="25"/>
        <v>125297.4486384</v>
      </c>
      <c r="F112" s="126">
        <f t="shared" si="25"/>
        <v>125297.4486384</v>
      </c>
      <c r="G112" s="126">
        <f t="shared" si="25"/>
        <v>125297.4486384</v>
      </c>
      <c r="H112" s="126">
        <f t="shared" si="25"/>
        <v>125297.4486384</v>
      </c>
      <c r="I112" s="127">
        <f t="shared" si="25"/>
        <v>125297.4486384</v>
      </c>
    </row>
    <row r="113" spans="1:27" ht="19.5" thickBot="1" x14ac:dyDescent="0.25">
      <c r="A113" s="107" t="s">
        <v>129</v>
      </c>
      <c r="B113" s="115"/>
      <c r="C113" s="115"/>
      <c r="D113" s="116"/>
      <c r="E113" s="115"/>
      <c r="F113" s="115"/>
      <c r="G113" s="115"/>
      <c r="H113" s="115"/>
      <c r="I113" s="116"/>
    </row>
    <row r="116" spans="1:27" ht="18" x14ac:dyDescent="0.25">
      <c r="A116" s="98" t="s">
        <v>97</v>
      </c>
    </row>
    <row r="117" spans="1:27" ht="18" x14ac:dyDescent="0.25">
      <c r="A117" s="72"/>
    </row>
    <row r="118" spans="1:27" ht="18.75" x14ac:dyDescent="0.2">
      <c r="A118" s="12" t="s">
        <v>40</v>
      </c>
    </row>
    <row r="119" spans="1:27" x14ac:dyDescent="0.2">
      <c r="A119" s="30" t="s">
        <v>39</v>
      </c>
    </row>
    <row r="120" spans="1:27" ht="13.5" thickBot="1" x14ac:dyDescent="0.25">
      <c r="A120" s="26" t="s">
        <v>38</v>
      </c>
    </row>
    <row r="121" spans="1:27" ht="15" thickBot="1" x14ac:dyDescent="0.25">
      <c r="A121" s="29" t="s">
        <v>64</v>
      </c>
      <c r="B121" s="129"/>
      <c r="C121" s="129"/>
      <c r="D121" s="129"/>
      <c r="E121" s="130">
        <f>E63</f>
        <v>4382995.0064928001</v>
      </c>
      <c r="F121" s="131">
        <f t="shared" ref="F121:I121" si="26">F63</f>
        <v>4361029.6274928004</v>
      </c>
      <c r="G121" s="131">
        <f t="shared" si="26"/>
        <v>4408197.4761594674</v>
      </c>
      <c r="H121" s="131">
        <f t="shared" si="26"/>
        <v>4361029.6274928004</v>
      </c>
      <c r="I121" s="131">
        <f t="shared" si="26"/>
        <v>4531764.4024928007</v>
      </c>
      <c r="J121" s="132"/>
      <c r="K121" s="132"/>
      <c r="L121" s="132"/>
    </row>
    <row r="122" spans="1:27" ht="15" thickBot="1" x14ac:dyDescent="0.25">
      <c r="A122" s="29" t="s">
        <v>63</v>
      </c>
      <c r="B122" s="129"/>
      <c r="C122" s="129"/>
      <c r="D122" s="129"/>
      <c r="E122" s="130"/>
      <c r="F122" s="131"/>
      <c r="G122" s="131"/>
      <c r="H122" s="131"/>
      <c r="I122" s="131"/>
      <c r="J122" s="132"/>
      <c r="K122" s="132"/>
      <c r="L122" s="132"/>
    </row>
    <row r="123" spans="1:27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</row>
    <row r="124" spans="1:27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1:27" ht="18" x14ac:dyDescent="0.25">
      <c r="A125" s="98" t="s">
        <v>99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1:27" ht="18" x14ac:dyDescent="0.25">
      <c r="A126" s="7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</row>
    <row r="127" spans="1:27" ht="13.5" thickBot="1" x14ac:dyDescent="0.25">
      <c r="A127" s="52" t="s">
        <v>65</v>
      </c>
      <c r="B127" s="52">
        <v>2019</v>
      </c>
      <c r="C127" s="52">
        <v>2020</v>
      </c>
      <c r="D127" s="52">
        <v>2021</v>
      </c>
      <c r="E127" s="52">
        <v>2022</v>
      </c>
      <c r="F127" s="52">
        <v>2023</v>
      </c>
      <c r="G127" s="133"/>
      <c r="H127" s="133"/>
      <c r="I127" s="133"/>
      <c r="J127" s="133"/>
      <c r="K127" s="133"/>
      <c r="L127" s="133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15" thickBot="1" x14ac:dyDescent="0.25">
      <c r="A128" s="49" t="s">
        <v>66</v>
      </c>
      <c r="B128" s="53">
        <f>(E86+E87)/1000</f>
        <v>3.3573760000000004</v>
      </c>
      <c r="C128" s="53">
        <f>(F86+F87)/1000</f>
        <v>0</v>
      </c>
      <c r="D128" s="53">
        <f>(G86+G87)/1000</f>
        <v>3.3573760000000004</v>
      </c>
      <c r="E128" s="53">
        <f>(H86+H87)/1000</f>
        <v>0</v>
      </c>
      <c r="F128" s="53">
        <f>(I86+I87)/1000</f>
        <v>123.02537600000001</v>
      </c>
      <c r="G128" s="133"/>
      <c r="H128" s="133"/>
      <c r="I128" s="133"/>
      <c r="J128" s="133"/>
      <c r="K128" s="133"/>
      <c r="L128" s="133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15" thickBot="1" x14ac:dyDescent="0.25">
      <c r="A129" s="50" t="s">
        <v>67</v>
      </c>
      <c r="B129" s="53">
        <f t="shared" ref="B129:B138" si="27">E88/1000</f>
        <v>0</v>
      </c>
      <c r="C129" s="53">
        <f t="shared" ref="C129:C138" si="28">F88/1000</f>
        <v>0</v>
      </c>
      <c r="D129" s="53">
        <f t="shared" ref="D129:D138" si="29">G88/1000</f>
        <v>0</v>
      </c>
      <c r="E129" s="53">
        <f t="shared" ref="E129:E138" si="30">H88/1000</f>
        <v>0</v>
      </c>
      <c r="F129" s="53">
        <f t="shared" ref="F129:F138" si="31">I88/1000</f>
        <v>2.124876</v>
      </c>
      <c r="G129" s="133"/>
      <c r="H129" s="133"/>
      <c r="I129" s="133"/>
      <c r="J129" s="133"/>
      <c r="K129" s="133"/>
      <c r="L129" s="133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15" thickBot="1" x14ac:dyDescent="0.25">
      <c r="A130" s="50" t="s">
        <v>68</v>
      </c>
      <c r="B130" s="53">
        <f t="shared" si="27"/>
        <v>0</v>
      </c>
      <c r="C130" s="53">
        <f t="shared" si="28"/>
        <v>0</v>
      </c>
      <c r="D130" s="53">
        <f t="shared" si="29"/>
        <v>12.756876</v>
      </c>
      <c r="E130" s="53">
        <f t="shared" si="30"/>
        <v>0</v>
      </c>
      <c r="F130" s="53">
        <f t="shared" si="31"/>
        <v>0</v>
      </c>
      <c r="G130" s="133"/>
      <c r="H130" s="133"/>
      <c r="I130" s="133"/>
      <c r="J130" s="133"/>
      <c r="K130" s="133"/>
      <c r="L130" s="133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15" thickBot="1" x14ac:dyDescent="0.25">
      <c r="A131" s="50" t="s">
        <v>69</v>
      </c>
      <c r="B131" s="53">
        <f t="shared" si="27"/>
        <v>1.4448760000000003</v>
      </c>
      <c r="C131" s="53">
        <f t="shared" si="28"/>
        <v>0</v>
      </c>
      <c r="D131" s="53">
        <f t="shared" si="29"/>
        <v>1.4448760000000003</v>
      </c>
      <c r="E131" s="53">
        <f t="shared" si="30"/>
        <v>0</v>
      </c>
      <c r="F131" s="53">
        <f t="shared" si="31"/>
        <v>1.4448760000000003</v>
      </c>
      <c r="G131" s="133"/>
      <c r="H131" s="133"/>
      <c r="I131" s="133"/>
      <c r="J131" s="133"/>
      <c r="K131" s="133"/>
      <c r="L131" s="133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15" thickBot="1" x14ac:dyDescent="0.25">
      <c r="A132" s="50" t="s">
        <v>70</v>
      </c>
      <c r="B132" s="53">
        <f t="shared" si="27"/>
        <v>17.062875999999999</v>
      </c>
      <c r="C132" s="53">
        <f t="shared" si="28"/>
        <v>0</v>
      </c>
      <c r="D132" s="53">
        <f t="shared" si="29"/>
        <v>17.062875999999999</v>
      </c>
      <c r="E132" s="53">
        <f t="shared" si="30"/>
        <v>0</v>
      </c>
      <c r="F132" s="53">
        <f t="shared" si="31"/>
        <v>17.062875999999999</v>
      </c>
      <c r="G132" s="133"/>
      <c r="H132" s="133"/>
      <c r="I132" s="133"/>
      <c r="J132" s="133"/>
      <c r="K132" s="133"/>
      <c r="L132" s="133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15" thickBot="1" x14ac:dyDescent="0.25">
      <c r="A133" s="50" t="s">
        <v>71</v>
      </c>
      <c r="B133" s="53">
        <f t="shared" si="27"/>
        <v>0</v>
      </c>
      <c r="C133" s="53">
        <f t="shared" si="28"/>
        <v>0</v>
      </c>
      <c r="D133" s="53">
        <f t="shared" si="29"/>
        <v>3.8148760000000004</v>
      </c>
      <c r="E133" s="53">
        <f t="shared" si="30"/>
        <v>0</v>
      </c>
      <c r="F133" s="53">
        <f t="shared" si="31"/>
        <v>0</v>
      </c>
      <c r="G133" s="133"/>
      <c r="H133" s="133"/>
      <c r="I133" s="133"/>
      <c r="J133" s="133"/>
      <c r="K133" s="133"/>
      <c r="L133" s="133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15" thickBot="1" x14ac:dyDescent="0.25">
      <c r="A134" s="50" t="s">
        <v>72</v>
      </c>
      <c r="B134" s="53">
        <f t="shared" si="27"/>
        <v>0</v>
      </c>
      <c r="C134" s="53">
        <f t="shared" si="28"/>
        <v>0</v>
      </c>
      <c r="D134" s="53">
        <f t="shared" si="29"/>
        <v>1.3071509999999997</v>
      </c>
      <c r="E134" s="53">
        <f t="shared" si="30"/>
        <v>0</v>
      </c>
      <c r="F134" s="53">
        <f t="shared" si="31"/>
        <v>0</v>
      </c>
      <c r="G134" s="133"/>
      <c r="H134" s="133"/>
      <c r="I134" s="133"/>
      <c r="J134" s="133"/>
      <c r="K134" s="133"/>
      <c r="L134" s="133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15" thickBot="1" x14ac:dyDescent="0.25">
      <c r="A135" s="50" t="s">
        <v>73</v>
      </c>
      <c r="B135" s="53">
        <f t="shared" si="27"/>
        <v>0</v>
      </c>
      <c r="C135" s="53">
        <f t="shared" si="28"/>
        <v>0</v>
      </c>
      <c r="D135" s="53">
        <f t="shared" si="29"/>
        <v>7.3235666666666654</v>
      </c>
      <c r="E135" s="53">
        <f t="shared" si="30"/>
        <v>0</v>
      </c>
      <c r="F135" s="53">
        <f t="shared" si="31"/>
        <v>0</v>
      </c>
      <c r="G135" s="133"/>
      <c r="H135" s="133"/>
      <c r="I135" s="133"/>
      <c r="J135" s="133"/>
      <c r="K135" s="133"/>
      <c r="L135" s="133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15" thickBot="1" x14ac:dyDescent="0.25">
      <c r="A136" s="50" t="s">
        <v>74</v>
      </c>
      <c r="B136" s="53">
        <f t="shared" si="27"/>
        <v>0</v>
      </c>
      <c r="C136" s="53">
        <f t="shared" si="28"/>
        <v>0</v>
      </c>
      <c r="D136" s="53">
        <f t="shared" si="29"/>
        <v>0</v>
      </c>
      <c r="E136" s="53">
        <f t="shared" si="30"/>
        <v>0</v>
      </c>
      <c r="F136" s="53">
        <f t="shared" si="31"/>
        <v>4.7148760000000003</v>
      </c>
      <c r="G136" s="133"/>
      <c r="H136" s="133"/>
      <c r="I136" s="133"/>
      <c r="J136" s="133"/>
      <c r="K136" s="133"/>
      <c r="L136" s="133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15" thickBot="1" x14ac:dyDescent="0.25">
      <c r="A137" s="50" t="s">
        <v>75</v>
      </c>
      <c r="B137" s="53">
        <f t="shared" si="27"/>
        <v>0</v>
      </c>
      <c r="C137" s="53">
        <f t="shared" si="28"/>
        <v>0</v>
      </c>
      <c r="D137" s="53">
        <f t="shared" si="29"/>
        <v>0</v>
      </c>
      <c r="E137" s="53">
        <f t="shared" si="30"/>
        <v>0</v>
      </c>
      <c r="F137" s="53">
        <f t="shared" si="31"/>
        <v>8.0703779999999998</v>
      </c>
      <c r="G137" s="133"/>
      <c r="H137" s="133"/>
      <c r="I137" s="133"/>
      <c r="J137" s="133"/>
      <c r="K137" s="133"/>
      <c r="L137" s="133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15" thickBot="1" x14ac:dyDescent="0.25">
      <c r="A138" s="50" t="s">
        <v>76</v>
      </c>
      <c r="B138" s="53">
        <f t="shared" si="27"/>
        <v>0</v>
      </c>
      <c r="C138" s="53">
        <f t="shared" si="28"/>
        <v>0</v>
      </c>
      <c r="D138" s="53">
        <f t="shared" si="29"/>
        <v>0</v>
      </c>
      <c r="E138" s="53">
        <f t="shared" si="30"/>
        <v>0</v>
      </c>
      <c r="F138" s="53">
        <f t="shared" si="31"/>
        <v>14.021265999999999</v>
      </c>
      <c r="G138" s="133"/>
      <c r="H138" s="133"/>
      <c r="I138" s="133"/>
      <c r="J138" s="133"/>
      <c r="K138" s="133"/>
      <c r="L138" s="133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15" thickBot="1" x14ac:dyDescent="0.25">
      <c r="A139" s="50" t="s">
        <v>77</v>
      </c>
      <c r="B139" s="53">
        <f>(E98+E99)/1000</f>
        <v>0.10025100000000001</v>
      </c>
      <c r="C139" s="53">
        <f>(F98+F99)/1000</f>
        <v>0</v>
      </c>
      <c r="D139" s="53">
        <f>(G98+G99)/1000</f>
        <v>0.10025100000000001</v>
      </c>
      <c r="E139" s="53">
        <f>(H98+H99)/1000</f>
        <v>0</v>
      </c>
      <c r="F139" s="53">
        <f>(I98+I99)/1000</f>
        <v>0.27025099999999996</v>
      </c>
      <c r="G139" s="133"/>
      <c r="H139" s="133"/>
      <c r="I139" s="133"/>
      <c r="J139" s="133"/>
      <c r="K139" s="133"/>
      <c r="L139" s="133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ht="15.75" thickBot="1" x14ac:dyDescent="0.25">
      <c r="A140" s="51" t="s">
        <v>0</v>
      </c>
      <c r="B140" s="54">
        <f>SUM(B128:B139)</f>
        <v>21.965378999999999</v>
      </c>
      <c r="C140" s="54">
        <f>SUM(C128:C139)</f>
        <v>0</v>
      </c>
      <c r="D140" s="54">
        <f>SUM(D128:D139)</f>
        <v>47.167848666666664</v>
      </c>
      <c r="E140" s="54">
        <f>SUM(E128:E139)</f>
        <v>0</v>
      </c>
      <c r="F140" s="54">
        <f>SUM(F128:F139)</f>
        <v>170.73477500000001</v>
      </c>
      <c r="G140" s="133"/>
      <c r="H140" s="133"/>
      <c r="I140" s="133"/>
      <c r="J140" s="133"/>
      <c r="K140" s="133"/>
      <c r="L140" s="133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x14ac:dyDescent="0.2">
      <c r="A141" s="31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x14ac:dyDescent="0.2">
      <c r="A142" s="31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ht="13.5" thickBot="1" x14ac:dyDescent="0.25">
      <c r="A143" s="52" t="s">
        <v>86</v>
      </c>
      <c r="B143" s="52">
        <f>B127</f>
        <v>2019</v>
      </c>
      <c r="C143" s="52">
        <f t="shared" ref="C143:F143" si="32">C127</f>
        <v>2020</v>
      </c>
      <c r="D143" s="52">
        <f t="shared" si="32"/>
        <v>2021</v>
      </c>
      <c r="E143" s="52">
        <f t="shared" si="32"/>
        <v>2022</v>
      </c>
      <c r="F143" s="52">
        <f t="shared" si="32"/>
        <v>2023</v>
      </c>
      <c r="G143" s="52" t="s">
        <v>0</v>
      </c>
      <c r="H143" s="133"/>
      <c r="I143" s="133"/>
      <c r="J143" s="133"/>
      <c r="K143" s="133"/>
      <c r="L143" s="133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7" ht="15" thickBot="1" x14ac:dyDescent="0.25">
      <c r="A144" s="49" t="s">
        <v>78</v>
      </c>
      <c r="B144" s="53">
        <f>'Presentation Page'!$B$30/'Presentation Page'!$B$34*(SUM('Presentation Page'!E43:E45,E49)/1000-'Presentation Page'!B148)+'Presentation Page'!$B$30/'Presentation Page'!$B$34*E$61/1000</f>
        <v>2096.3284982802961</v>
      </c>
      <c r="C144" s="53">
        <f>'Presentation Page'!$B$30/'Presentation Page'!$B$34*(SUM('Presentation Page'!F43:F45,F49)/1000-'Presentation Page'!C148)+'Presentation Page'!$B$30/'Presentation Page'!$B$34*F$61/1000</f>
        <v>2063.4277280134525</v>
      </c>
      <c r="D144" s="53">
        <f>'Presentation Page'!$B$30/'Presentation Page'!$B$34*(SUM('Presentation Page'!G43:G45,G49)/1000-'Presentation Page'!D148)+'Presentation Page'!$B$30/'Presentation Page'!$B$34*G$61/1000</f>
        <v>2063.4277280134525</v>
      </c>
      <c r="E144" s="53">
        <f>'Presentation Page'!$B$30/'Presentation Page'!$B$34*(SUM('Presentation Page'!H43:H45,H49)/1000-'Presentation Page'!E148)+'Presentation Page'!$B$30/'Presentation Page'!$B$34*H$61/1000</f>
        <v>2063.4277280134525</v>
      </c>
      <c r="F144" s="53">
        <f>'Presentation Page'!$B$30/'Presentation Page'!$B$34*(SUM('Presentation Page'!I43:I45,I49)/1000-'Presentation Page'!F148)+'Presentation Page'!$B$30/'Presentation Page'!$B$34*I$61/1000</f>
        <v>2063.4277280134525</v>
      </c>
      <c r="G144" s="53">
        <f t="shared" ref="G144:G149" si="33">SUM(B144:F144)</f>
        <v>10350.039410334104</v>
      </c>
      <c r="H144" s="132"/>
      <c r="I144" s="132"/>
      <c r="J144" s="132"/>
      <c r="K144" s="132"/>
      <c r="L144" s="132"/>
    </row>
    <row r="145" spans="1:12" ht="15" thickBot="1" x14ac:dyDescent="0.25">
      <c r="A145" s="50" t="s">
        <v>79</v>
      </c>
      <c r="B145" s="53">
        <f>SUM('Presentation Page'!$B$31:$B$32)/'Presentation Page'!$B$34*(SUM('Presentation Page'!E43:E45,E49)/1000-'Presentation Page'!B148)+SUM('Presentation Page'!$B$31:$B$32)/'Presentation Page'!$B$34*E$61/1000</f>
        <v>504.73420246610436</v>
      </c>
      <c r="C145" s="53">
        <f>SUM('Presentation Page'!$B$31:$B$32)/'Presentation Page'!$B$34*(SUM('Presentation Page'!F43:F45,F49)/1000-'Presentation Page'!C148)+SUM('Presentation Page'!$B$31:$B$32)/'Presentation Page'!$B$34*F$61/1000</f>
        <v>496.81266533355165</v>
      </c>
      <c r="D145" s="53">
        <f>SUM('Presentation Page'!$B$31:$B$32)/'Presentation Page'!$B$34*(SUM('Presentation Page'!G43:G45,G49)/1000-'Presentation Page'!D148)+SUM('Presentation Page'!$B$31:$B$32)/'Presentation Page'!$B$34*G$61/1000</f>
        <v>496.81266533355165</v>
      </c>
      <c r="E145" s="53">
        <f>SUM('Presentation Page'!$B$31:$B$32)/'Presentation Page'!$B$34*(SUM('Presentation Page'!H43:H45,H49)/1000-'Presentation Page'!E148)+SUM('Presentation Page'!$B$31:$B$32)/'Presentation Page'!$B$34*H$61/1000</f>
        <v>496.81266533355165</v>
      </c>
      <c r="F145" s="53">
        <f>SUM('Presentation Page'!$B$31:$B$32)/'Presentation Page'!$B$34*(SUM('Presentation Page'!I43:I45,I49)/1000-'Presentation Page'!F148)+SUM('Presentation Page'!$B$31:$B$32)/'Presentation Page'!$B$34*I$61/1000</f>
        <v>496.81266533355165</v>
      </c>
      <c r="G145" s="53">
        <f t="shared" si="33"/>
        <v>2491.9848638003109</v>
      </c>
      <c r="H145" s="132"/>
      <c r="I145" s="132"/>
      <c r="J145" s="132"/>
      <c r="K145" s="132"/>
      <c r="L145" s="132"/>
    </row>
    <row r="146" spans="1:12" ht="15" thickBot="1" x14ac:dyDescent="0.25">
      <c r="A146" s="58" t="s">
        <v>87</v>
      </c>
      <c r="B146" s="53">
        <f>E62/1000</f>
        <v>21.965379000000002</v>
      </c>
      <c r="C146" s="53">
        <f>F62/1000</f>
        <v>0</v>
      </c>
      <c r="D146" s="53">
        <f>G62/1000</f>
        <v>47.167848666666664</v>
      </c>
      <c r="E146" s="53">
        <f>H62/1000</f>
        <v>0</v>
      </c>
      <c r="F146" s="53">
        <f>I62/1000</f>
        <v>170.73477499999998</v>
      </c>
      <c r="G146" s="53">
        <f t="shared" si="33"/>
        <v>239.86800266666665</v>
      </c>
      <c r="H146" s="132"/>
      <c r="I146" s="132"/>
      <c r="J146" s="132"/>
      <c r="K146" s="132"/>
      <c r="L146" s="132"/>
    </row>
    <row r="147" spans="1:12" ht="15" thickBot="1" x14ac:dyDescent="0.25">
      <c r="A147" s="50" t="s">
        <v>80</v>
      </c>
      <c r="B147" s="53">
        <f>SUM(E46:E48,E50)/1000</f>
        <v>749.51377329599995</v>
      </c>
      <c r="C147" s="53">
        <f>SUM(F46:F48,F50)/1000</f>
        <v>749.51377329599995</v>
      </c>
      <c r="D147" s="53">
        <f>SUM(G46:G48,G50)/1000</f>
        <v>749.51377329599995</v>
      </c>
      <c r="E147" s="53">
        <f>SUM(H46:H48,H50)/1000</f>
        <v>749.51377329599995</v>
      </c>
      <c r="F147" s="53">
        <f>SUM(I46:I48,I50)/1000</f>
        <v>749.51377329599995</v>
      </c>
      <c r="G147" s="53">
        <f t="shared" si="33"/>
        <v>3747.56886648</v>
      </c>
      <c r="H147" s="132"/>
      <c r="I147" s="132"/>
      <c r="J147" s="132"/>
      <c r="K147" s="132"/>
      <c r="L147" s="132"/>
    </row>
    <row r="148" spans="1:12" ht="15" thickBot="1" x14ac:dyDescent="0.25">
      <c r="A148" s="50" t="s">
        <v>81</v>
      </c>
      <c r="B148" s="53">
        <f>B23*C$41/1000</f>
        <v>1010.4531534504</v>
      </c>
      <c r="C148" s="53">
        <f>B148*C$41</f>
        <v>1051.2754608497962</v>
      </c>
      <c r="D148" s="53">
        <f t="shared" ref="D148:F148" si="34">C148*D$41</f>
        <v>1051.2754608497962</v>
      </c>
      <c r="E148" s="53">
        <f t="shared" si="34"/>
        <v>1051.2754608497962</v>
      </c>
      <c r="F148" s="53">
        <f t="shared" si="34"/>
        <v>1051.2754608497962</v>
      </c>
      <c r="G148" s="53">
        <f t="shared" si="33"/>
        <v>5215.5549968495852</v>
      </c>
      <c r="H148" s="132"/>
      <c r="I148" s="132"/>
      <c r="J148" s="132"/>
      <c r="K148" s="132"/>
      <c r="L148" s="132"/>
    </row>
    <row r="149" spans="1:12" ht="15" thickBot="1" x14ac:dyDescent="0.25">
      <c r="A149" s="50" t="s">
        <v>0</v>
      </c>
      <c r="B149" s="53">
        <f t="shared" ref="B149:F149" si="35">SUM(B144:B148)</f>
        <v>4382.9950064928007</v>
      </c>
      <c r="C149" s="53">
        <f t="shared" si="35"/>
        <v>4361.0296274928005</v>
      </c>
      <c r="D149" s="53">
        <f t="shared" si="35"/>
        <v>4408.1974761594665</v>
      </c>
      <c r="E149" s="53">
        <f t="shared" si="35"/>
        <v>4361.0296274928005</v>
      </c>
      <c r="F149" s="53">
        <f t="shared" si="35"/>
        <v>4531.7644024928004</v>
      </c>
      <c r="G149" s="53">
        <f t="shared" si="33"/>
        <v>22045.016140130669</v>
      </c>
      <c r="H149" s="132"/>
      <c r="I149" s="132"/>
      <c r="J149" s="132"/>
      <c r="K149" s="132"/>
      <c r="L149" s="132"/>
    </row>
    <row r="150" spans="1:12" x14ac:dyDescent="0.2">
      <c r="B150" s="134">
        <f>E63/1000-B149</f>
        <v>0</v>
      </c>
      <c r="C150" s="135">
        <f>F63/1000-C149</f>
        <v>0</v>
      </c>
      <c r="D150" s="135">
        <f>G63/1000-D149</f>
        <v>0</v>
      </c>
      <c r="E150" s="135">
        <f>H63/1000-E149</f>
        <v>0</v>
      </c>
      <c r="F150" s="135">
        <f>I63/1000-F149</f>
        <v>0</v>
      </c>
      <c r="G150" s="132"/>
      <c r="H150" s="132"/>
      <c r="I150" s="132"/>
      <c r="J150" s="132"/>
      <c r="K150" s="132"/>
      <c r="L150" s="132"/>
    </row>
    <row r="151" spans="1:12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</row>
    <row r="152" spans="1:12" ht="13.5" thickBot="1" x14ac:dyDescent="0.25">
      <c r="B152" s="52" t="s">
        <v>11</v>
      </c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</row>
    <row r="153" spans="1:12" ht="15" thickBot="1" x14ac:dyDescent="0.25">
      <c r="A153" s="49" t="s">
        <v>88</v>
      </c>
      <c r="B153" s="53">
        <f>B148</f>
        <v>1010.4531534504</v>
      </c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</row>
    <row r="154" spans="1:12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</row>
    <row r="155" spans="1:12" ht="13.5" thickBot="1" x14ac:dyDescent="0.25">
      <c r="A155" s="52" t="s">
        <v>89</v>
      </c>
      <c r="B155" s="52" t="s">
        <v>91</v>
      </c>
      <c r="C155" s="52" t="s">
        <v>90</v>
      </c>
      <c r="D155" s="52" t="str">
        <f t="shared" ref="D155:K155" si="36">B40</f>
        <v>2015-16</v>
      </c>
      <c r="E155" s="52" t="str">
        <f t="shared" si="36"/>
        <v>2016-17</v>
      </c>
      <c r="F155" s="52" t="str">
        <f t="shared" si="36"/>
        <v>2017-18</v>
      </c>
      <c r="G155" s="52" t="str">
        <f t="shared" si="36"/>
        <v>2018-19</v>
      </c>
      <c r="H155" s="52" t="str">
        <f t="shared" si="36"/>
        <v>2019-20</v>
      </c>
      <c r="I155" s="52" t="str">
        <f t="shared" si="36"/>
        <v>2020-21</v>
      </c>
      <c r="J155" s="52" t="str">
        <f t="shared" si="36"/>
        <v>2021-22</v>
      </c>
      <c r="K155" s="52" t="str">
        <f t="shared" si="36"/>
        <v>2022-23</v>
      </c>
      <c r="L155" s="132"/>
    </row>
    <row r="156" spans="1:12" ht="15" thickBot="1" x14ac:dyDescent="0.25">
      <c r="A156" s="50" t="s">
        <v>92</v>
      </c>
      <c r="B156" s="60">
        <f>('[4]Summarised Opex '!$C$16*[5]Inflation!$E$12)/1000000</f>
        <v>3.7860015052084615</v>
      </c>
      <c r="C156" s="60">
        <f>('[4]Summarised Opex '!$D$16*[5]Inflation!$F$12)/1000000</f>
        <v>4.5098386685864646</v>
      </c>
      <c r="D156" s="60">
        <f>(B63*[5]Inflation!$G$12)/1000000</f>
        <v>4.1598962018977783</v>
      </c>
      <c r="E156" s="60"/>
      <c r="F156" s="60"/>
      <c r="G156" s="60"/>
      <c r="H156" s="60"/>
      <c r="I156" s="60"/>
      <c r="J156" s="60"/>
      <c r="K156" s="60"/>
      <c r="L156" s="132"/>
    </row>
    <row r="157" spans="1:12" ht="15" thickBot="1" x14ac:dyDescent="0.25">
      <c r="A157" s="50" t="s">
        <v>93</v>
      </c>
      <c r="B157" s="60"/>
      <c r="C157" s="60"/>
      <c r="D157" s="60"/>
      <c r="E157" s="60">
        <f>C63/1000000</f>
        <v>4.2116477126795999</v>
      </c>
      <c r="F157" s="60">
        <f>D63/1000000</f>
        <v>4.2265270460346667</v>
      </c>
      <c r="G157" s="60"/>
      <c r="H157" s="60"/>
      <c r="I157" s="60"/>
      <c r="J157" s="60"/>
      <c r="K157" s="60"/>
      <c r="L157" s="132"/>
    </row>
    <row r="158" spans="1:12" ht="15" thickBot="1" x14ac:dyDescent="0.25">
      <c r="A158" s="50" t="s">
        <v>94</v>
      </c>
      <c r="B158" s="60"/>
      <c r="C158" s="60"/>
      <c r="D158" s="60"/>
      <c r="E158" s="60"/>
      <c r="F158" s="60"/>
      <c r="G158" s="60">
        <f>E63/1000000</f>
        <v>4.3829950064928003</v>
      </c>
      <c r="H158" s="60">
        <f>F63/1000000</f>
        <v>4.3610296274928002</v>
      </c>
      <c r="I158" s="60">
        <f>G63/1000000</f>
        <v>4.4081974761594678</v>
      </c>
      <c r="J158" s="60">
        <f>H63/1000000</f>
        <v>4.3610296274928002</v>
      </c>
      <c r="K158" s="60">
        <f>I63/1000000</f>
        <v>4.5317644024928008</v>
      </c>
      <c r="L158" s="132"/>
    </row>
    <row r="159" spans="1:12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</row>
    <row r="160" spans="1:12" ht="13.5" thickBot="1" x14ac:dyDescent="0.25">
      <c r="A160" s="52" t="s">
        <v>95</v>
      </c>
      <c r="B160" s="52" t="s">
        <v>2</v>
      </c>
      <c r="C160" s="52" t="s">
        <v>3</v>
      </c>
      <c r="D160" s="52" t="s">
        <v>4</v>
      </c>
      <c r="E160" s="52" t="s">
        <v>5</v>
      </c>
      <c r="F160" s="52" t="s">
        <v>6</v>
      </c>
      <c r="G160" s="52" t="s">
        <v>0</v>
      </c>
      <c r="H160" s="132"/>
      <c r="I160" s="132"/>
      <c r="J160" s="132"/>
      <c r="K160" s="132"/>
      <c r="L160" s="132"/>
    </row>
    <row r="161" spans="1:12" ht="15" thickBot="1" x14ac:dyDescent="0.25">
      <c r="A161" s="49" t="s">
        <v>78</v>
      </c>
      <c r="B161" s="60">
        <f>B144/1000</f>
        <v>2.0963284982802963</v>
      </c>
      <c r="C161" s="60">
        <f t="shared" ref="C161:F161" si="37">C144/1000</f>
        <v>2.0634277280134525</v>
      </c>
      <c r="D161" s="60">
        <f t="shared" si="37"/>
        <v>2.0634277280134525</v>
      </c>
      <c r="E161" s="60">
        <f t="shared" si="37"/>
        <v>2.0634277280134525</v>
      </c>
      <c r="F161" s="60">
        <f t="shared" si="37"/>
        <v>2.0634277280134525</v>
      </c>
      <c r="G161" s="61">
        <f t="shared" ref="G161:G166" si="38">SUM(B161:F161)</f>
        <v>10.350039410334107</v>
      </c>
      <c r="H161" s="132"/>
      <c r="I161" s="132"/>
      <c r="J161" s="132"/>
      <c r="K161" s="132"/>
      <c r="L161" s="132"/>
    </row>
    <row r="162" spans="1:12" ht="15" thickBot="1" x14ac:dyDescent="0.25">
      <c r="A162" s="50" t="s">
        <v>79</v>
      </c>
      <c r="B162" s="60">
        <f t="shared" ref="B162:F162" si="39">B145/1000</f>
        <v>0.50473420246610434</v>
      </c>
      <c r="C162" s="60">
        <f t="shared" si="39"/>
        <v>0.49681266533355167</v>
      </c>
      <c r="D162" s="60">
        <f t="shared" si="39"/>
        <v>0.49681266533355167</v>
      </c>
      <c r="E162" s="60">
        <f t="shared" si="39"/>
        <v>0.49681266533355167</v>
      </c>
      <c r="F162" s="60">
        <f t="shared" si="39"/>
        <v>0.49681266533355167</v>
      </c>
      <c r="G162" s="61">
        <f t="shared" si="38"/>
        <v>2.4919848638003108</v>
      </c>
      <c r="H162" s="132"/>
      <c r="I162" s="132"/>
      <c r="J162" s="132"/>
      <c r="K162" s="132"/>
      <c r="L162" s="132"/>
    </row>
    <row r="163" spans="1:12" ht="15" thickBot="1" x14ac:dyDescent="0.25">
      <c r="A163" s="58" t="s">
        <v>87</v>
      </c>
      <c r="B163" s="60">
        <f t="shared" ref="B163:F163" si="40">B146/1000</f>
        <v>2.1965379000000004E-2</v>
      </c>
      <c r="C163" s="60">
        <f t="shared" si="40"/>
        <v>0</v>
      </c>
      <c r="D163" s="60">
        <f t="shared" si="40"/>
        <v>4.7167848666666665E-2</v>
      </c>
      <c r="E163" s="60">
        <f t="shared" si="40"/>
        <v>0</v>
      </c>
      <c r="F163" s="60">
        <f t="shared" si="40"/>
        <v>0.17073477499999998</v>
      </c>
      <c r="G163" s="61">
        <f t="shared" si="38"/>
        <v>0.23986800266666664</v>
      </c>
      <c r="H163" s="132"/>
      <c r="I163" s="132"/>
      <c r="J163" s="132"/>
      <c r="K163" s="132"/>
      <c r="L163" s="132"/>
    </row>
    <row r="164" spans="1:12" ht="15" thickBot="1" x14ac:dyDescent="0.25">
      <c r="A164" s="50" t="s">
        <v>80</v>
      </c>
      <c r="B164" s="60">
        <f t="shared" ref="B164:F164" si="41">B147/1000</f>
        <v>0.749513773296</v>
      </c>
      <c r="C164" s="60">
        <f t="shared" si="41"/>
        <v>0.749513773296</v>
      </c>
      <c r="D164" s="60">
        <f t="shared" si="41"/>
        <v>0.749513773296</v>
      </c>
      <c r="E164" s="60">
        <f t="shared" si="41"/>
        <v>0.749513773296</v>
      </c>
      <c r="F164" s="60">
        <f t="shared" si="41"/>
        <v>0.749513773296</v>
      </c>
      <c r="G164" s="61">
        <f t="shared" si="38"/>
        <v>3.74756886648</v>
      </c>
      <c r="H164" s="132"/>
      <c r="I164" s="132"/>
      <c r="J164" s="132"/>
      <c r="K164" s="132"/>
      <c r="L164" s="132"/>
    </row>
    <row r="165" spans="1:12" ht="15" thickBot="1" x14ac:dyDescent="0.25">
      <c r="A165" s="50" t="s">
        <v>81</v>
      </c>
      <c r="B165" s="60">
        <f t="shared" ref="B165:F165" si="42">B148/1000</f>
        <v>1.0104531534504</v>
      </c>
      <c r="C165" s="60">
        <f t="shared" si="42"/>
        <v>1.0512754608497963</v>
      </c>
      <c r="D165" s="60">
        <f t="shared" si="42"/>
        <v>1.0512754608497963</v>
      </c>
      <c r="E165" s="60">
        <f t="shared" si="42"/>
        <v>1.0512754608497963</v>
      </c>
      <c r="F165" s="60">
        <f t="shared" si="42"/>
        <v>1.0512754608497963</v>
      </c>
      <c r="G165" s="61">
        <f t="shared" si="38"/>
        <v>5.2155549968495842</v>
      </c>
      <c r="H165" s="132"/>
      <c r="I165" s="132"/>
      <c r="J165" s="132"/>
      <c r="K165" s="132"/>
      <c r="L165" s="132"/>
    </row>
    <row r="166" spans="1:12" ht="15" thickBot="1" x14ac:dyDescent="0.25">
      <c r="A166" s="50" t="s">
        <v>0</v>
      </c>
      <c r="B166" s="61">
        <f t="shared" ref="B166:F166" si="43">SUM(B161:B165)</f>
        <v>4.3829950064928003</v>
      </c>
      <c r="C166" s="61">
        <f t="shared" si="43"/>
        <v>4.3610296274928002</v>
      </c>
      <c r="D166" s="61">
        <f t="shared" si="43"/>
        <v>4.4081974761594669</v>
      </c>
      <c r="E166" s="61">
        <f t="shared" si="43"/>
        <v>4.3610296274928002</v>
      </c>
      <c r="F166" s="61">
        <f t="shared" si="43"/>
        <v>4.5317644024928008</v>
      </c>
      <c r="G166" s="61">
        <f t="shared" si="38"/>
        <v>22.045016140130667</v>
      </c>
      <c r="H166" s="132"/>
      <c r="I166" s="132"/>
      <c r="J166" s="132"/>
      <c r="K166" s="132"/>
      <c r="L166" s="132"/>
    </row>
    <row r="167" spans="1:12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</row>
    <row r="168" spans="1:12" ht="13.5" thickBot="1" x14ac:dyDescent="0.25">
      <c r="A168" s="52" t="s">
        <v>65</v>
      </c>
      <c r="B168" s="52">
        <v>2019</v>
      </c>
      <c r="C168" s="52">
        <v>2020</v>
      </c>
      <c r="D168" s="52">
        <v>2021</v>
      </c>
      <c r="E168" s="52">
        <v>2022</v>
      </c>
      <c r="F168" s="52">
        <v>2023</v>
      </c>
      <c r="G168" s="52" t="s">
        <v>0</v>
      </c>
      <c r="H168" s="132"/>
      <c r="I168" s="132"/>
      <c r="J168" s="132"/>
      <c r="K168" s="132"/>
      <c r="L168" s="132"/>
    </row>
    <row r="169" spans="1:12" ht="15" thickBot="1" x14ac:dyDescent="0.25">
      <c r="A169" s="49" t="s">
        <v>66</v>
      </c>
      <c r="B169" s="61">
        <f>B128</f>
        <v>3.3573760000000004</v>
      </c>
      <c r="C169" s="61">
        <f t="shared" ref="C169:F169" si="44">C128</f>
        <v>0</v>
      </c>
      <c r="D169" s="61">
        <f t="shared" si="44"/>
        <v>3.3573760000000004</v>
      </c>
      <c r="E169" s="61">
        <f t="shared" si="44"/>
        <v>0</v>
      </c>
      <c r="F169" s="61">
        <f t="shared" si="44"/>
        <v>123.02537600000001</v>
      </c>
      <c r="G169" s="61">
        <f t="shared" ref="G169:G176" si="45">SUM(B169:F169)</f>
        <v>129.740128</v>
      </c>
      <c r="H169" s="132"/>
      <c r="I169" s="132"/>
      <c r="J169" s="132"/>
      <c r="K169" s="132"/>
      <c r="L169" s="132"/>
    </row>
    <row r="170" spans="1:12" ht="15" thickBot="1" x14ac:dyDescent="0.25">
      <c r="A170" s="50" t="s">
        <v>68</v>
      </c>
      <c r="B170" s="61">
        <f>B130</f>
        <v>0</v>
      </c>
      <c r="C170" s="61">
        <f>C130</f>
        <v>0</v>
      </c>
      <c r="D170" s="61">
        <f>D130</f>
        <v>12.756876</v>
      </c>
      <c r="E170" s="61">
        <f>E130</f>
        <v>0</v>
      </c>
      <c r="F170" s="61">
        <f>F130</f>
        <v>0</v>
      </c>
      <c r="G170" s="61">
        <f t="shared" si="45"/>
        <v>12.756876</v>
      </c>
      <c r="H170" s="132"/>
      <c r="I170" s="132"/>
      <c r="J170" s="132"/>
      <c r="K170" s="132"/>
      <c r="L170" s="132"/>
    </row>
    <row r="171" spans="1:12" ht="15" thickBot="1" x14ac:dyDescent="0.25">
      <c r="A171" s="50" t="s">
        <v>70</v>
      </c>
      <c r="B171" s="61">
        <f>B132</f>
        <v>17.062875999999999</v>
      </c>
      <c r="C171" s="61">
        <f>C132</f>
        <v>0</v>
      </c>
      <c r="D171" s="61">
        <f>D132</f>
        <v>17.062875999999999</v>
      </c>
      <c r="E171" s="61">
        <f>E132</f>
        <v>0</v>
      </c>
      <c r="F171" s="61">
        <f>F132</f>
        <v>17.062875999999999</v>
      </c>
      <c r="G171" s="61">
        <f t="shared" si="45"/>
        <v>51.188627999999994</v>
      </c>
      <c r="H171" s="132"/>
      <c r="I171" s="132"/>
      <c r="J171" s="132"/>
      <c r="K171" s="132"/>
      <c r="L171" s="132"/>
    </row>
    <row r="172" spans="1:12" ht="15" thickBot="1" x14ac:dyDescent="0.25">
      <c r="A172" s="50" t="s">
        <v>73</v>
      </c>
      <c r="B172" s="61">
        <f>B135</f>
        <v>0</v>
      </c>
      <c r="C172" s="61">
        <f>C135</f>
        <v>0</v>
      </c>
      <c r="D172" s="61">
        <f>D135</f>
        <v>7.3235666666666654</v>
      </c>
      <c r="E172" s="61">
        <f>E135</f>
        <v>0</v>
      </c>
      <c r="F172" s="61">
        <f>F135</f>
        <v>0</v>
      </c>
      <c r="G172" s="61">
        <f t="shared" si="45"/>
        <v>7.3235666666666654</v>
      </c>
      <c r="H172" s="132"/>
      <c r="I172" s="132"/>
      <c r="J172" s="132"/>
      <c r="K172" s="132"/>
      <c r="L172" s="132"/>
    </row>
    <row r="173" spans="1:12" ht="15" thickBot="1" x14ac:dyDescent="0.25">
      <c r="A173" s="50" t="s">
        <v>75</v>
      </c>
      <c r="B173" s="61">
        <f t="shared" ref="B173:F174" si="46">B137</f>
        <v>0</v>
      </c>
      <c r="C173" s="61">
        <f t="shared" si="46"/>
        <v>0</v>
      </c>
      <c r="D173" s="61">
        <f t="shared" si="46"/>
        <v>0</v>
      </c>
      <c r="E173" s="61">
        <f t="shared" si="46"/>
        <v>0</v>
      </c>
      <c r="F173" s="61">
        <f t="shared" si="46"/>
        <v>8.0703779999999998</v>
      </c>
      <c r="G173" s="61">
        <f t="shared" si="45"/>
        <v>8.0703779999999998</v>
      </c>
      <c r="H173" s="132"/>
      <c r="I173" s="132"/>
      <c r="J173" s="132"/>
      <c r="K173" s="132"/>
      <c r="L173" s="132"/>
    </row>
    <row r="174" spans="1:12" ht="15" thickBot="1" x14ac:dyDescent="0.25">
      <c r="A174" s="50" t="s">
        <v>76</v>
      </c>
      <c r="B174" s="61">
        <f t="shared" si="46"/>
        <v>0</v>
      </c>
      <c r="C174" s="61">
        <f t="shared" si="46"/>
        <v>0</v>
      </c>
      <c r="D174" s="61">
        <f t="shared" si="46"/>
        <v>0</v>
      </c>
      <c r="E174" s="61">
        <f t="shared" si="46"/>
        <v>0</v>
      </c>
      <c r="F174" s="61">
        <f t="shared" si="46"/>
        <v>14.021265999999999</v>
      </c>
      <c r="G174" s="61">
        <f t="shared" si="45"/>
        <v>14.021265999999999</v>
      </c>
      <c r="H174" s="132"/>
      <c r="I174" s="132"/>
      <c r="J174" s="132"/>
      <c r="K174" s="132"/>
      <c r="L174" s="132"/>
    </row>
    <row r="175" spans="1:12" ht="15" thickBot="1" x14ac:dyDescent="0.25">
      <c r="A175" s="50" t="s">
        <v>77</v>
      </c>
      <c r="B175" s="61">
        <f>B139</f>
        <v>0.10025100000000001</v>
      </c>
      <c r="C175" s="61">
        <f t="shared" ref="C175:F175" si="47">C139</f>
        <v>0</v>
      </c>
      <c r="D175" s="61">
        <f t="shared" si="47"/>
        <v>0.10025100000000001</v>
      </c>
      <c r="E175" s="61">
        <f t="shared" si="47"/>
        <v>0</v>
      </c>
      <c r="F175" s="61">
        <f t="shared" si="47"/>
        <v>0.27025099999999996</v>
      </c>
      <c r="G175" s="61">
        <f t="shared" si="45"/>
        <v>0.47075299999999998</v>
      </c>
      <c r="H175" s="132"/>
      <c r="I175" s="132"/>
      <c r="J175" s="132"/>
      <c r="K175" s="132"/>
      <c r="L175" s="132"/>
    </row>
    <row r="176" spans="1:12" ht="15" thickBot="1" x14ac:dyDescent="0.25">
      <c r="A176" s="50" t="s">
        <v>96</v>
      </c>
      <c r="B176" s="62">
        <f>B129+B131+B133+B134+B136+B139</f>
        <v>1.5451270000000004</v>
      </c>
      <c r="C176" s="62">
        <f t="shared" ref="C176:F176" si="48">C129+C131+C133+C134+C136+C139</f>
        <v>0</v>
      </c>
      <c r="D176" s="62">
        <f t="shared" si="48"/>
        <v>6.667154</v>
      </c>
      <c r="E176" s="62">
        <f t="shared" si="48"/>
        <v>0</v>
      </c>
      <c r="F176" s="62">
        <f t="shared" si="48"/>
        <v>8.5548790000000015</v>
      </c>
      <c r="G176" s="61">
        <f t="shared" si="45"/>
        <v>16.767160000000004</v>
      </c>
      <c r="H176" s="132"/>
      <c r="I176" s="132"/>
      <c r="J176" s="132"/>
      <c r="K176" s="132"/>
      <c r="L176" s="132"/>
    </row>
    <row r="177" spans="1:12" ht="15.75" thickBot="1" x14ac:dyDescent="0.25">
      <c r="A177" s="51" t="s">
        <v>0</v>
      </c>
      <c r="B177" s="62">
        <f t="shared" ref="B177:G177" si="49">SUM(B169:B176)</f>
        <v>22.065629999999999</v>
      </c>
      <c r="C177" s="62">
        <f t="shared" si="49"/>
        <v>0</v>
      </c>
      <c r="D177" s="62">
        <f t="shared" si="49"/>
        <v>47.268099666666657</v>
      </c>
      <c r="E177" s="62">
        <f t="shared" si="49"/>
        <v>0</v>
      </c>
      <c r="F177" s="62">
        <f t="shared" si="49"/>
        <v>171.00502600000002</v>
      </c>
      <c r="G177" s="62">
        <f t="shared" si="49"/>
        <v>240.33875566666666</v>
      </c>
      <c r="H177" s="132"/>
      <c r="I177" s="132"/>
      <c r="J177" s="132"/>
      <c r="K177" s="132"/>
      <c r="L177" s="132"/>
    </row>
    <row r="178" spans="1:12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</row>
    <row r="179" spans="1:12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</row>
    <row r="180" spans="1:12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</row>
    <row r="181" spans="1:12" x14ac:dyDescent="0.2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</row>
    <row r="182" spans="1:12" x14ac:dyDescent="0.2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</row>
    <row r="183" spans="1:12" x14ac:dyDescent="0.2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</row>
    <row r="184" spans="1:12" x14ac:dyDescent="0.2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</row>
    <row r="185" spans="1:12" x14ac:dyDescent="0.2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</row>
    <row r="186" spans="1:12" x14ac:dyDescent="0.2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</row>
    <row r="187" spans="1:12" x14ac:dyDescent="0.2"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</row>
    <row r="188" spans="1:12" x14ac:dyDescent="0.2"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</row>
    <row r="189" spans="1:12" x14ac:dyDescent="0.2"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</row>
    <row r="190" spans="1:12" x14ac:dyDescent="0.2"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</row>
    <row r="191" spans="1:12" x14ac:dyDescent="0.2"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</row>
    <row r="192" spans="1:12" x14ac:dyDescent="0.2"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</row>
    <row r="193" spans="2:12" x14ac:dyDescent="0.2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</row>
    <row r="194" spans="2:12" x14ac:dyDescent="0.2"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</row>
    <row r="195" spans="2:12" x14ac:dyDescent="0.2"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</row>
    <row r="196" spans="2:12" x14ac:dyDescent="0.2"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</row>
    <row r="197" spans="2:12" x14ac:dyDescent="0.2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</row>
    <row r="198" spans="2:12" x14ac:dyDescent="0.2"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</row>
    <row r="199" spans="2:12" x14ac:dyDescent="0.2"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</row>
    <row r="200" spans="2:12" x14ac:dyDescent="0.2"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</row>
    <row r="201" spans="2:12" x14ac:dyDescent="0.2"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</row>
    <row r="202" spans="2:12" x14ac:dyDescent="0.2"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</row>
    <row r="203" spans="2:12" x14ac:dyDescent="0.2"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</row>
    <row r="204" spans="2:12" x14ac:dyDescent="0.2"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</row>
    <row r="205" spans="2:12" x14ac:dyDescent="0.2"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</row>
    <row r="206" spans="2:12" x14ac:dyDescent="0.2"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</row>
    <row r="207" spans="2:12" x14ac:dyDescent="0.2"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</row>
  </sheetData>
  <protectedRanges>
    <protectedRange sqref="A70:A71" name="Range1"/>
  </protectedRanges>
  <mergeCells count="3">
    <mergeCell ref="C39:I39"/>
    <mergeCell ref="C106:I106"/>
    <mergeCell ref="B105:I10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N13" sqref="N13"/>
    </sheetView>
  </sheetViews>
  <sheetFormatPr defaultRowHeight="12.75" x14ac:dyDescent="0.2"/>
  <sheetData>
    <row r="1" spans="1:15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x14ac:dyDescent="0.2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x14ac:dyDescent="0.2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x14ac:dyDescent="0.2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x14ac:dyDescent="0.2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1"/>
  <sheetViews>
    <sheetView showGridLines="0" zoomScale="75" zoomScaleNormal="75" workbookViewId="0">
      <selection activeCell="B10" sqref="B10"/>
    </sheetView>
  </sheetViews>
  <sheetFormatPr defaultRowHeight="12.75" x14ac:dyDescent="0.2"/>
  <cols>
    <col min="2" max="2" width="24.85546875" customWidth="1"/>
    <col min="3" max="3" width="8.28515625" bestFit="1" customWidth="1"/>
  </cols>
  <sheetData>
    <row r="3" spans="2:17" x14ac:dyDescent="0.2">
      <c r="B3" s="65" t="s">
        <v>10</v>
      </c>
      <c r="C3" s="28">
        <v>0.02</v>
      </c>
    </row>
    <row r="4" spans="2:17" x14ac:dyDescent="0.2">
      <c r="B4" s="65" t="s">
        <v>1</v>
      </c>
      <c r="C4" s="27" t="s">
        <v>11</v>
      </c>
    </row>
    <row r="5" spans="2:17" x14ac:dyDescent="0.2">
      <c r="B5" s="65" t="s">
        <v>12</v>
      </c>
      <c r="C5" s="27">
        <v>2014</v>
      </c>
    </row>
    <row r="6" spans="2:17" x14ac:dyDescent="0.2">
      <c r="B6" s="65" t="s">
        <v>13</v>
      </c>
      <c r="C6" s="27">
        <v>2017</v>
      </c>
    </row>
    <row r="10" spans="2:17" x14ac:dyDescent="0.2">
      <c r="B10" s="1"/>
    </row>
    <row r="11" spans="2:17" x14ac:dyDescent="0.2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</row>
  </sheetData>
  <mergeCells count="1">
    <mergeCell ref="B11:Q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1F3EF3B4BA148BB34D0518D136400" ma:contentTypeVersion="0" ma:contentTypeDescription="Create a new document." ma:contentTypeScope="" ma:versionID="8b25e46717381d990bae8468ea1a8e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7B1E3-E486-4211-8C28-EC7F43AC786B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817160-AB6D-43FB-809A-4515A3F374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64C940-D017-42F9-AA01-C3AE66DEB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Presentation Page</vt:lpstr>
      <vt:lpstr>Graphs</vt:lpstr>
      <vt:lpstr>Inputs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Mclagan, Shaun</dc:creator>
  <cp:lastModifiedBy>Mclagan, Shaun</cp:lastModifiedBy>
  <dcterms:created xsi:type="dcterms:W3CDTF">2016-11-10T06:15:48Z</dcterms:created>
  <dcterms:modified xsi:type="dcterms:W3CDTF">2017-01-25T06:20:07Z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0x0101006B21F3EF3B4BA148BB34D0518D136400</vt:lpwstr>
  </property>
</Properties>
</file>